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7.xml" ContentType="application/vnd.openxmlformats-officedocument.spreadsheetml.worksheet+xml"/>
  <Override PartName="/xl/drawings/drawing1.xml" ContentType="application/vnd.openxmlformats-officedocument.drawing+xml"/>
  <Override PartName="/xl/worksheets/sheet2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C:\Users\Stacy.Cooper\Desktop\"/>
    </mc:Choice>
  </mc:AlternateContent>
  <xr:revisionPtr revIDLastSave="0" documentId="10_ncr:100000_{EEC8C69D-388E-4015-B25D-25FD8D5D479F}" xr6:coauthVersionLast="31" xr6:coauthVersionMax="45" xr10:uidLastSave="{00000000-0000-0000-0000-000000000000}"/>
  <bookViews>
    <workbookView xWindow="0" yWindow="0" windowWidth="28800" windowHeight="11925" tabRatio="850" firstSheet="3" activeTab="5" xr2:uid="{00000000-000D-0000-FFFF-FFFF00000000}"/>
  </bookViews>
  <sheets>
    <sheet name="instructions" sheetId="1" r:id="rId1"/>
    <sheet name="inputPrYr" sheetId="2" r:id="rId2"/>
    <sheet name="inputOth" sheetId="20" r:id="rId3"/>
    <sheet name="inputBudSum" sheetId="31" r:id="rId4"/>
    <sheet name="CPA Summary" sheetId="41" r:id="rId5"/>
    <sheet name="cert" sheetId="3" r:id="rId6"/>
    <sheet name="Signed Cert" sheetId="42" r:id="rId7"/>
    <sheet name="computation" sheetId="14" r:id="rId8"/>
    <sheet name="mvalloc" sheetId="4" r:id="rId9"/>
    <sheet name="transfer" sheetId="21" r:id="rId10"/>
    <sheet name="TransferStatutes" sheetId="23" r:id="rId11"/>
    <sheet name="debt-lease" sheetId="13" r:id="rId12"/>
    <sheet name="Library Grant" sheetId="34" r:id="rId13"/>
    <sheet name="gen" sheetId="6" r:id="rId14"/>
    <sheet name="DebtSvs-Library" sheetId="35" r:id="rId15"/>
    <sheet name="road" sheetId="7" r:id="rId16"/>
    <sheet name="levypage9" sheetId="8" r:id="rId17"/>
    <sheet name="levypage10" sheetId="9" r:id="rId18"/>
    <sheet name="levypage11" sheetId="10" r:id="rId19"/>
    <sheet name="nolevypage12" sheetId="17" r:id="rId20"/>
    <sheet name="nonbud" sheetId="24" r:id="rId21"/>
    <sheet name="NonBudFunds" sheetId="30" r:id="rId22"/>
    <sheet name="summ" sheetId="12" r:id="rId23"/>
    <sheet name="Notice of Budget Pub" sheetId="43" r:id="rId24"/>
    <sheet name="nhood" sheetId="22" r:id="rId25"/>
    <sheet name="Notice of Vote" sheetId="37" r:id="rId26"/>
    <sheet name="Resolution" sheetId="39" r:id="rId27"/>
    <sheet name="Signed Resolution" sheetId="44" r:id="rId28"/>
    <sheet name="MV Estimate" sheetId="45" r:id="rId29"/>
    <sheet name="Tab A" sheetId="25" r:id="rId30"/>
    <sheet name="Tab B" sheetId="26" r:id="rId31"/>
    <sheet name="Tab C" sheetId="27" r:id="rId32"/>
    <sheet name="Tab D" sheetId="28" r:id="rId33"/>
    <sheet name="Tab E" sheetId="29" r:id="rId34"/>
    <sheet name="Mill Rate Computation" sheetId="32" r:id="rId35"/>
    <sheet name="Helpful Links" sheetId="33" r:id="rId36"/>
    <sheet name="legend" sheetId="15" r:id="rId37"/>
  </sheets>
  <definedNames>
    <definedName name="_xlnm.Print_Area" localSheetId="5">cert!$A$1:$G$69</definedName>
    <definedName name="_xlnm.Print_Area" localSheetId="4">'CPA Summary'!$A$1:$A$49</definedName>
    <definedName name="_xlnm.Print_Area" localSheetId="14">'DebtSvs-Library'!$B$1:$E$88</definedName>
    <definedName name="_xlnm.Print_Area" localSheetId="13">gen!$A$1:$E$66</definedName>
    <definedName name="_xlnm.Print_Area" localSheetId="1">inputPrYr!$A$1:$E$88</definedName>
    <definedName name="_xlnm.Print_Area" localSheetId="17">levypage10!$A$1:$E$93</definedName>
    <definedName name="_xlnm.Print_Area" localSheetId="18">levypage11!$A$1:$E$93</definedName>
    <definedName name="_xlnm.Print_Area" localSheetId="16">levypage9!$A$1:$E$92</definedName>
    <definedName name="_xlnm.Print_Area" localSheetId="12">'Library Grant'!$A$1:$J$40</definedName>
    <definedName name="_xlnm.Print_Area" localSheetId="26">Resolution!$B$5:$B$16</definedName>
    <definedName name="_xlnm.Print_Area" localSheetId="15">road!$B$1:$F$72</definedName>
    <definedName name="_xlnm.Print_Area" localSheetId="22">summ!$B$2:$I$49</definedName>
  </definedNames>
  <calcPr calcId="179017"/>
</workbook>
</file>

<file path=xl/calcChain.xml><?xml version="1.0" encoding="utf-8"?>
<calcChain xmlns="http://schemas.openxmlformats.org/spreadsheetml/2006/main">
  <c r="C1" i="39" l="1"/>
  <c r="B13" i="39" s="1"/>
  <c r="J36" i="14"/>
  <c r="E15" i="22"/>
  <c r="E60" i="10" s="1"/>
  <c r="E14" i="22"/>
  <c r="E19" i="10"/>
  <c r="E13" i="22"/>
  <c r="E60" i="9" s="1"/>
  <c r="E12" i="22"/>
  <c r="E11" i="22"/>
  <c r="E59" i="8"/>
  <c r="E10" i="22"/>
  <c r="E19" i="8" s="1"/>
  <c r="E9" i="22"/>
  <c r="E22" i="7" s="1"/>
  <c r="E8" i="22"/>
  <c r="E58" i="35" s="1"/>
  <c r="E7" i="22"/>
  <c r="E6" i="22"/>
  <c r="C3" i="39"/>
  <c r="C2" i="39"/>
  <c r="B12" i="39" s="1"/>
  <c r="H31" i="4"/>
  <c r="G29" i="4"/>
  <c r="B6" i="37"/>
  <c r="H2" i="37"/>
  <c r="B7" i="37" s="1"/>
  <c r="D45" i="7"/>
  <c r="D77" i="7" s="1"/>
  <c r="D47" i="35"/>
  <c r="E15" i="34" s="1"/>
  <c r="D8" i="35"/>
  <c r="D22" i="35"/>
  <c r="D21" i="35" s="1"/>
  <c r="D49" i="10"/>
  <c r="D63" i="10" s="1"/>
  <c r="D8" i="10"/>
  <c r="D22" i="10"/>
  <c r="D49" i="9"/>
  <c r="D63" i="9" s="1"/>
  <c r="D62" i="9" s="1"/>
  <c r="D8" i="9"/>
  <c r="D22" i="9" s="1"/>
  <c r="D48" i="8"/>
  <c r="D62" i="8" s="1"/>
  <c r="D61" i="8" s="1"/>
  <c r="D8" i="8"/>
  <c r="D22" i="8" s="1"/>
  <c r="D8" i="7"/>
  <c r="D25" i="7" s="1"/>
  <c r="D26" i="7" s="1"/>
  <c r="D8" i="6"/>
  <c r="G21" i="2"/>
  <c r="D79" i="35"/>
  <c r="D40" i="35"/>
  <c r="C19" i="3"/>
  <c r="C21" i="3"/>
  <c r="D75" i="35"/>
  <c r="C75" i="35"/>
  <c r="C36" i="35"/>
  <c r="D36" i="35"/>
  <c r="B44" i="35"/>
  <c r="A19" i="3"/>
  <c r="B46" i="12"/>
  <c r="B47" i="12"/>
  <c r="G21" i="31"/>
  <c r="G23" i="31" s="1"/>
  <c r="B19" i="34"/>
  <c r="B18" i="34"/>
  <c r="B17" i="34"/>
  <c r="B16" i="34"/>
  <c r="B15" i="34"/>
  <c r="C23" i="3"/>
  <c r="C22" i="3"/>
  <c r="B23" i="3"/>
  <c r="A23" i="3"/>
  <c r="F20" i="12"/>
  <c r="G71" i="35"/>
  <c r="D20" i="12"/>
  <c r="B20" i="12"/>
  <c r="D8" i="22"/>
  <c r="E73" i="35"/>
  <c r="B8" i="22"/>
  <c r="C13" i="4"/>
  <c r="B13" i="4"/>
  <c r="A50" i="20"/>
  <c r="A19" i="20"/>
  <c r="B47" i="2"/>
  <c r="E19" i="34"/>
  <c r="E18" i="34"/>
  <c r="E17" i="34"/>
  <c r="E16" i="34"/>
  <c r="G16" i="34"/>
  <c r="G14" i="34"/>
  <c r="B46" i="34" s="1"/>
  <c r="E14" i="34"/>
  <c r="B8" i="34"/>
  <c r="B7" i="34"/>
  <c r="B5" i="34"/>
  <c r="B5" i="35"/>
  <c r="E1" i="35"/>
  <c r="H73" i="35" s="1"/>
  <c r="B1" i="35"/>
  <c r="D73" i="35"/>
  <c r="C73" i="35"/>
  <c r="C61" i="35"/>
  <c r="C60" i="35" s="1"/>
  <c r="D34" i="35"/>
  <c r="C34" i="35"/>
  <c r="C22" i="35"/>
  <c r="C23" i="35"/>
  <c r="C35" i="35" s="1"/>
  <c r="B2" i="4"/>
  <c r="J148" i="32"/>
  <c r="H134" i="32"/>
  <c r="C137" i="32" s="1"/>
  <c r="J137" i="32" s="1"/>
  <c r="H120" i="32"/>
  <c r="C123" i="32" s="1"/>
  <c r="H114" i="32"/>
  <c r="F117" i="32" s="1"/>
  <c r="H117" i="32" s="1"/>
  <c r="F123" i="32"/>
  <c r="J123" i="32" s="1"/>
  <c r="H100" i="32"/>
  <c r="C103" i="32" s="1"/>
  <c r="J103" i="32" s="1"/>
  <c r="H94" i="32"/>
  <c r="F97" i="32" s="1"/>
  <c r="H97" i="32" s="1"/>
  <c r="F103" i="32" s="1"/>
  <c r="H80" i="32"/>
  <c r="C83" i="32" s="1"/>
  <c r="H74" i="32"/>
  <c r="F77" i="32"/>
  <c r="H77" i="32" s="1"/>
  <c r="F83" i="32" s="1"/>
  <c r="H48" i="32"/>
  <c r="F50" i="32"/>
  <c r="J50" i="32"/>
  <c r="H41" i="32"/>
  <c r="B28" i="32"/>
  <c r="H28" i="32"/>
  <c r="H25" i="32"/>
  <c r="C25" i="32"/>
  <c r="G28" i="2"/>
  <c r="G27" i="2"/>
  <c r="G26" i="2"/>
  <c r="G25" i="2"/>
  <c r="G24" i="2"/>
  <c r="G23" i="2"/>
  <c r="G22" i="2"/>
  <c r="G20" i="2"/>
  <c r="G19" i="2"/>
  <c r="C31" i="12"/>
  <c r="C34" i="3"/>
  <c r="C30" i="3"/>
  <c r="C29" i="3"/>
  <c r="C28" i="3"/>
  <c r="C27" i="3"/>
  <c r="C26" i="3"/>
  <c r="C25" i="3"/>
  <c r="C24" i="3"/>
  <c r="C58" i="7"/>
  <c r="C62" i="7" s="1"/>
  <c r="C64" i="7" s="1"/>
  <c r="C57" i="7"/>
  <c r="C56" i="7"/>
  <c r="D40" i="10"/>
  <c r="D81" i="10"/>
  <c r="D40" i="9"/>
  <c r="D81" i="9"/>
  <c r="D40" i="8"/>
  <c r="D80" i="8"/>
  <c r="D49" i="7"/>
  <c r="D56" i="6"/>
  <c r="C77" i="10"/>
  <c r="D77" i="10"/>
  <c r="C36" i="10"/>
  <c r="D36" i="10"/>
  <c r="C77" i="9"/>
  <c r="D77" i="9"/>
  <c r="C36" i="9"/>
  <c r="D36" i="9"/>
  <c r="C76" i="8"/>
  <c r="D76" i="8"/>
  <c r="C36" i="8"/>
  <c r="D36" i="8"/>
  <c r="C45" i="7"/>
  <c r="C77" i="7" s="1"/>
  <c r="C52" i="6"/>
  <c r="D52" i="6"/>
  <c r="A8" i="29"/>
  <c r="A46" i="28"/>
  <c r="A41" i="28"/>
  <c r="A6" i="28"/>
  <c r="A38" i="27"/>
  <c r="A33" i="27"/>
  <c r="A19" i="27"/>
  <c r="A6" i="27"/>
  <c r="A34" i="26"/>
  <c r="A33" i="26"/>
  <c r="A6" i="26"/>
  <c r="A77" i="25"/>
  <c r="A74" i="25"/>
  <c r="A33" i="25"/>
  <c r="A28" i="25"/>
  <c r="A25" i="25"/>
  <c r="A16" i="25"/>
  <c r="A6" i="25"/>
  <c r="B7" i="12"/>
  <c r="B9" i="12"/>
  <c r="D19" i="22"/>
  <c r="D21" i="22" s="1"/>
  <c r="B30" i="12"/>
  <c r="A33" i="3"/>
  <c r="C33" i="3"/>
  <c r="I5" i="24"/>
  <c r="G5" i="24"/>
  <c r="E5" i="24"/>
  <c r="C5" i="24"/>
  <c r="A5" i="24"/>
  <c r="K1" i="24"/>
  <c r="F2" i="24"/>
  <c r="A1" i="24"/>
  <c r="J28" i="24"/>
  <c r="H28" i="24"/>
  <c r="F28" i="24"/>
  <c r="D28" i="24"/>
  <c r="B28" i="24"/>
  <c r="J17" i="24"/>
  <c r="J18" i="24" s="1"/>
  <c r="J29" i="24" s="1"/>
  <c r="J30" i="24" s="1"/>
  <c r="H17" i="24"/>
  <c r="H18" i="24" s="1"/>
  <c r="H29" i="24" s="1"/>
  <c r="H30" i="24" s="1"/>
  <c r="F17" i="24"/>
  <c r="F18" i="24" s="1"/>
  <c r="D17" i="24"/>
  <c r="D18" i="24" s="1"/>
  <c r="B17" i="24"/>
  <c r="B18" i="24" s="1"/>
  <c r="K7" i="24"/>
  <c r="E17" i="2"/>
  <c r="G18" i="2" s="1"/>
  <c r="D17" i="2"/>
  <c r="C14" i="4"/>
  <c r="C20" i="4"/>
  <c r="C19" i="4"/>
  <c r="C18" i="4"/>
  <c r="C17" i="4"/>
  <c r="C16" i="4"/>
  <c r="C21" i="4" s="1"/>
  <c r="E36" i="4" s="1"/>
  <c r="C15" i="4"/>
  <c r="C12" i="4"/>
  <c r="E12" i="21"/>
  <c r="D12" i="21"/>
  <c r="C12" i="21"/>
  <c r="C11" i="4"/>
  <c r="J6" i="14"/>
  <c r="A29" i="2"/>
  <c r="D43" i="7"/>
  <c r="C43" i="7"/>
  <c r="C42" i="7" s="1"/>
  <c r="C21" i="12"/>
  <c r="E15" i="7"/>
  <c r="C28" i="6"/>
  <c r="C27" i="6"/>
  <c r="C45" i="6"/>
  <c r="E15" i="6"/>
  <c r="E16" i="6"/>
  <c r="E29" i="2"/>
  <c r="J5" i="14"/>
  <c r="J7" i="14" s="1"/>
  <c r="J38" i="14" s="1"/>
  <c r="D23" i="4"/>
  <c r="E25" i="4"/>
  <c r="F27" i="4"/>
  <c r="C22" i="10"/>
  <c r="C23" i="10"/>
  <c r="C35" i="10" s="1"/>
  <c r="D6" i="10" s="1"/>
  <c r="C34" i="10"/>
  <c r="C99" i="10" s="1"/>
  <c r="G29" i="10"/>
  <c r="D34" i="10"/>
  <c r="D33" i="10" s="1"/>
  <c r="C63" i="10"/>
  <c r="C64" i="10"/>
  <c r="C75" i="10"/>
  <c r="D75" i="10"/>
  <c r="E27" i="12"/>
  <c r="C22" i="9"/>
  <c r="C34" i="9"/>
  <c r="G29" i="9" s="1"/>
  <c r="D34" i="9"/>
  <c r="C75" i="9"/>
  <c r="C76" i="9" s="1"/>
  <c r="C101" i="9"/>
  <c r="C63" i="9"/>
  <c r="D75" i="9"/>
  <c r="C22" i="8"/>
  <c r="C21" i="8"/>
  <c r="C34" i="8"/>
  <c r="D34" i="8"/>
  <c r="D33" i="8" s="1"/>
  <c r="E22" i="12"/>
  <c r="C74" i="8"/>
  <c r="C62" i="8"/>
  <c r="C61" i="8"/>
  <c r="D11" i="21"/>
  <c r="F11" i="21"/>
  <c r="E13" i="21"/>
  <c r="D13" i="21"/>
  <c r="C13" i="21"/>
  <c r="F13" i="21"/>
  <c r="C11" i="21"/>
  <c r="C25" i="7"/>
  <c r="C24" i="7"/>
  <c r="D74" i="8"/>
  <c r="D73" i="8" s="1"/>
  <c r="E1" i="10"/>
  <c r="H37" i="10"/>
  <c r="E1" i="9"/>
  <c r="G40" i="9" s="1"/>
  <c r="G82" i="9"/>
  <c r="E1" i="8"/>
  <c r="H24" i="8"/>
  <c r="E1" i="7"/>
  <c r="G31" i="7" s="1"/>
  <c r="H38" i="7"/>
  <c r="E1" i="6"/>
  <c r="G31" i="6"/>
  <c r="H43" i="6"/>
  <c r="D27" i="17"/>
  <c r="E28" i="12" s="1"/>
  <c r="C27" i="17"/>
  <c r="D57" i="17"/>
  <c r="C57" i="17"/>
  <c r="E1" i="17"/>
  <c r="C29" i="17"/>
  <c r="D59" i="17"/>
  <c r="C59" i="17"/>
  <c r="D29" i="17"/>
  <c r="D34" i="2"/>
  <c r="A34" i="2"/>
  <c r="A58" i="2"/>
  <c r="A57" i="2"/>
  <c r="D43" i="2"/>
  <c r="G11" i="14"/>
  <c r="E14" i="14"/>
  <c r="E15" i="14"/>
  <c r="G16" i="14"/>
  <c r="G20" i="14" s="1"/>
  <c r="G18" i="14"/>
  <c r="E22" i="14"/>
  <c r="E1" i="20"/>
  <c r="A11" i="20" s="1"/>
  <c r="C37" i="3"/>
  <c r="D6" i="22"/>
  <c r="E50" i="6"/>
  <c r="D7" i="22"/>
  <c r="E34" i="35"/>
  <c r="F37" i="35" s="1"/>
  <c r="G19" i="12"/>
  <c r="D14" i="22"/>
  <c r="E34" i="10"/>
  <c r="D15" i="22"/>
  <c r="E75" i="10"/>
  <c r="E79" i="10" s="1"/>
  <c r="D9" i="22"/>
  <c r="E43" i="7"/>
  <c r="E45" i="7" s="1"/>
  <c r="F47" i="7"/>
  <c r="D10" i="22"/>
  <c r="E34" i="8"/>
  <c r="D11" i="22"/>
  <c r="E74" i="8"/>
  <c r="E78" i="8" s="1"/>
  <c r="D12" i="22"/>
  <c r="E34" i="9"/>
  <c r="E36" i="9" s="1"/>
  <c r="D27" i="3"/>
  <c r="D13" i="22"/>
  <c r="E75" i="9"/>
  <c r="J1" i="14"/>
  <c r="A44" i="14" s="1"/>
  <c r="B11" i="14"/>
  <c r="D23" i="22"/>
  <c r="D25" i="22" s="1"/>
  <c r="E45" i="17"/>
  <c r="E44" i="17"/>
  <c r="D45" i="17"/>
  <c r="C45" i="17"/>
  <c r="C44" i="17" s="1"/>
  <c r="E57" i="17"/>
  <c r="E27" i="17"/>
  <c r="E29" i="17"/>
  <c r="E15" i="17"/>
  <c r="E14" i="17"/>
  <c r="D15" i="17"/>
  <c r="D14" i="17"/>
  <c r="C15" i="17"/>
  <c r="C14" i="17"/>
  <c r="F1" i="22"/>
  <c r="D5" i="22" s="1"/>
  <c r="E5" i="22"/>
  <c r="A1" i="22"/>
  <c r="B15" i="22"/>
  <c r="B14" i="22"/>
  <c r="B13" i="22"/>
  <c r="B12" i="22"/>
  <c r="B11" i="22"/>
  <c r="B10" i="22"/>
  <c r="B9" i="22"/>
  <c r="B7" i="22"/>
  <c r="B6" i="22"/>
  <c r="C16" i="22"/>
  <c r="A59" i="20"/>
  <c r="A58" i="20"/>
  <c r="A57" i="20"/>
  <c r="A56" i="20"/>
  <c r="A55" i="20"/>
  <c r="A54" i="20"/>
  <c r="A53" i="20"/>
  <c r="A52" i="20"/>
  <c r="A51" i="20"/>
  <c r="A49" i="20"/>
  <c r="A48" i="20"/>
  <c r="I1" i="4"/>
  <c r="C9" i="4" s="1"/>
  <c r="B10" i="4"/>
  <c r="G37" i="12"/>
  <c r="D27" i="20"/>
  <c r="F27" i="12"/>
  <c r="G76" i="10"/>
  <c r="F26" i="12"/>
  <c r="G35" i="10"/>
  <c r="F25" i="12"/>
  <c r="G76" i="9"/>
  <c r="F24" i="12"/>
  <c r="G35" i="9"/>
  <c r="F23" i="12"/>
  <c r="G75" i="8"/>
  <c r="F22" i="12"/>
  <c r="F21" i="12"/>
  <c r="G44" i="7"/>
  <c r="F19" i="12"/>
  <c r="G35" i="35" s="1"/>
  <c r="F18" i="12"/>
  <c r="G51" i="6"/>
  <c r="C37" i="12"/>
  <c r="A26" i="20"/>
  <c r="A25" i="20"/>
  <c r="A24" i="20"/>
  <c r="A23" i="20"/>
  <c r="A22" i="20"/>
  <c r="A21" i="20"/>
  <c r="A20" i="20"/>
  <c r="A18" i="20"/>
  <c r="A17" i="20"/>
  <c r="F15" i="13"/>
  <c r="G41" i="12"/>
  <c r="F1" i="21"/>
  <c r="D9" i="21" s="1"/>
  <c r="E9" i="21"/>
  <c r="A2" i="21"/>
  <c r="E37" i="12"/>
  <c r="E27" i="34"/>
  <c r="G1" i="3"/>
  <c r="D11" i="3" s="1"/>
  <c r="A55" i="2"/>
  <c r="E42" i="12"/>
  <c r="E41" i="12"/>
  <c r="C42" i="12"/>
  <c r="C41" i="12"/>
  <c r="E40" i="12"/>
  <c r="C40" i="12"/>
  <c r="E61" i="2"/>
  <c r="D61" i="2"/>
  <c r="A2" i="20"/>
  <c r="A1" i="20"/>
  <c r="A44" i="2"/>
  <c r="A16" i="2"/>
  <c r="F11" i="13"/>
  <c r="G40" i="12" s="1"/>
  <c r="F16" i="13"/>
  <c r="L15" i="13"/>
  <c r="L16" i="13" s="1"/>
  <c r="K15" i="13"/>
  <c r="J15" i="13"/>
  <c r="I15" i="13"/>
  <c r="I16" i="13" s="1"/>
  <c r="L11" i="13"/>
  <c r="K11" i="13"/>
  <c r="K16" i="13"/>
  <c r="J11" i="13"/>
  <c r="J16" i="13" s="1"/>
  <c r="I11" i="13"/>
  <c r="I1" i="12"/>
  <c r="D19" i="12"/>
  <c r="B12" i="4"/>
  <c r="L1" i="13"/>
  <c r="F7" i="13" s="1"/>
  <c r="I23" i="13"/>
  <c r="B46" i="2"/>
  <c r="B22" i="3"/>
  <c r="A3" i="3"/>
  <c r="C32" i="3"/>
  <c r="C31" i="3"/>
  <c r="B29" i="12"/>
  <c r="B28" i="12"/>
  <c r="A32" i="3"/>
  <c r="A31" i="3"/>
  <c r="B1" i="17"/>
  <c r="B35" i="17"/>
  <c r="B5" i="17"/>
  <c r="B30" i="3"/>
  <c r="B29" i="3"/>
  <c r="B28" i="3"/>
  <c r="B27" i="3"/>
  <c r="B26" i="3"/>
  <c r="B25" i="3"/>
  <c r="B24" i="3"/>
  <c r="A30" i="3"/>
  <c r="A29" i="3"/>
  <c r="A28" i="3"/>
  <c r="A27" i="3"/>
  <c r="A26" i="3"/>
  <c r="A25" i="3"/>
  <c r="A24" i="3"/>
  <c r="C36" i="3"/>
  <c r="B21" i="3"/>
  <c r="A21" i="3"/>
  <c r="A5" i="3"/>
  <c r="C1" i="14"/>
  <c r="I36" i="13"/>
  <c r="H36" i="13"/>
  <c r="G36" i="13"/>
  <c r="G42" i="12" s="1"/>
  <c r="B2" i="13"/>
  <c r="B1" i="13"/>
  <c r="B5" i="6"/>
  <c r="B1" i="6"/>
  <c r="D55" i="2"/>
  <c r="B54" i="2"/>
  <c r="B53" i="2"/>
  <c r="B52" i="2"/>
  <c r="B51" i="2"/>
  <c r="B50" i="2"/>
  <c r="B49" i="2"/>
  <c r="B48" i="2"/>
  <c r="B45" i="2"/>
  <c r="B20" i="4"/>
  <c r="B19" i="4"/>
  <c r="B18" i="4"/>
  <c r="B17" i="4"/>
  <c r="B16" i="4"/>
  <c r="B15" i="4"/>
  <c r="B14" i="4"/>
  <c r="B11" i="4"/>
  <c r="B1" i="4"/>
  <c r="B1" i="7"/>
  <c r="B5" i="7"/>
  <c r="B27" i="12"/>
  <c r="B26" i="12"/>
  <c r="B25" i="12"/>
  <c r="B24" i="12"/>
  <c r="B23" i="12"/>
  <c r="B22" i="12"/>
  <c r="B21" i="12"/>
  <c r="E21" i="12"/>
  <c r="D27" i="12"/>
  <c r="D26" i="12"/>
  <c r="D25" i="12"/>
  <c r="D24" i="12"/>
  <c r="D23" i="12"/>
  <c r="D22" i="12"/>
  <c r="D21" i="12"/>
  <c r="D18" i="12"/>
  <c r="C35" i="12"/>
  <c r="B18" i="12"/>
  <c r="B6" i="12"/>
  <c r="B5" i="12"/>
  <c r="B1" i="8"/>
  <c r="B45" i="8"/>
  <c r="B5" i="8"/>
  <c r="B46" i="9"/>
  <c r="B5" i="9"/>
  <c r="B1" i="9"/>
  <c r="B46" i="10"/>
  <c r="B5" i="10"/>
  <c r="B1" i="10"/>
  <c r="D42" i="7"/>
  <c r="E11" i="21"/>
  <c r="G22" i="31"/>
  <c r="G20" i="31" s="1"/>
  <c r="G24" i="31"/>
  <c r="J18" i="9"/>
  <c r="J19" i="9"/>
  <c r="J20" i="9"/>
  <c r="J55" i="35"/>
  <c r="J56" i="35"/>
  <c r="J54" i="35"/>
  <c r="J19" i="35"/>
  <c r="J20" i="35"/>
  <c r="J18" i="35"/>
  <c r="J19" i="8"/>
  <c r="J20" i="8"/>
  <c r="J60" i="9"/>
  <c r="J61" i="9"/>
  <c r="J18" i="10"/>
  <c r="J19" i="10"/>
  <c r="J20" i="10"/>
  <c r="J59" i="9"/>
  <c r="J18" i="8"/>
  <c r="J35" i="6"/>
  <c r="J36" i="6"/>
  <c r="J60" i="10"/>
  <c r="J61" i="10"/>
  <c r="J59" i="10"/>
  <c r="J59" i="8"/>
  <c r="J60" i="8"/>
  <c r="J58" i="8"/>
  <c r="N43" i="12"/>
  <c r="J34" i="6"/>
  <c r="J28" i="7"/>
  <c r="J29" i="7"/>
  <c r="J27" i="7"/>
  <c r="D31" i="3"/>
  <c r="H18" i="4"/>
  <c r="E55" i="9" s="1"/>
  <c r="H14" i="4"/>
  <c r="E14" i="7" s="1"/>
  <c r="H20" i="4"/>
  <c r="E55" i="10"/>
  <c r="H16" i="4"/>
  <c r="E54" i="8" s="1"/>
  <c r="H17" i="4"/>
  <c r="E14" i="9"/>
  <c r="H13" i="4"/>
  <c r="E53" i="35" s="1"/>
  <c r="H12" i="4"/>
  <c r="E14" i="35" s="1"/>
  <c r="H19" i="4"/>
  <c r="E14" i="10" s="1"/>
  <c r="H15" i="4"/>
  <c r="E14" i="8" s="1"/>
  <c r="F15" i="4"/>
  <c r="E12" i="8" s="1"/>
  <c r="E12" i="4"/>
  <c r="E11" i="35"/>
  <c r="F14" i="4"/>
  <c r="E12" i="7" s="1"/>
  <c r="E19" i="4"/>
  <c r="E11" i="10"/>
  <c r="D19" i="4"/>
  <c r="E10" i="10" s="1"/>
  <c r="E22" i="10" s="1"/>
  <c r="G25" i="10" s="1"/>
  <c r="F18" i="4"/>
  <c r="E53" i="9" s="1"/>
  <c r="F20" i="4"/>
  <c r="E53" i="10" s="1"/>
  <c r="E13" i="4"/>
  <c r="E50" i="35" s="1"/>
  <c r="G18" i="34" s="1"/>
  <c r="E14" i="4"/>
  <c r="E11" i="7" s="1"/>
  <c r="D17" i="4"/>
  <c r="E10" i="9" s="1"/>
  <c r="D13" i="4"/>
  <c r="E49" i="35" s="1"/>
  <c r="G17" i="34" s="1"/>
  <c r="D20" i="4"/>
  <c r="E51" i="10"/>
  <c r="E63" i="10" s="1"/>
  <c r="G66" i="10" s="1"/>
  <c r="D15" i="4"/>
  <c r="E10" i="8" s="1"/>
  <c r="D16" i="4"/>
  <c r="E50" i="8"/>
  <c r="D12" i="4"/>
  <c r="E10" i="35" s="1"/>
  <c r="D18" i="4"/>
  <c r="E51" i="9"/>
  <c r="I6" i="13"/>
  <c r="F12" i="4"/>
  <c r="E12" i="35" s="1"/>
  <c r="E18" i="4"/>
  <c r="E52" i="9"/>
  <c r="D14" i="4"/>
  <c r="E10" i="7" s="1"/>
  <c r="G20" i="4"/>
  <c r="E54" i="10"/>
  <c r="G19" i="4"/>
  <c r="E13" i="10" s="1"/>
  <c r="G16" i="4"/>
  <c r="E53" i="8" s="1"/>
  <c r="G18" i="4"/>
  <c r="E54" i="9" s="1"/>
  <c r="G15" i="4"/>
  <c r="E13" i="8" s="1"/>
  <c r="G14" i="4"/>
  <c r="E13" i="7" s="1"/>
  <c r="G12" i="4"/>
  <c r="E13" i="35" s="1"/>
  <c r="G11" i="4"/>
  <c r="E13" i="6" s="1"/>
  <c r="G17" i="4"/>
  <c r="E13" i="9" s="1"/>
  <c r="G13" i="4"/>
  <c r="E52" i="35" s="1"/>
  <c r="E16" i="4"/>
  <c r="E51" i="8"/>
  <c r="E20" i="4"/>
  <c r="E52" i="10"/>
  <c r="F16" i="4"/>
  <c r="E52" i="8" s="1"/>
  <c r="E15" i="4"/>
  <c r="F19" i="4"/>
  <c r="E12" i="10"/>
  <c r="F13" i="4"/>
  <c r="F17" i="4"/>
  <c r="E12" i="9" s="1"/>
  <c r="E17" i="4"/>
  <c r="E11" i="9" s="1"/>
  <c r="D9" i="4"/>
  <c r="C25" i="12"/>
  <c r="B52" i="6"/>
  <c r="A15" i="20"/>
  <c r="A29" i="20"/>
  <c r="E19" i="9"/>
  <c r="E19" i="35"/>
  <c r="H71" i="10"/>
  <c r="H66" i="10"/>
  <c r="C33" i="10"/>
  <c r="C62" i="10"/>
  <c r="H27" i="35"/>
  <c r="C33" i="35"/>
  <c r="G40" i="35"/>
  <c r="E5" i="6"/>
  <c r="E5" i="17"/>
  <c r="E35" i="17" s="1"/>
  <c r="E5" i="8"/>
  <c r="E45" i="8" s="1"/>
  <c r="D5" i="6"/>
  <c r="E73" i="8"/>
  <c r="E38" i="8"/>
  <c r="D25" i="3"/>
  <c r="E42" i="7"/>
  <c r="E47" i="7"/>
  <c r="N42" i="12"/>
  <c r="G23" i="12"/>
  <c r="F78" i="9"/>
  <c r="B5" i="22"/>
  <c r="B91" i="34"/>
  <c r="B78" i="34"/>
  <c r="B22" i="14"/>
  <c r="H40" i="6"/>
  <c r="G57" i="6"/>
  <c r="H77" i="10"/>
  <c r="H36" i="10"/>
  <c r="G56" i="6"/>
  <c r="H78" i="10"/>
  <c r="E35" i="12"/>
  <c r="C53" i="7"/>
  <c r="C50" i="7"/>
  <c r="H36" i="7"/>
  <c r="H46" i="7"/>
  <c r="D28" i="6"/>
  <c r="D27" i="6" s="1"/>
  <c r="D45" i="6"/>
  <c r="H43" i="7"/>
  <c r="G81" i="10"/>
  <c r="B36" i="10"/>
  <c r="G63" i="10"/>
  <c r="H34" i="10"/>
  <c r="G19" i="10"/>
  <c r="H30" i="10"/>
  <c r="C82" i="10"/>
  <c r="H26" i="10"/>
  <c r="G41" i="10"/>
  <c r="A10" i="20"/>
  <c r="A9" i="20"/>
  <c r="B5" i="14"/>
  <c r="K40" i="12"/>
  <c r="A13" i="20"/>
  <c r="D24" i="3"/>
  <c r="E36" i="35"/>
  <c r="C72" i="35"/>
  <c r="E38" i="35"/>
  <c r="H53" i="6"/>
  <c r="G35" i="6"/>
  <c r="G38" i="6"/>
  <c r="C5" i="6"/>
  <c r="C5" i="9" s="1"/>
  <c r="C46" i="9" s="1"/>
  <c r="C5" i="7"/>
  <c r="B43" i="6"/>
  <c r="E27" i="21"/>
  <c r="E29" i="21" s="1"/>
  <c r="G33" i="12" s="1"/>
  <c r="H42" i="6"/>
  <c r="C57" i="6"/>
  <c r="H41" i="6"/>
  <c r="H52" i="6"/>
  <c r="H51" i="6"/>
  <c r="H45" i="6"/>
  <c r="H46" i="6"/>
  <c r="H50" i="6"/>
  <c r="D5" i="17"/>
  <c r="D35" i="17"/>
  <c r="H65" i="8"/>
  <c r="H69" i="8"/>
  <c r="H76" i="8"/>
  <c r="G55" i="8"/>
  <c r="G41" i="8"/>
  <c r="H70" i="8"/>
  <c r="B6" i="39"/>
  <c r="B7" i="39"/>
  <c r="B9" i="39"/>
  <c r="H77" i="8"/>
  <c r="C99" i="9"/>
  <c r="C46" i="17"/>
  <c r="D29" i="24"/>
  <c r="D30" i="24" s="1"/>
  <c r="C5" i="17"/>
  <c r="C35" i="17" s="1"/>
  <c r="E24" i="12"/>
  <c r="C41" i="35"/>
  <c r="H63" i="35"/>
  <c r="H61" i="35"/>
  <c r="H35" i="35"/>
  <c r="G19" i="35"/>
  <c r="G51" i="35"/>
  <c r="D5" i="35"/>
  <c r="B11" i="39"/>
  <c r="K27" i="12"/>
  <c r="G39" i="12"/>
  <c r="K42" i="12"/>
  <c r="C9" i="21"/>
  <c r="G27" i="34"/>
  <c r="E28" i="34" s="1"/>
  <c r="N23" i="12"/>
  <c r="B36" i="14"/>
  <c r="B18" i="14"/>
  <c r="B32" i="14"/>
  <c r="B13" i="14"/>
  <c r="B34" i="14"/>
  <c r="A9" i="14"/>
  <c r="C15" i="14"/>
  <c r="B30" i="14"/>
  <c r="B6" i="14"/>
  <c r="E33" i="9"/>
  <c r="G22" i="12"/>
  <c r="E33" i="8"/>
  <c r="E52" i="6"/>
  <c r="D74" i="9"/>
  <c r="E5" i="10"/>
  <c r="E46" i="10"/>
  <c r="G19" i="8"/>
  <c r="H29" i="8"/>
  <c r="G80" i="8"/>
  <c r="H66" i="8"/>
  <c r="H26" i="8"/>
  <c r="H75" i="8"/>
  <c r="B71" i="8"/>
  <c r="G59" i="8"/>
  <c r="H64" i="8"/>
  <c r="B76" i="8"/>
  <c r="G62" i="8"/>
  <c r="G81" i="8"/>
  <c r="H36" i="8"/>
  <c r="B36" i="8"/>
  <c r="H37" i="8"/>
  <c r="H30" i="8"/>
  <c r="H34" i="8"/>
  <c r="B31" i="8"/>
  <c r="H27" i="8"/>
  <c r="G15" i="8"/>
  <c r="G22" i="8"/>
  <c r="H25" i="8"/>
  <c r="C81" i="8"/>
  <c r="C41" i="8"/>
  <c r="H67" i="8"/>
  <c r="H74" i="8"/>
  <c r="H35" i="8"/>
  <c r="D21" i="8"/>
  <c r="C63" i="8"/>
  <c r="G35" i="8"/>
  <c r="C23" i="8"/>
  <c r="C35" i="8" s="1"/>
  <c r="D6" i="8" s="1"/>
  <c r="C62" i="35"/>
  <c r="C74" i="35" s="1"/>
  <c r="C99" i="35" s="1"/>
  <c r="H24" i="35"/>
  <c r="H66" i="35"/>
  <c r="H37" i="35"/>
  <c r="G15" i="35"/>
  <c r="H71" i="35"/>
  <c r="G41" i="35"/>
  <c r="H36" i="35"/>
  <c r="B31" i="35"/>
  <c r="H72" i="35"/>
  <c r="H65" i="35"/>
  <c r="H70" i="35"/>
  <c r="D44" i="35"/>
  <c r="C80" i="35"/>
  <c r="E29" i="34"/>
  <c r="D22" i="3"/>
  <c r="H62" i="35"/>
  <c r="G76" i="35"/>
  <c r="G55" i="35"/>
  <c r="C44" i="35"/>
  <c r="E44" i="35"/>
  <c r="G77" i="35"/>
  <c r="E5" i="35"/>
  <c r="B36" i="35"/>
  <c r="G58" i="35"/>
  <c r="H60" i="35"/>
  <c r="H30" i="35"/>
  <c r="H26" i="35"/>
  <c r="G22" i="35"/>
  <c r="H34" i="35"/>
  <c r="C5" i="35"/>
  <c r="B75" i="35"/>
  <c r="H25" i="35"/>
  <c r="H29" i="35"/>
  <c r="C28" i="12"/>
  <c r="E33" i="10"/>
  <c r="C21" i="10"/>
  <c r="G60" i="10"/>
  <c r="B31" i="10"/>
  <c r="H65" i="10"/>
  <c r="G56" i="10"/>
  <c r="G40" i="10"/>
  <c r="B77" i="10"/>
  <c r="G22" i="10"/>
  <c r="D101" i="10"/>
  <c r="H29" i="10"/>
  <c r="B72" i="10"/>
  <c r="E26" i="12"/>
  <c r="G70" i="10"/>
  <c r="H25" i="10"/>
  <c r="G15" i="10"/>
  <c r="H75" i="10"/>
  <c r="H76" i="10"/>
  <c r="G82" i="10"/>
  <c r="H68" i="10"/>
  <c r="E77" i="10"/>
  <c r="D74" i="10"/>
  <c r="H27" i="10"/>
  <c r="D99" i="10"/>
  <c r="B38" i="10"/>
  <c r="H70" i="10"/>
  <c r="H35" i="10"/>
  <c r="C41" i="10"/>
  <c r="H24" i="10"/>
  <c r="H67" i="10"/>
  <c r="H34" i="9"/>
  <c r="B36" i="9"/>
  <c r="C24" i="12"/>
  <c r="H77" i="9"/>
  <c r="G15" i="9"/>
  <c r="E77" i="9"/>
  <c r="H66" i="9"/>
  <c r="B77" i="9"/>
  <c r="C33" i="9"/>
  <c r="D28" i="3"/>
  <c r="H68" i="9"/>
  <c r="G41" i="9"/>
  <c r="H29" i="9"/>
  <c r="E79" i="9"/>
  <c r="B72" i="9"/>
  <c r="H24" i="9"/>
  <c r="H70" i="9"/>
  <c r="G70" i="9"/>
  <c r="F37" i="9"/>
  <c r="E38" i="9"/>
  <c r="G24" i="12"/>
  <c r="G40" i="8"/>
  <c r="B38" i="7"/>
  <c r="D21" i="9"/>
  <c r="C21" i="35"/>
  <c r="C27" i="21"/>
  <c r="C29" i="21"/>
  <c r="C33" i="12" s="1"/>
  <c r="C26" i="17"/>
  <c r="C98" i="8"/>
  <c r="G29" i="8"/>
  <c r="C33" i="8"/>
  <c r="C22" i="12"/>
  <c r="E38" i="10"/>
  <c r="F37" i="10"/>
  <c r="E36" i="10"/>
  <c r="D29" i="3"/>
  <c r="G26" i="12"/>
  <c r="E72" i="35"/>
  <c r="F76" i="35"/>
  <c r="D23" i="3"/>
  <c r="G20" i="12"/>
  <c r="D62" i="10"/>
  <c r="C64" i="9"/>
  <c r="C62" i="9"/>
  <c r="D23" i="8"/>
  <c r="D35" i="8" s="1"/>
  <c r="D60" i="17"/>
  <c r="C26" i="7"/>
  <c r="C44" i="7" s="1"/>
  <c r="D6" i="7" s="1"/>
  <c r="G19" i="9"/>
  <c r="B54" i="17"/>
  <c r="D61" i="35"/>
  <c r="D60" i="35" s="1"/>
  <c r="E5" i="7"/>
  <c r="E5" i="9"/>
  <c r="E46" i="9" s="1"/>
  <c r="B47" i="7"/>
  <c r="H27" i="9"/>
  <c r="B29" i="17"/>
  <c r="E33" i="35"/>
  <c r="G21" i="12"/>
  <c r="G38" i="7"/>
  <c r="C16" i="17"/>
  <c r="C28" i="17" s="1"/>
  <c r="D6" i="17" s="1"/>
  <c r="D16" i="17" s="1"/>
  <c r="D28" i="17" s="1"/>
  <c r="C40" i="7"/>
  <c r="C31" i="17"/>
  <c r="C29" i="6"/>
  <c r="C47" i="6" s="1"/>
  <c r="C50" i="6"/>
  <c r="G45" i="6" s="1"/>
  <c r="G40" i="4"/>
  <c r="E25" i="7"/>
  <c r="G34" i="7" s="1"/>
  <c r="C18" i="12"/>
  <c r="G19" i="31"/>
  <c r="C97" i="35" l="1"/>
  <c r="D6" i="35"/>
  <c r="D23" i="35" s="1"/>
  <c r="D35" i="35" s="1"/>
  <c r="D97" i="35" s="1"/>
  <c r="B39" i="35" s="1"/>
  <c r="E22" i="9"/>
  <c r="G25" i="9" s="1"/>
  <c r="D47" i="9"/>
  <c r="D64" i="9" s="1"/>
  <c r="D76" i="9" s="1"/>
  <c r="D102" i="9" s="1"/>
  <c r="B80" i="9" s="1"/>
  <c r="C102" i="9"/>
  <c r="E22" i="35"/>
  <c r="G25" i="35" s="1"/>
  <c r="B32" i="21"/>
  <c r="F78" i="10"/>
  <c r="F77" i="8"/>
  <c r="C60" i="17"/>
  <c r="C29" i="12"/>
  <c r="D11" i="4"/>
  <c r="E10" i="6" s="1"/>
  <c r="D27" i="21"/>
  <c r="D29" i="21" s="1"/>
  <c r="E33" i="12" s="1"/>
  <c r="B3" i="22"/>
  <c r="H37" i="9"/>
  <c r="H71" i="9"/>
  <c r="H25" i="9"/>
  <c r="G56" i="9"/>
  <c r="H65" i="9"/>
  <c r="H76" i="9"/>
  <c r="G81" i="9"/>
  <c r="G27" i="12"/>
  <c r="C100" i="10"/>
  <c r="C58" i="17"/>
  <c r="D36" i="17" s="1"/>
  <c r="D30" i="17"/>
  <c r="E74" i="10"/>
  <c r="D5" i="8"/>
  <c r="D45" i="8" s="1"/>
  <c r="D5" i="9"/>
  <c r="D46" i="9" s="1"/>
  <c r="D5" i="10"/>
  <c r="D46" i="10" s="1"/>
  <c r="D5" i="7"/>
  <c r="C56" i="17"/>
  <c r="K41" i="12"/>
  <c r="E14" i="12"/>
  <c r="C20" i="12"/>
  <c r="G65" i="35"/>
  <c r="D32" i="12"/>
  <c r="C98" i="35"/>
  <c r="E25" i="6"/>
  <c r="E16" i="22"/>
  <c r="E62" i="8"/>
  <c r="C75" i="8"/>
  <c r="D46" i="8" s="1"/>
  <c r="D63" i="8" s="1"/>
  <c r="D75" i="8" s="1"/>
  <c r="B79" i="9"/>
  <c r="D96" i="35"/>
  <c r="D33" i="35"/>
  <c r="D100" i="8"/>
  <c r="D30" i="3"/>
  <c r="C100" i="8"/>
  <c r="B78" i="8" s="1"/>
  <c r="A19" i="22"/>
  <c r="C5" i="22"/>
  <c r="E26" i="17"/>
  <c r="G28" i="12"/>
  <c r="G28" i="7"/>
  <c r="G49" i="7"/>
  <c r="H45" i="7"/>
  <c r="H44" i="7"/>
  <c r="G50" i="7"/>
  <c r="B31" i="9"/>
  <c r="C41" i="9"/>
  <c r="G63" i="9"/>
  <c r="H30" i="9"/>
  <c r="H78" i="9"/>
  <c r="H35" i="9"/>
  <c r="C78" i="7"/>
  <c r="C74" i="9"/>
  <c r="H75" i="9"/>
  <c r="H39" i="7"/>
  <c r="C82" i="9"/>
  <c r="H67" i="9"/>
  <c r="G22" i="9"/>
  <c r="H36" i="9"/>
  <c r="H26" i="9"/>
  <c r="G60" i="9"/>
  <c r="D26" i="17"/>
  <c r="H35" i="7"/>
  <c r="H11" i="4"/>
  <c r="E76" i="8"/>
  <c r="D26" i="3"/>
  <c r="F54" i="6"/>
  <c r="D21" i="3"/>
  <c r="A6" i="20"/>
  <c r="A7" i="20"/>
  <c r="A41" i="20"/>
  <c r="A45" i="20"/>
  <c r="C30" i="17"/>
  <c r="E19" i="12"/>
  <c r="E77" i="35"/>
  <c r="E75" i="35"/>
  <c r="D101" i="9"/>
  <c r="K28" i="24"/>
  <c r="C30" i="12" s="1"/>
  <c r="E25" i="12"/>
  <c r="D98" i="8"/>
  <c r="B38" i="8" s="1"/>
  <c r="A3" i="14"/>
  <c r="B40" i="14"/>
  <c r="C14" i="14"/>
  <c r="C26" i="12"/>
  <c r="F29" i="24"/>
  <c r="F30" i="24" s="1"/>
  <c r="G65" i="8"/>
  <c r="D99" i="8"/>
  <c r="E6" i="8"/>
  <c r="G24" i="8"/>
  <c r="E47" i="9"/>
  <c r="E6" i="35"/>
  <c r="E23" i="35" s="1"/>
  <c r="E39" i="35" s="1"/>
  <c r="E40" i="35" s="1"/>
  <c r="G24" i="35"/>
  <c r="C101" i="8"/>
  <c r="D40" i="7"/>
  <c r="D44" i="7"/>
  <c r="E6" i="17"/>
  <c r="E16" i="17" s="1"/>
  <c r="E28" i="17" s="1"/>
  <c r="E30" i="17" s="1"/>
  <c r="D31" i="17"/>
  <c r="G26" i="14"/>
  <c r="J28" i="14" s="1"/>
  <c r="J30" i="14" s="1"/>
  <c r="C27" i="12"/>
  <c r="C76" i="10"/>
  <c r="C74" i="10"/>
  <c r="B47" i="34"/>
  <c r="B84" i="34"/>
  <c r="B89" i="34"/>
  <c r="C74" i="6"/>
  <c r="D34" i="4"/>
  <c r="D45" i="35"/>
  <c r="D62" i="35" s="1"/>
  <c r="D74" i="35" s="1"/>
  <c r="B51" i="3"/>
  <c r="B12" i="12"/>
  <c r="K28" i="12"/>
  <c r="B11" i="12"/>
  <c r="K21" i="12"/>
  <c r="E39" i="12"/>
  <c r="G14" i="12"/>
  <c r="K35" i="12"/>
  <c r="K32" i="12"/>
  <c r="C14" i="12"/>
  <c r="K25" i="12"/>
  <c r="K43" i="12"/>
  <c r="D44" i="17"/>
  <c r="D46" i="17"/>
  <c r="D58" i="17" s="1"/>
  <c r="E36" i="17" s="1"/>
  <c r="E46" i="17" s="1"/>
  <c r="E58" i="17" s="1"/>
  <c r="E60" i="17" s="1"/>
  <c r="C21" i="9"/>
  <c r="C23" i="9"/>
  <c r="C35" i="9" s="1"/>
  <c r="K18" i="24"/>
  <c r="D72" i="35"/>
  <c r="E20" i="12"/>
  <c r="D98" i="35"/>
  <c r="B77" i="35" s="1"/>
  <c r="D21" i="10"/>
  <c r="D23" i="10"/>
  <c r="D35" i="10" s="1"/>
  <c r="C49" i="6"/>
  <c r="D21" i="4"/>
  <c r="G21" i="4"/>
  <c r="F38" i="4"/>
  <c r="C5" i="8"/>
  <c r="C45" i="8" s="1"/>
  <c r="B29" i="24"/>
  <c r="E23" i="12"/>
  <c r="C39" i="12"/>
  <c r="D24" i="7"/>
  <c r="D57" i="7"/>
  <c r="E63" i="9"/>
  <c r="E11" i="8"/>
  <c r="E22" i="8" s="1"/>
  <c r="E11" i="4"/>
  <c r="E12" i="3"/>
  <c r="A15" i="3"/>
  <c r="A9" i="3"/>
  <c r="A8" i="3"/>
  <c r="B41" i="3"/>
  <c r="G69" i="8"/>
  <c r="C73" i="8"/>
  <c r="C23" i="12"/>
  <c r="E51" i="35"/>
  <c r="F11" i="4"/>
  <c r="E29" i="12"/>
  <c r="D56" i="17"/>
  <c r="C51" i="6"/>
  <c r="G24" i="14"/>
  <c r="H42" i="4"/>
  <c r="F12" i="21"/>
  <c r="C99" i="8"/>
  <c r="B39" i="8" s="1"/>
  <c r="F32" i="12"/>
  <c r="C101" i="10"/>
  <c r="C5" i="10"/>
  <c r="C46" i="10" s="1"/>
  <c r="H15" i="12"/>
  <c r="K34" i="12"/>
  <c r="D32" i="3"/>
  <c r="G29" i="12"/>
  <c r="E59" i="17"/>
  <c r="E56" i="17"/>
  <c r="B24" i="17"/>
  <c r="B59" i="17"/>
  <c r="D99" i="9"/>
  <c r="B38" i="9" s="1"/>
  <c r="D33" i="9"/>
  <c r="K17" i="24"/>
  <c r="K30" i="24" s="1"/>
  <c r="J83" i="32"/>
  <c r="G25" i="12"/>
  <c r="E74" i="9"/>
  <c r="E36" i="8"/>
  <c r="F37" i="8"/>
  <c r="D16" i="22"/>
  <c r="C19" i="12"/>
  <c r="G29" i="35"/>
  <c r="C96" i="35"/>
  <c r="E22" i="34"/>
  <c r="G43" i="12"/>
  <c r="A29" i="22"/>
  <c r="C46" i="20"/>
  <c r="H23" i="13"/>
  <c r="A12" i="20"/>
  <c r="B46" i="20"/>
  <c r="H34" i="7"/>
  <c r="H33" i="7"/>
  <c r="B45" i="7"/>
  <c r="G24" i="7"/>
  <c r="A31" i="20"/>
  <c r="A8" i="20"/>
  <c r="K6" i="13"/>
  <c r="G23" i="13"/>
  <c r="E54" i="6"/>
  <c r="G18" i="12"/>
  <c r="E49" i="6"/>
  <c r="E43" i="12"/>
  <c r="C43" i="12"/>
  <c r="D9" i="31"/>
  <c r="E14" i="6" l="1"/>
  <c r="H21" i="4"/>
  <c r="B38" i="35"/>
  <c r="G65" i="9"/>
  <c r="D35" i="3"/>
  <c r="C32" i="12"/>
  <c r="C34" i="12" s="1"/>
  <c r="G64" i="8"/>
  <c r="D101" i="8"/>
  <c r="B79" i="8" s="1"/>
  <c r="E46" i="8"/>
  <c r="E63" i="8" s="1"/>
  <c r="E79" i="8" s="1"/>
  <c r="E45" i="35"/>
  <c r="D99" i="35"/>
  <c r="B78" i="35" s="1"/>
  <c r="G60" i="35"/>
  <c r="D78" i="7"/>
  <c r="B48" i="7" s="1"/>
  <c r="E6" i="7"/>
  <c r="E26" i="7" s="1"/>
  <c r="G33" i="7"/>
  <c r="G37" i="8"/>
  <c r="G53" i="6"/>
  <c r="G46" i="7"/>
  <c r="G77" i="8"/>
  <c r="G73" i="35"/>
  <c r="G37" i="9"/>
  <c r="G37" i="10"/>
  <c r="G78" i="9"/>
  <c r="N27" i="12"/>
  <c r="N35" i="12" s="1"/>
  <c r="G37" i="35"/>
  <c r="G78" i="10"/>
  <c r="F21" i="4"/>
  <c r="E12" i="6"/>
  <c r="E11" i="6"/>
  <c r="E21" i="4"/>
  <c r="B30" i="24"/>
  <c r="K29" i="24"/>
  <c r="E6" i="10"/>
  <c r="E23" i="10" s="1"/>
  <c r="E39" i="10" s="1"/>
  <c r="D100" i="10"/>
  <c r="B39" i="10" s="1"/>
  <c r="G24" i="10"/>
  <c r="C75" i="6"/>
  <c r="D6" i="6"/>
  <c r="D29" i="6" s="1"/>
  <c r="G19" i="34"/>
  <c r="E61" i="35"/>
  <c r="E23" i="8"/>
  <c r="E39" i="8" s="1"/>
  <c r="G25" i="8"/>
  <c r="C102" i="10"/>
  <c r="D47" i="10"/>
  <c r="D64" i="10" s="1"/>
  <c r="D76" i="10" s="1"/>
  <c r="E64" i="9"/>
  <c r="E80" i="9" s="1"/>
  <c r="G66" i="9"/>
  <c r="D6" i="9"/>
  <c r="D23" i="9" s="1"/>
  <c r="D35" i="9" s="1"/>
  <c r="C100" i="9"/>
  <c r="G32" i="12"/>
  <c r="G34" i="12" s="1"/>
  <c r="E41" i="35"/>
  <c r="E28" i="6" l="1"/>
  <c r="G41" i="6" s="1"/>
  <c r="E81" i="9"/>
  <c r="E82" i="9" s="1"/>
  <c r="G61" i="35"/>
  <c r="E62" i="35"/>
  <c r="E78" i="35" s="1"/>
  <c r="J32" i="14"/>
  <c r="J34" i="14" s="1"/>
  <c r="J41" i="14" s="1"/>
  <c r="E22" i="3"/>
  <c r="H19" i="12"/>
  <c r="F22" i="3"/>
  <c r="I19" i="12"/>
  <c r="G34" i="35" s="1"/>
  <c r="E21" i="35"/>
  <c r="E6" i="9"/>
  <c r="E23" i="9" s="1"/>
  <c r="E39" i="9" s="1"/>
  <c r="G24" i="9"/>
  <c r="D100" i="9"/>
  <c r="B39" i="9" s="1"/>
  <c r="E80" i="8"/>
  <c r="E81" i="8" s="1"/>
  <c r="E40" i="10"/>
  <c r="E41" i="10"/>
  <c r="D47" i="6"/>
  <c r="D50" i="6" s="1"/>
  <c r="D51" i="6"/>
  <c r="G26" i="35"/>
  <c r="G65" i="10"/>
  <c r="D102" i="10"/>
  <c r="E47" i="10"/>
  <c r="E64" i="10" s="1"/>
  <c r="E80" i="10" s="1"/>
  <c r="E40" i="8"/>
  <c r="E41" i="8" s="1"/>
  <c r="E48" i="7"/>
  <c r="I25" i="12" l="1"/>
  <c r="G75" i="9" s="1"/>
  <c r="H25" i="12"/>
  <c r="F28" i="3"/>
  <c r="E28" i="3"/>
  <c r="E62" i="9"/>
  <c r="K29" i="35"/>
  <c r="G27" i="35"/>
  <c r="G30" i="35" s="1"/>
  <c r="E81" i="10"/>
  <c r="D49" i="6"/>
  <c r="E18" i="12"/>
  <c r="E32" i="12" s="1"/>
  <c r="E34" i="12" s="1"/>
  <c r="D74" i="6"/>
  <c r="B54" i="6" s="1"/>
  <c r="G26" i="10"/>
  <c r="E79" i="35"/>
  <c r="E49" i="7"/>
  <c r="E50" i="7" s="1"/>
  <c r="G35" i="7"/>
  <c r="D75" i="6"/>
  <c r="B55" i="6" s="1"/>
  <c r="E6" i="6"/>
  <c r="E29" i="6" s="1"/>
  <c r="E55" i="6" s="1"/>
  <c r="G40" i="6"/>
  <c r="I26" i="12"/>
  <c r="G34" i="10" s="1"/>
  <c r="F29" i="3"/>
  <c r="H26" i="12"/>
  <c r="E21" i="10"/>
  <c r="E29" i="3"/>
  <c r="G26" i="8"/>
  <c r="G66" i="8"/>
  <c r="E40" i="9"/>
  <c r="E41" i="9" s="1"/>
  <c r="G67" i="9"/>
  <c r="H22" i="12"/>
  <c r="E25" i="3"/>
  <c r="I22" i="12"/>
  <c r="G34" i="8" s="1"/>
  <c r="F25" i="3"/>
  <c r="E21" i="8"/>
  <c r="E26" i="3"/>
  <c r="F26" i="3"/>
  <c r="H23" i="12"/>
  <c r="I23" i="12"/>
  <c r="G74" i="8" s="1"/>
  <c r="E61" i="8"/>
  <c r="J40" i="10"/>
  <c r="J81" i="9"/>
  <c r="J49" i="7"/>
  <c r="J81" i="10"/>
  <c r="J40" i="9"/>
  <c r="J40" i="8"/>
  <c r="J40" i="35"/>
  <c r="J80" i="8"/>
  <c r="J56" i="6"/>
  <c r="J76" i="35"/>
  <c r="E56" i="6"/>
  <c r="E57" i="6" s="1"/>
  <c r="G42" i="6"/>
  <c r="I21" i="12" l="1"/>
  <c r="G43" i="7" s="1"/>
  <c r="E24" i="7"/>
  <c r="H21" i="12"/>
  <c r="F24" i="3"/>
  <c r="E24" i="3"/>
  <c r="E40" i="7"/>
  <c r="K36" i="7"/>
  <c r="G36" i="7"/>
  <c r="G39" i="7" s="1"/>
  <c r="K66" i="8"/>
  <c r="G67" i="8"/>
  <c r="G70" i="8" s="1"/>
  <c r="K67" i="9"/>
  <c r="G68" i="9"/>
  <c r="G71" i="9" s="1"/>
  <c r="K26" i="10"/>
  <c r="G27" i="10"/>
  <c r="G30" i="10" s="1"/>
  <c r="F27" i="3"/>
  <c r="I24" i="12"/>
  <c r="G34" i="9" s="1"/>
  <c r="E21" i="9"/>
  <c r="E27" i="3"/>
  <c r="H24" i="12"/>
  <c r="G26" i="9"/>
  <c r="K26" i="8"/>
  <c r="G27" i="8"/>
  <c r="G30" i="8" s="1"/>
  <c r="E80" i="35"/>
  <c r="E82" i="10"/>
  <c r="G67" i="10" s="1"/>
  <c r="E27" i="6"/>
  <c r="E21" i="3"/>
  <c r="F21" i="3" s="1"/>
  <c r="H18" i="12"/>
  <c r="E47" i="6"/>
  <c r="K43" i="6"/>
  <c r="G43" i="6"/>
  <c r="G46" i="6" s="1"/>
  <c r="K67" i="10" l="1"/>
  <c r="G68" i="10"/>
  <c r="G71" i="10" s="1"/>
  <c r="E23" i="3"/>
  <c r="G15" i="34"/>
  <c r="G22" i="34" s="1"/>
  <c r="I20" i="12"/>
  <c r="F23" i="3"/>
  <c r="F35" i="3" s="1"/>
  <c r="H20" i="12"/>
  <c r="E60" i="35"/>
  <c r="F30" i="3"/>
  <c r="E30" i="3"/>
  <c r="H27" i="12"/>
  <c r="I27" i="12"/>
  <c r="G75" i="10" s="1"/>
  <c r="E62" i="10"/>
  <c r="K26" i="9"/>
  <c r="G27" i="9"/>
  <c r="G30" i="9" s="1"/>
  <c r="H32" i="12"/>
  <c r="J41" i="8" s="1"/>
  <c r="G62" i="35"/>
  <c r="I18" i="12"/>
  <c r="G50" i="6" s="1"/>
  <c r="E35" i="3"/>
  <c r="F37" i="3" s="1"/>
  <c r="E45" i="6"/>
  <c r="J81" i="8"/>
  <c r="J50" i="7"/>
  <c r="J82" i="9" l="1"/>
  <c r="J77" i="35"/>
  <c r="J41" i="10"/>
  <c r="J41" i="9"/>
  <c r="J41" i="35"/>
  <c r="N34" i="12"/>
  <c r="N36" i="12" s="1"/>
  <c r="J57" i="6"/>
  <c r="J82" i="10"/>
  <c r="I32" i="12"/>
  <c r="K68" i="35"/>
  <c r="G63" i="35"/>
  <c r="G66" i="35" s="1"/>
  <c r="G70" i="35"/>
  <c r="G29" i="34"/>
  <c r="E30" i="34" s="1"/>
  <c r="D31" i="34" s="1"/>
  <c r="E23" i="34"/>
  <c r="D24" i="34"/>
  <c r="F33" i="34" s="1"/>
  <c r="F80" i="35" s="1"/>
  <c r="N30" i="12"/>
  <c r="K30" i="12" s="1"/>
  <c r="N29" i="12"/>
  <c r="K29" i="12" s="1"/>
  <c r="G36" i="10"/>
  <c r="G45" i="7"/>
  <c r="N40" i="12"/>
  <c r="G77" i="10"/>
  <c r="G36" i="35"/>
  <c r="G36" i="8"/>
  <c r="G52" i="6"/>
  <c r="G76" i="8"/>
  <c r="G77" i="9"/>
  <c r="G36" i="9"/>
  <c r="G72" i="35"/>
  <c r="J79" i="8"/>
  <c r="J80" i="10"/>
  <c r="J75" i="35"/>
  <c r="J39" i="9"/>
  <c r="J39" i="10"/>
  <c r="J39" i="8"/>
  <c r="J55" i="6"/>
  <c r="J80" i="9"/>
  <c r="J48" i="7"/>
  <c r="J39" i="35"/>
</calcChain>
</file>

<file path=xl/sharedStrings.xml><?xml version="1.0" encoding="utf-8"?>
<sst xmlns="http://schemas.openxmlformats.org/spreadsheetml/2006/main" count="1643" uniqueCount="1001">
  <si>
    <t>Special Road Election held ___________ for ___Mills for ___ years.</t>
  </si>
  <si>
    <t>First levy in ______.</t>
  </si>
  <si>
    <t>$</t>
  </si>
  <si>
    <t>Rate</t>
  </si>
  <si>
    <t>Amount</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</si>
  <si>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</si>
  <si>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</si>
  <si>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</si>
  <si>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</si>
  <si>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</si>
  <si>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</si>
  <si>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</si>
  <si>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</si>
  <si>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</si>
  <si>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</si>
  <si>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</si>
  <si>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</si>
  <si>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</si>
  <si>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</si>
  <si>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</si>
  <si>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</si>
  <si>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</si>
  <si>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</si>
  <si>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</si>
  <si>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</si>
  <si>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</si>
  <si>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</si>
  <si>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</si>
  <si>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</si>
  <si>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</si>
  <si>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</si>
  <si>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</si>
  <si>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</si>
  <si>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</si>
  <si>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</si>
  <si>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</si>
  <si>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</si>
  <si>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</si>
  <si>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</si>
  <si>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</si>
  <si>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</si>
  <si>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</si>
  <si>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</si>
  <si>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</si>
  <si>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</si>
  <si>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</si>
  <si>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</si>
  <si>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</si>
  <si>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</si>
  <si>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</si>
  <si>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</si>
  <si>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</si>
  <si>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</si>
  <si>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</si>
  <si>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</si>
  <si>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</si>
  <si>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</si>
  <si>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</si>
  <si>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</si>
  <si>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</si>
  <si>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</si>
  <si>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</si>
  <si>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</si>
  <si>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</si>
  <si>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</si>
  <si>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</si>
  <si>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</si>
  <si>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</si>
  <si>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</si>
  <si>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</si>
  <si>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</si>
  <si>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</si>
  <si>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</si>
  <si>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</si>
  <si>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</si>
  <si>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</si>
  <si>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</si>
  <si>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</si>
  <si>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</si>
  <si>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</si>
  <si>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</si>
  <si>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</si>
  <si>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</si>
  <si>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</si>
  <si>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</si>
  <si>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</si>
  <si>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</si>
  <si>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</si>
  <si>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</si>
  <si>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</si>
  <si>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</si>
  <si>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</si>
  <si>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</si>
  <si>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</si>
  <si>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</si>
  <si>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</si>
  <si>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</si>
  <si>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</si>
  <si>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</si>
  <si>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</si>
  <si>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</si>
  <si>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</si>
  <si>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</si>
  <si>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</si>
  <si>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</si>
  <si>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</si>
  <si>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</si>
  <si>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</si>
  <si>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</si>
  <si>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</si>
  <si>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</si>
  <si>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</si>
  <si>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</si>
  <si>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</si>
  <si>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</si>
  <si>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</si>
  <si>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</si>
  <si>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 xml:space="preserve">The input for the following comes directly from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</si>
  <si>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</si>
  <si>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</si>
  <si>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</si>
  <si>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</si>
  <si>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</si>
  <si>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</si>
  <si>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</si>
  <si>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</si>
  <si>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</si>
  <si>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</si>
  <si>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</si>
  <si>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</si>
  <si>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</si>
  <si>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</si>
  <si>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</si>
  <si>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</si>
  <si>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</si>
  <si>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</si>
  <si>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</si>
  <si>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</si>
  <si>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</si>
  <si>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</si>
  <si>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</si>
  <si>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</si>
  <si>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</si>
  <si>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</si>
  <si>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</si>
  <si>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</si>
  <si>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</si>
  <si>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</si>
  <si>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</si>
  <si>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</si>
  <si>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</si>
  <si>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</si>
  <si>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</si>
  <si>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</si>
  <si>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</si>
  <si>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</si>
  <si>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</si>
  <si>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</si>
  <si>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</si>
  <si>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</si>
  <si>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</si>
  <si>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</si>
  <si>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</si>
  <si>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</si>
  <si>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</si>
  <si>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</si>
  <si>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</si>
  <si>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</si>
  <si>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</si>
  <si>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</si>
  <si>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</si>
  <si>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</si>
  <si>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</si>
  <si>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</si>
  <si>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</si>
  <si>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</si>
  <si>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</si>
  <si>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</si>
  <si>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</si>
  <si>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</si>
  <si>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</si>
  <si>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</si>
  <si>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</si>
  <si>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</si>
  <si>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</si>
  <si>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</si>
  <si>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</si>
  <si>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</si>
  <si>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</si>
  <si>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</si>
  <si>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</si>
  <si>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</si>
  <si>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</si>
  <si>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</si>
  <si>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</si>
  <si>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</si>
  <si>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</si>
  <si>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</si>
  <si>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</si>
  <si>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</si>
  <si>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</si>
  <si>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</si>
  <si>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</si>
  <si>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</si>
  <si>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</si>
  <si>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</si>
  <si>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</si>
  <si>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</si>
  <si>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</si>
  <si>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</si>
  <si>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</si>
  <si>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</si>
  <si>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</si>
  <si>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</si>
  <si>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</si>
  <si>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</si>
  <si>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</si>
  <si>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</si>
  <si>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</si>
  <si>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</si>
  <si>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</si>
  <si>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</si>
  <si>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</si>
  <si>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</si>
  <si>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</si>
  <si>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</si>
  <si>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</si>
  <si>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</si>
  <si>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</si>
  <si>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</si>
  <si>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</si>
  <si>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</si>
  <si>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</si>
  <si>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</si>
  <si>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</si>
  <si>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</si>
  <si>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</si>
  <si>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</si>
  <si>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</si>
  <si>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</si>
  <si>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</si>
  <si>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</si>
  <si>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</si>
  <si>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</si>
  <si>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</si>
  <si>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</si>
  <si>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</si>
  <si>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</si>
  <si>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</si>
  <si>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</si>
  <si>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</si>
  <si>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</si>
  <si>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</si>
  <si>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</si>
  <si>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1. General fund cell c51formula changed to calulate the Unecumber Cash Balance correctly.</t>
  </si>
  <si>
    <t>1. Instruction under Submitting of Budget ….required electronic submission.</t>
  </si>
  <si>
    <t>2. Input other tab line 45 change from Budget Summary to Budget Certificate.</t>
  </si>
  <si>
    <t>Debt Service</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</si>
  <si>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</si>
  <si>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</si>
  <si>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</si>
  <si>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</si>
  <si>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</si>
  <si>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</si>
  <si>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</si>
  <si>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</si>
  <si>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</si>
  <si>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</si>
  <si>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</si>
  <si>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</si>
  <si>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</si>
  <si>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</si>
  <si>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</si>
  <si>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</si>
  <si>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</si>
  <si>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</si>
  <si>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</si>
  <si>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</si>
  <si>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</si>
  <si>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</si>
  <si>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</si>
  <si>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</si>
  <si>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</si>
  <si>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</si>
  <si>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</si>
  <si>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</si>
  <si>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</si>
  <si>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</si>
  <si>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</si>
  <si>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</si>
  <si>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</si>
  <si>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</si>
  <si>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</si>
  <si>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</si>
  <si>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</si>
  <si>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</si>
  <si>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</si>
  <si>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</si>
  <si>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</si>
  <si>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</si>
  <si>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</si>
  <si>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</si>
  <si>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</si>
  <si>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</si>
  <si>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</si>
  <si>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</si>
  <si>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</si>
  <si>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</si>
  <si>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</si>
  <si>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</si>
  <si>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</si>
  <si>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</si>
  <si>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</si>
  <si>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</si>
  <si>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</si>
  <si>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</si>
  <si>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</si>
  <si>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</si>
  <si>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</si>
  <si>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</si>
  <si>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</si>
  <si>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</si>
  <si>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</si>
  <si>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</si>
  <si>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</si>
  <si>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</si>
  <si>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</si>
  <si>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</si>
  <si>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</si>
  <si>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</si>
  <si>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</si>
  <si>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</si>
  <si>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</si>
  <si>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</si>
  <si>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</si>
  <si>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</si>
  <si>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</si>
  <si>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</si>
  <si>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</si>
  <si>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</si>
  <si>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</si>
  <si>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</si>
  <si>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</si>
  <si>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</si>
  <si>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</si>
  <si>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</si>
  <si>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</si>
  <si>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</si>
  <si>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</si>
  <si>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</si>
  <si>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</si>
  <si>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</si>
  <si>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</si>
  <si>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</si>
  <si>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</si>
  <si>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</si>
  <si>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</si>
  <si>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</si>
  <si>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</si>
  <si>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</si>
  <si>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</si>
  <si>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</si>
  <si>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</si>
  <si>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</si>
  <si>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</si>
  <si>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</si>
  <si>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</si>
  <si>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</si>
  <si>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</si>
  <si>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</si>
  <si>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</si>
  <si>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</si>
  <si>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</si>
  <si>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</si>
  <si>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</si>
  <si>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</si>
  <si>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</si>
  <si>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</si>
  <si>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</si>
  <si>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</si>
  <si>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</si>
  <si>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</si>
  <si>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</si>
  <si>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</si>
  <si>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</si>
  <si>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</si>
  <si>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</si>
  <si>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</si>
  <si>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</si>
  <si>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</si>
  <si>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</si>
  <si>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</si>
  <si>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</si>
  <si>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</si>
  <si>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</si>
  <si>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</si>
  <si>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</si>
  <si>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</si>
  <si>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</si>
  <si>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</si>
  <si>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</si>
  <si>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</si>
  <si>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</si>
  <si>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</si>
  <si>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</si>
  <si>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</si>
  <si>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</si>
  <si>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</si>
  <si>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</si>
  <si>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</si>
  <si>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</si>
  <si>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</si>
  <si>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</si>
  <si>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</si>
  <si>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</si>
  <si>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</si>
  <si>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</si>
  <si>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</si>
  <si>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</si>
  <si>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</si>
  <si>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</si>
  <si>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</si>
  <si>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</si>
  <si>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</si>
  <si>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</si>
  <si>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</si>
  <si>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</si>
  <si>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</si>
  <si>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</si>
  <si>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</si>
  <si>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</si>
  <si>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</si>
  <si>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</si>
  <si>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</si>
  <si>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</si>
  <si>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</si>
  <si>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</si>
  <si>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</si>
  <si>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</si>
  <si>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</si>
  <si>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</si>
  <si>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</si>
  <si>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</si>
  <si>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</si>
  <si>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</si>
  <si>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</si>
  <si>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</si>
  <si>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</si>
  <si>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</si>
  <si>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</si>
  <si>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</si>
  <si>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</si>
  <si>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</si>
  <si>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</si>
  <si>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</si>
  <si>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</si>
  <si>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</si>
  <si>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</si>
  <si>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</si>
  <si>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</si>
  <si>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</si>
  <si>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</si>
  <si>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</si>
  <si>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</si>
  <si>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</si>
  <si>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</si>
  <si>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</si>
  <si>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</si>
  <si>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</si>
  <si>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</si>
  <si>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</si>
  <si>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</si>
  <si>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</si>
  <si>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</si>
  <si>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</si>
  <si>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</si>
  <si>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</si>
  <si>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</si>
  <si>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</si>
  <si>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</si>
  <si>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</si>
  <si>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</si>
  <si>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</si>
  <si>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</si>
  <si>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</si>
  <si>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</si>
  <si>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</si>
  <si>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</si>
  <si>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</si>
  <si>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</si>
  <si>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</si>
  <si>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</si>
  <si>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</si>
  <si>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</si>
  <si>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</si>
  <si>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</si>
  <si>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</si>
  <si>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</si>
  <si>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</si>
  <si>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</si>
  <si>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</si>
  <si>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</si>
  <si>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</si>
  <si>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</si>
  <si>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</si>
  <si>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</si>
  <si>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</si>
  <si>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</si>
  <si>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</si>
  <si>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</si>
  <si>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</si>
  <si>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</si>
  <si>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</si>
  <si>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</si>
  <si>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</si>
  <si>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</si>
  <si>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</si>
  <si>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</si>
  <si>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</si>
  <si>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</si>
  <si>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</si>
  <si>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</si>
  <si>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</si>
  <si>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</si>
  <si>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</si>
  <si>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</si>
  <si>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</si>
  <si>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</si>
  <si>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</si>
  <si>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</si>
  <si>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</si>
  <si>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</si>
  <si>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</si>
  <si>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Does misc. exceed 10% of Total Expenditures</t>
  </si>
  <si>
    <t>Non-Appropriated Balance</t>
  </si>
  <si>
    <t>Total Expenditure/Non-Appr Balance</t>
  </si>
  <si>
    <t>Delinquent Comp Rate:</t>
  </si>
  <si>
    <t>Does transfer exceed 25% of Resources Available</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</si>
  <si>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</si>
  <si>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</si>
  <si>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</si>
  <si>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</si>
  <si>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</si>
  <si>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</si>
  <si>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</si>
  <si>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</si>
  <si>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</si>
  <si>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</si>
  <si>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</si>
  <si>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</si>
  <si>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</si>
  <si>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</si>
  <si>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</si>
  <si>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</si>
  <si>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</si>
  <si>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</si>
  <si>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</si>
  <si>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</si>
  <si>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</si>
  <si>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</si>
  <si>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</si>
  <si>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</si>
  <si>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</si>
  <si>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</si>
  <si>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</si>
  <si>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</si>
  <si>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</si>
  <si>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</si>
  <si>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</si>
  <si>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</si>
  <si>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</si>
  <si>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</si>
  <si>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</si>
  <si>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</si>
  <si>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</si>
  <si>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</si>
  <si>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</si>
  <si>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</si>
  <si>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</si>
  <si>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</si>
  <si>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</si>
  <si>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</si>
  <si>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</si>
  <si>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</si>
  <si>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</si>
  <si>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</si>
  <si>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</si>
  <si>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</si>
  <si>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</si>
  <si>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</si>
  <si>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</si>
  <si>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</si>
  <si>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</si>
  <si>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</si>
  <si>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</si>
  <si>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</si>
  <si>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</si>
  <si>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</si>
  <si>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</si>
  <si>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</si>
  <si>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</si>
  <si>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</si>
  <si>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</si>
  <si>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</si>
  <si>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</si>
  <si>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</si>
  <si>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</si>
  <si>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</si>
  <si>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</si>
  <si>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</si>
  <si>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</si>
  <si>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</si>
  <si>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</si>
  <si>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</si>
  <si>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</si>
  <si>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</si>
  <si>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</si>
  <si>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</si>
  <si>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</si>
  <si>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</si>
  <si>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</si>
  <si>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</si>
  <si>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</si>
  <si>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</si>
  <si>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</si>
  <si>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</si>
  <si>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</si>
  <si>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</si>
  <si>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</si>
  <si>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</si>
  <si>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</si>
  <si>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</si>
  <si>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Lease Purchase Principal</t>
  </si>
  <si>
    <t>Transfer can not exceed 25% Resources Available</t>
  </si>
  <si>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</si>
  <si>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</si>
  <si>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</si>
  <si>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</si>
  <si>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</si>
  <si>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</si>
  <si>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</si>
  <si>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</si>
  <si>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</si>
  <si>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</si>
  <si>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</si>
  <si>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</si>
  <si>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</si>
  <si>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</si>
  <si>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</si>
  <si>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</si>
  <si>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</si>
  <si>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</si>
  <si>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</si>
  <si>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</si>
  <si>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</si>
  <si>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</si>
  <si>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</si>
  <si>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</si>
  <si>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</si>
  <si>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</si>
  <si>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</si>
  <si>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</si>
  <si>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</si>
  <si>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</si>
  <si>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</si>
  <si>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</si>
  <si>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</si>
  <si>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</si>
  <si>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</si>
  <si>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</si>
  <si>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</si>
  <si>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</si>
  <si>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</si>
  <si>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</si>
  <si>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</si>
  <si>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</si>
  <si>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</si>
  <si>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</si>
  <si>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</si>
  <si>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</si>
  <si>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</si>
  <si>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</si>
  <si>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</si>
  <si>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</si>
  <si>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</si>
  <si>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</si>
  <si>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</si>
  <si>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</si>
  <si>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</si>
  <si>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</si>
  <si>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</si>
  <si>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</si>
  <si>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</si>
  <si>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</si>
  <si>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</si>
  <si>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</si>
  <si>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</si>
  <si>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</si>
  <si>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</si>
  <si>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</si>
  <si>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</si>
  <si>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</si>
  <si>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</si>
  <si>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</si>
  <si>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</si>
  <si>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</si>
  <si>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</si>
  <si>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</si>
  <si>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</si>
  <si>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</si>
  <si>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</si>
  <si>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</si>
  <si>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</si>
  <si>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</si>
  <si>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</si>
  <si>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</si>
  <si>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</si>
  <si>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</si>
  <si>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</si>
  <si>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</si>
  <si>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</si>
  <si>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</si>
  <si>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</si>
  <si>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</si>
  <si>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</si>
  <si>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</si>
  <si>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</si>
  <si>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</si>
  <si>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</si>
  <si>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</si>
  <si>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</si>
  <si>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</si>
  <si>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</si>
  <si>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</si>
  <si>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</si>
  <si>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</si>
  <si>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</si>
  <si>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</si>
  <si>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</si>
  <si>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</si>
  <si>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</si>
  <si>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</si>
  <si>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</si>
  <si>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</si>
  <si>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</si>
  <si>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</si>
  <si>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</si>
  <si>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</si>
  <si>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</si>
  <si>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</si>
  <si>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</si>
  <si>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</si>
  <si>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</si>
  <si>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</si>
  <si>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</si>
  <si>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</si>
  <si>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</si>
  <si>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</si>
  <si>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</si>
  <si>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</si>
  <si>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</si>
  <si>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</si>
  <si>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</si>
  <si>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</si>
  <si>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</si>
  <si>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</si>
  <si>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</si>
  <si>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</si>
  <si>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</si>
  <si>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</si>
  <si>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</si>
  <si>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</si>
  <si>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</si>
  <si>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</si>
  <si>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</si>
  <si>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utilize the additional levy amounts as a part of the computation to determine the max levy amount.</t>
    </r>
  </si>
  <si>
    <t>15.</t>
  </si>
  <si>
    <t>16.</t>
  </si>
  <si>
    <t>Consumer Price Index adjustment (3 times 15)</t>
  </si>
  <si>
    <t>17.</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</si>
  <si>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</si>
  <si>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</si>
  <si>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</si>
  <si>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</si>
  <si>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</si>
  <si>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</si>
  <si>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</si>
  <si>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</si>
  <si>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</si>
  <si>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1.  Several changes to workbook associated with 2014 HB 2047.</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</si>
  <si>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</si>
  <si>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1.  Added the ROUND function to cell J38 in the computation tab so result will be a whole number.</t>
  </si>
  <si>
    <t>Input Sheet for Township Budget Workbook</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</si>
  <si>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</si>
  <si>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</si>
  <si>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</si>
  <si>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</si>
  <si>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How to Compute the Value of One Mill, and the Impact of Tax Dollars and Assessed Valuation on Mill Rates</t>
  </si>
  <si>
    <t>1.  Update of State Library contact name on library grant tab.</t>
  </si>
  <si>
    <t>Enter township name followed by "Township":</t>
  </si>
  <si>
    <t>Enter county name followed by "County":</t>
  </si>
  <si>
    <t>Township Budget Workbook Instructions</t>
  </si>
  <si>
    <t>Commercial Vehicle Tax Estimate</t>
  </si>
  <si>
    <t>Watercraft Tax Estimate</t>
  </si>
  <si>
    <t xml:space="preserve">Allocation of MV, RV, 16/20M, Commercial Vehicle, and Watercraft Tax Estimates </t>
  </si>
  <si>
    <t>County Treas Motor Vehicle Estimate</t>
  </si>
  <si>
    <t>County Treas Recreational Vehicle Estimate</t>
  </si>
  <si>
    <t>County Treas 16/20M Vehicle Estimate</t>
  </si>
  <si>
    <t>County Treas Commercial Vehicle Tax Estimate</t>
  </si>
  <si>
    <t>County Treas Watercraft Tax Estimate</t>
  </si>
  <si>
    <t>MVT Factor</t>
  </si>
  <si>
    <t>RVT Factor</t>
  </si>
  <si>
    <t>16/20M Factor</t>
  </si>
  <si>
    <t>Comm Veh Factor</t>
  </si>
  <si>
    <t>Watercraft Factor</t>
  </si>
  <si>
    <t>Comm Veh</t>
  </si>
  <si>
    <t>Watercraft</t>
  </si>
  <si>
    <t>Commercial Vehicle Tax</t>
  </si>
  <si>
    <t>Watercraft Tax</t>
  </si>
  <si>
    <t>1.  Various workbook changes associated with commercial vehicle and watercraft tax estimates.</t>
  </si>
  <si>
    <t>1.  Inserted 2014 CPI percentage on computation tab.</t>
  </si>
  <si>
    <t>2.  Corrected formula in cell d24 of library grant tab.</t>
  </si>
  <si>
    <t>Resolution required?  Vote publication required?</t>
  </si>
  <si>
    <t>or adoption of a resolution prior to adoption of the budget (14 plus 16)</t>
  </si>
  <si>
    <t xml:space="preserve">you must, prior to adoption of such budget, adopt a resolution authorizing such levy and, subsequent to adoption of such budget, publish notice of vote by the governing body to adopt such budget in the official county newspaper and </t>
  </si>
  <si>
    <t>Resolution?  Vote publication required?</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</si>
  <si>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</si>
  <si>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</si>
  <si>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</si>
  <si>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</si>
  <si>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The following changes were made to this workbook on 10/2/2015</t>
  </si>
  <si>
    <t>The following changes were made to this workbook on 1/22/2016</t>
  </si>
  <si>
    <t>1.  On tax levy funds NR estimate shown as a negative receipt.</t>
  </si>
  <si>
    <t>The following changes were made to this workbook on 2/3/2016</t>
  </si>
  <si>
    <t>1.  Inserted 2015 CPI percentage on computation tab.</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</si>
  <si>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</si>
  <si>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</si>
  <si>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</si>
  <si>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</si>
  <si>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</si>
  <si>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1/23/2015</t>
  </si>
  <si>
    <t>The following changes were made to this workbook on 10/30/2014</t>
  </si>
  <si>
    <t>The following changes were made to this workbook on 8/28/2014</t>
  </si>
  <si>
    <t>The following changes were made to this workbook on 7/15/2014</t>
  </si>
  <si>
    <t>The following changes were made to this workbook on 5/23/2014</t>
  </si>
  <si>
    <t>The following changes were made to this workbook on 4/22/2014</t>
  </si>
  <si>
    <t>The following changes were made to this workbook on 3/27/2013</t>
  </si>
  <si>
    <t>1.  Instruction tab narrative modification.</t>
  </si>
  <si>
    <t>The following changes were made to this workbook on 1/31/2013</t>
  </si>
  <si>
    <t>1.  Corrected formula in cell e28 of Library Grant tab.</t>
  </si>
  <si>
    <t>The following changes were made to this workbook on 10/8/2012</t>
  </si>
  <si>
    <t>1.  Added "ordinance required?  yes/no" message to area adjacent to each tax levy fund.</t>
  </si>
  <si>
    <t>The following changes were made to this workbook on 5/29/2012</t>
  </si>
  <si>
    <t>1. Corrected formulas for linking AV tax estimates to the Debt Service and Library funds.</t>
  </si>
  <si>
    <t>The following changes were made to this workbook on 2/22/2012</t>
  </si>
  <si>
    <t>1. Library Grant tab, updated State Library e-mail contact address.</t>
  </si>
  <si>
    <t>The following changes were made to this workbook on 2/2/2012</t>
  </si>
  <si>
    <t>1. Instruction tab - line A7 add Library.</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</si>
  <si>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</si>
  <si>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</si>
  <si>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</si>
  <si>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</si>
  <si>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</si>
  <si>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</si>
  <si>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</si>
  <si>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</si>
  <si>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</si>
  <si>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11. InputBudSum tab - added spaces for official name and title.</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</si>
  <si>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</si>
  <si>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</si>
  <si>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</si>
  <si>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</si>
  <si>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</si>
  <si>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</si>
  <si>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</si>
  <si>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</si>
  <si>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</si>
  <si>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</si>
  <si>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</si>
  <si>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</si>
  <si>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</si>
  <si>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</si>
  <si>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</si>
  <si>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website.</t>
  </si>
  <si>
    <t>28. All fund pages - changed the year headings.</t>
  </si>
  <si>
    <t>29. All fund pages - removed slider and its link.</t>
  </si>
  <si>
    <t>The following changes were made to this workbook on 5/13/2011</t>
  </si>
  <si>
    <t>1. Road tab cell c54 change ref from h1 to e1 so the Special Machinery date will reflect correctly.</t>
  </si>
  <si>
    <t>The following changes were made to this workbook on 5/4/2011</t>
  </si>
  <si>
    <t>1. Gen tab cell B46 corrected the spelling of Resources.</t>
  </si>
  <si>
    <t>The following changes were made to this workbook on 4/19/2011</t>
  </si>
  <si>
    <t>1. Summ tab changed proposed year expenditure column to 'Budget Authority for Expenditures.'</t>
  </si>
  <si>
    <t>The following changes were made to this workbook on 3/21/2011</t>
  </si>
  <si>
    <t>1. General tab corrected cell G52 from E22 to E26.</t>
  </si>
  <si>
    <t>2. Debt Service tab corrected cell G55 from E42 to E29.</t>
  </si>
  <si>
    <t>The following changes were made to this workbook on 10/13/2010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</si>
  <si>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</si>
  <si>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</si>
  <si>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</si>
  <si>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</si>
  <si>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</si>
  <si>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</si>
  <si>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</si>
  <si>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</si>
  <si>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</si>
  <si>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</si>
  <si>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</si>
  <si>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</si>
  <si>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</si>
  <si>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</si>
  <si>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</si>
  <si>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</si>
  <si>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</si>
  <si>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</si>
  <si>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</si>
  <si>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</si>
  <si>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</si>
  <si>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</si>
  <si>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Remove w-2 info from certificate page.</t>
  </si>
  <si>
    <t>The following changes were made to this workbook on 4/15/2010</t>
  </si>
  <si>
    <t>1. Changed schedule of transfers statute column to allow for statute to pop-up if transfers are shown in current/proposed columns.</t>
  </si>
  <si>
    <t>The following changes were made to this workbook on 1/05/2010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</si>
  <si>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</si>
  <si>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</si>
  <si>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</si>
  <si>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</si>
  <si>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</si>
  <si>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</si>
  <si>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</si>
  <si>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</si>
  <si>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</si>
  <si>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</si>
  <si>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The following changes were made to this workbook on 8/25/2009</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</si>
  <si>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</si>
  <si>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</si>
  <si>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</si>
  <si>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</si>
  <si>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</si>
  <si>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7. Instruction tab added 9m to explain about Non-Budgeted Form.</t>
  </si>
  <si>
    <t>8. Cert tab added Non-Budgeted Funds line A35.</t>
  </si>
  <si>
    <t>9. Added nonbud tab for the Non-Budgeted Funds.</t>
  </si>
  <si>
    <t>10. Summ tab added A34 for Non-Budgeted Funds.</t>
  </si>
  <si>
    <t>11. Added Tabs A to E for violations.</t>
  </si>
  <si>
    <t>12. Changed each fund page taking out the 'Yes' and 'No' and replacing them with See Tab when a possible violation occurs.</t>
  </si>
  <si>
    <t>13. NonBud tab changed Net Vaulation to July 1.</t>
  </si>
  <si>
    <t>14. Certificate tab moved the Assisted By: and added more lines for governing body signatures.</t>
  </si>
  <si>
    <t>15. Created NonBudFunds tab.</t>
  </si>
  <si>
    <t>The following changes were made to this workbook on 5/14/2009</t>
  </si>
  <si>
    <t>1. Mvalloc tab, changed cell d10  to -2 vs -1 to reflect correct year to tax.</t>
  </si>
  <si>
    <t>2. Mvalloc tab, changed cells d12-21 to add = in formula to prevent VALUE error - affects very few townships.</t>
  </si>
  <si>
    <t>The following changes were made to this workbook on 5/13/2009</t>
  </si>
  <si>
    <t>1. Transfer tab, changed cells c12, d12, and e12 to reflect link on the gen tab transfer from 43 to 45.</t>
  </si>
  <si>
    <t>The following changes were made to this workbook on 5/5/2009</t>
  </si>
  <si>
    <t>1. Summ tab, the special machinery's expenditure block B34 link was changed from C63 to B63.</t>
  </si>
  <si>
    <t>The following were changed to this spreadsheet on 4/3/2009</t>
  </si>
  <si>
    <t>1. Corrected mvalloc column d for ad valorem tax as was picking up expenditures instead.</t>
  </si>
  <si>
    <t>2. Corrected gen unencumbered cash balances for both actual and current columns.</t>
  </si>
  <si>
    <t>The following were changed to this spreadsheet on 3/19/2009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</si>
  <si>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</si>
  <si>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</si>
  <si>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</si>
  <si>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2/23/2009</t>
  </si>
  <si>
    <t>The following were changed to this spreadsheet on 2/02/2009</t>
  </si>
  <si>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</si>
  <si>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CPI - Consumer Price Index Percentage (%):</t>
  </si>
  <si>
    <t>The following changes were made to this workbook on 3/7/2017</t>
  </si>
  <si>
    <t>1.  inputPrYr tab, inserted CPI percentage, linked the percentage to the Computation tab.</t>
  </si>
  <si>
    <t>CPA Summary</t>
  </si>
  <si>
    <t xml:space="preserve">megan.schulz@ks.gov </t>
  </si>
  <si>
    <t>The following changes were made to this workbook in April 2018</t>
  </si>
  <si>
    <t>2.  Added the CPA Summary comment box on the Certification Page and all fund pages.</t>
  </si>
  <si>
    <t xml:space="preserve">1.  Added the CPA Summary tab.  </t>
  </si>
  <si>
    <t xml:space="preserve">3.  Changed Megan Schulz email address on the Library Grant tab.  </t>
  </si>
  <si>
    <t>4.  Renamed the Pub. Notice Option 1 tab to Notice of Vote.</t>
  </si>
  <si>
    <t>5.  Removed the Pub. Notice Option 2 and 3 tabs.</t>
  </si>
  <si>
    <t>CPA Summary of Assumptions</t>
  </si>
  <si>
    <t>CPA Legend</t>
  </si>
  <si>
    <t>The following changes were made to this workbook in April 2019</t>
  </si>
  <si>
    <t xml:space="preserve">Please read these instructions carefully.  If after reviewing the instructions you still have questions, contact Municipal Service at 785-296-6033 or 785-296-8083; or via email at armunis@ks.gov </t>
  </si>
  <si>
    <t>1.  Updated Municipal Services' contact information on Instruction tab</t>
  </si>
  <si>
    <t>2.  Entered 2020 for the Budget Year and 2.5 % for the CPI percentage on the InputPrYr tab</t>
  </si>
  <si>
    <t>3.  Highlighted tabs (pages) in blue if the page is to be printed and submitted as part of the budget</t>
  </si>
  <si>
    <t>ROVOHL TOWNSHIP</t>
  </si>
  <si>
    <t>THOMAS COUNTY</t>
  </si>
  <si>
    <t>Ron Kaus</t>
  </si>
  <si>
    <t>Treasurer</t>
  </si>
  <si>
    <t>Thomas County Clerk's Office</t>
  </si>
  <si>
    <t>10:30 a.m.</t>
  </si>
  <si>
    <t>August 22, 2019</t>
  </si>
  <si>
    <t>Oneok Pipeline</t>
  </si>
  <si>
    <t>Sp City &amp; Co Hwy Fund</t>
  </si>
  <si>
    <t>Fuel</t>
  </si>
  <si>
    <t>Maintenance</t>
  </si>
  <si>
    <t>2019 Cat Grader</t>
  </si>
  <si>
    <t>2016 Landoll Blade</t>
  </si>
  <si>
    <t>2013 Dakota Trailer</t>
  </si>
  <si>
    <t>Roger D Kough</t>
  </si>
  <si>
    <t>190 W 6th St</t>
  </si>
  <si>
    <t>Colby, ks 67701</t>
  </si>
  <si>
    <t>rkough@st-tel.net</t>
  </si>
  <si>
    <t>Thomas County Commissioner's Room, 300 N Court, Colby, 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</si>
</sst>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0.00000_);\(#,##0.00000\)"/>
    <numFmt numFmtId="178" formatCode="&quot;$&quot;#,##0"/>
    <numFmt numFmtId="179" formatCode="&quot;$&quot;#,##0.00"/>
    <numFmt numFmtId="180" formatCode="#,##0.000_);[Red]\(#,##0.000\)"/>
    <numFmt numFmtId="181" formatCode="0.0%"/>
  </numFmts>
  <fonts count="70" x14ac:knownFonts="1">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u/>
      <sz val="12"/>
      <color indexed="12"/>
      <name val="Courier New"/>
      <family val="3"/>
    </font>
    <font>
      <sz val="8"/>
      <name val="Courier New"/>
      <family val="3"/>
    </font>
    <font>
      <b/>
      <sz val="11"/>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sz val="10"/>
      <name val="Courier"/>
      <family val="3"/>
    </font>
    <font>
      <sz val="8"/>
      <color indexed="10"/>
      <name val="Times New Roman"/>
      <family val="1"/>
    </font>
    <font>
      <sz val="12"/>
      <name val="Courier"/>
      <family val="3"/>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2"/>
      <color indexed="10"/>
      <name val="Times New Roman"/>
      <family val="1"/>
    </font>
    <font>
      <b/>
      <sz val="11"/>
      <color indexed="8"/>
      <name val="Cambria"/>
      <family val="1"/>
    </font>
    <font>
      <sz val="11"/>
      <color indexed="8"/>
      <name val="Cambria"/>
      <family val="1"/>
    </font>
    <font>
      <b/>
      <sz val="12"/>
      <color indexed="8"/>
      <name val="Times New Roman"/>
      <family val="1"/>
    </font>
    <font>
      <sz val="12"/>
      <color indexed="10"/>
      <name val="Times New Roman"/>
      <family val="1"/>
    </font>
    <font>
      <sz val="10"/>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2"/>
      <name val="Courier"/>
      <family val="3"/>
    </font>
    <font>
      <b/>
      <sz val="11"/>
      <name val="Calibri"/>
      <family val="2"/>
    </font>
    <font>
      <sz val="12"/>
      <name val="Courier"/>
      <family val="3"/>
    </font>
    <font>
      <sz val="10"/>
      <name val="Courier New"/>
      <family val="3"/>
    </font>
    <font>
      <sz val="12"/>
      <name val="Arial"/>
      <family val="2"/>
    </font>
    <font>
      <i/>
      <sz val="12"/>
      <name val="Arial"/>
      <family val="2"/>
    </font>
    <font>
      <sz val="10"/>
      <name val="Arial"/>
      <family val="2"/>
    </font>
    <font>
      <sz val="12"/>
      <name val="Courier"/>
    </font>
    <font>
      <sz val="11"/>
      <color theme="1"/>
      <name val="Calibri"/>
      <family val="2"/>
      <scheme val="minor"/>
    </font>
    <font>
      <b/>
      <sz val="11"/>
      <color theme="1"/>
      <name val="Calibri"/>
      <family val="2"/>
      <scheme val="minor"/>
    </font>
    <font>
      <b/>
      <sz val="14"/>
      <color theme="1"/>
      <name val="Calibri"/>
      <family val="2"/>
      <scheme val="minor"/>
    </font>
  </fonts>
  <fills count="15">
    <fill>
      <patternFill patternType="none"/>
    </fill>
    <fill>
      <patternFill patternType="gray125"/>
    </fill>
    <fill>
      <patternFill patternType="solid">
        <fgColor indexed="26"/>
        <bgColor indexed="64"/>
      </patternFill>
    </fill>
    <fill>
      <patternFill patternType="solid">
        <fgColor indexed="11"/>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9"/>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15">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3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2" fillId="0" borderId="0"/>
    <xf numFmtId="0" fontId="67" fillId="0" borderId="0"/>
    <xf numFmtId="0"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7" fillId="0" borderId="0"/>
    <xf numFmtId="0" fontId="59" fillId="0" borderId="0"/>
    <xf numFmtId="0" fontId="2" fillId="0" borderId="0"/>
    <xf numFmtId="0" fontId="61" fillId="0" borderId="0"/>
    <xf numFmtId="0" fontId="6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cellStyleXfs>
  <cellXfs count="976">
    <xf numFmtId="0" fontId="0" fillId="0" borderId="0" xfId="0"/>
    <xf numFmtId="0" fontId="0" fillId="0" borderId="0" xfId="0" applyAlignment="1">
      <alignment vertical="center"/>
    </xf>
    <xf numFmtId="37" fontId="4" fillId="2" borderId="0" xfId="0" applyNumberFormat="1" applyFont="1" applyFill="1" applyAlignment="1" applyProtection="1">
      <alignment vertical="center"/>
    </xf>
    <xf numFmtId="0" fontId="4" fillId="2" borderId="0" xfId="0" applyFont="1" applyFill="1" applyAlignment="1" applyProtection="1">
      <alignment vertical="center"/>
    </xf>
    <xf numFmtId="0" fontId="4" fillId="2"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2" borderId="0" xfId="0" applyFont="1" applyFill="1" applyAlignment="1" applyProtection="1">
      <alignment vertical="center"/>
    </xf>
    <xf numFmtId="164" fontId="4" fillId="2" borderId="0" xfId="0" applyNumberFormat="1" applyFont="1" applyFill="1" applyAlignment="1" applyProtection="1">
      <alignment horizontal="right" vertical="center"/>
    </xf>
    <xf numFmtId="0" fontId="4" fillId="2" borderId="0" xfId="0" applyFont="1" applyFill="1" applyBorder="1" applyAlignment="1" applyProtection="1">
      <alignment vertical="center"/>
    </xf>
    <xf numFmtId="0" fontId="4" fillId="2" borderId="1" xfId="0" applyFont="1" applyFill="1" applyBorder="1" applyAlignment="1" applyProtection="1">
      <alignment vertical="center"/>
    </xf>
    <xf numFmtId="37" fontId="4" fillId="2" borderId="1" xfId="0" quotePrefix="1" applyNumberFormat="1" applyFont="1" applyFill="1" applyBorder="1" applyAlignment="1" applyProtection="1">
      <alignment horizontal="right" vertical="center"/>
    </xf>
    <xf numFmtId="37" fontId="4" fillId="2" borderId="0" xfId="0" applyNumberFormat="1" applyFont="1" applyFill="1" applyAlignment="1" applyProtection="1">
      <alignment horizontal="left" vertical="center"/>
    </xf>
    <xf numFmtId="37" fontId="4" fillId="2" borderId="2" xfId="0" applyNumberFormat="1" applyFont="1" applyFill="1" applyBorder="1" applyAlignment="1" applyProtection="1">
      <alignment horizontal="center" vertical="center"/>
    </xf>
    <xf numFmtId="37" fontId="4" fillId="2" borderId="0" xfId="0" applyNumberFormat="1" applyFont="1" applyFill="1" applyBorder="1" applyAlignment="1" applyProtection="1">
      <alignment vertical="center"/>
    </xf>
    <xf numFmtId="37" fontId="4" fillId="2" borderId="3" xfId="0" applyNumberFormat="1" applyFont="1" applyFill="1" applyBorder="1" applyAlignment="1" applyProtection="1">
      <alignment horizontal="center" vertical="center"/>
    </xf>
    <xf numFmtId="37" fontId="4" fillId="2" borderId="4" xfId="0" applyNumberFormat="1" applyFont="1" applyFill="1" applyBorder="1" applyAlignment="1" applyProtection="1">
      <alignment horizontal="center" vertical="center"/>
    </xf>
    <xf numFmtId="37" fontId="4" fillId="2" borderId="5" xfId="0" applyNumberFormat="1" applyFont="1" applyFill="1" applyBorder="1" applyAlignment="1" applyProtection="1">
      <alignment horizontal="left" vertical="center"/>
    </xf>
    <xf numFmtId="0" fontId="4" fillId="2" borderId="6" xfId="0" applyFont="1" applyFill="1" applyBorder="1" applyAlignment="1" applyProtection="1">
      <alignment vertical="center"/>
    </xf>
    <xf numFmtId="3" fontId="4" fillId="3" borderId="5"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protection locked="0"/>
    </xf>
    <xf numFmtId="3" fontId="4" fillId="2" borderId="6" xfId="0" applyNumberFormat="1" applyFont="1" applyFill="1" applyBorder="1" applyAlignment="1" applyProtection="1">
      <alignment vertical="center"/>
    </xf>
    <xf numFmtId="3" fontId="4" fillId="2" borderId="7" xfId="0" applyNumberFormat="1" applyFont="1" applyFill="1" applyBorder="1" applyAlignment="1" applyProtection="1">
      <alignment vertical="center"/>
    </xf>
    <xf numFmtId="3" fontId="4" fillId="2" borderId="7" xfId="0" applyNumberFormat="1" applyFont="1" applyFill="1" applyBorder="1" applyAlignment="1" applyProtection="1">
      <alignment horizontal="fill" vertical="center"/>
    </xf>
    <xf numFmtId="3" fontId="4" fillId="3" borderId="7" xfId="0" applyNumberFormat="1" applyFont="1" applyFill="1" applyBorder="1" applyAlignment="1" applyProtection="1">
      <alignment vertical="center"/>
      <protection locked="0"/>
    </xf>
    <xf numFmtId="0" fontId="4" fillId="2" borderId="5" xfId="0" applyFont="1" applyFill="1" applyBorder="1" applyAlignment="1" applyProtection="1">
      <alignment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37" fontId="4" fillId="3" borderId="5" xfId="0" applyNumberFormat="1" applyFont="1" applyFill="1" applyBorder="1" applyAlignment="1" applyProtection="1">
      <alignment horizontal="left" vertical="center"/>
      <protection locked="0"/>
    </xf>
    <xf numFmtId="37" fontId="4" fillId="2" borderId="5" xfId="0" applyNumberFormat="1" applyFont="1" applyFill="1" applyBorder="1" applyAlignment="1" applyProtection="1">
      <alignment horizontal="left" vertical="center"/>
      <protection locked="0"/>
    </xf>
    <xf numFmtId="3" fontId="12" fillId="5" borderId="6" xfId="0" applyNumberFormat="1" applyFont="1" applyFill="1" applyBorder="1" applyAlignment="1" applyProtection="1">
      <alignment horizontal="center" vertical="center"/>
    </xf>
    <xf numFmtId="0" fontId="3" fillId="2"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2" borderId="5" xfId="0" applyNumberFormat="1" applyFont="1" applyFill="1" applyBorder="1" applyAlignment="1" applyProtection="1">
      <alignment horizontal="left" vertical="center"/>
    </xf>
    <xf numFmtId="3" fontId="12" fillId="5" borderId="7" xfId="0" applyNumberFormat="1" applyFont="1" applyFill="1" applyBorder="1" applyAlignment="1" applyProtection="1">
      <alignment horizontal="center" vertical="center"/>
      <protection locked="0"/>
    </xf>
    <xf numFmtId="3" fontId="12"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2" borderId="7" xfId="0" applyNumberFormat="1" applyFont="1" applyFill="1" applyBorder="1" applyAlignment="1" applyProtection="1">
      <alignment vertical="center"/>
    </xf>
    <xf numFmtId="0" fontId="4" fillId="2" borderId="0" xfId="0" applyFont="1" applyFill="1" applyAlignment="1" applyProtection="1">
      <alignment horizontal="right" vertical="center"/>
    </xf>
    <xf numFmtId="37" fontId="4" fillId="2" borderId="0" xfId="0" applyNumberFormat="1" applyFont="1" applyFill="1" applyAlignment="1" applyProtection="1">
      <alignment horizontal="center" vertical="center"/>
    </xf>
    <xf numFmtId="0" fontId="12" fillId="0" borderId="0" xfId="0" applyFont="1" applyAlignment="1" applyProtection="1">
      <alignment vertical="center"/>
    </xf>
    <xf numFmtId="0" fontId="13" fillId="2" borderId="0" xfId="0" applyFont="1" applyFill="1" applyAlignment="1" applyProtection="1">
      <alignment horizontal="center" vertical="center"/>
    </xf>
    <xf numFmtId="37" fontId="4" fillId="2" borderId="0" xfId="0" applyNumberFormat="1" applyFont="1" applyFill="1" applyAlignment="1" applyProtection="1">
      <alignment horizontal="right" vertical="center"/>
    </xf>
    <xf numFmtId="3" fontId="4" fillId="2"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2"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2" borderId="0" xfId="0" applyFont="1" applyFill="1" applyAlignment="1" applyProtection="1">
      <alignment horizontal="center" vertical="center"/>
    </xf>
    <xf numFmtId="0" fontId="44" fillId="2" borderId="0" xfId="0" applyFont="1" applyFill="1" applyAlignment="1" applyProtection="1">
      <alignment horizontal="center" vertical="center"/>
    </xf>
    <xf numFmtId="164" fontId="4" fillId="2" borderId="0" xfId="0" applyNumberFormat="1" applyFont="1" applyFill="1" applyAlignment="1" applyProtection="1">
      <alignment vertical="center"/>
    </xf>
    <xf numFmtId="37" fontId="4" fillId="2" borderId="0" xfId="0" quotePrefix="1" applyNumberFormat="1" applyFont="1" applyFill="1" applyAlignment="1" applyProtection="1">
      <alignment horizontal="right" vertical="center"/>
    </xf>
    <xf numFmtId="3" fontId="4" fillId="2" borderId="7" xfId="0" applyNumberFormat="1" applyFont="1" applyFill="1" applyBorder="1" applyAlignment="1" applyProtection="1">
      <alignment horizontal="right" vertical="center"/>
    </xf>
    <xf numFmtId="37" fontId="4" fillId="2" borderId="8" xfId="0" applyNumberFormat="1" applyFont="1" applyFill="1" applyBorder="1" applyAlignment="1" applyProtection="1">
      <alignment horizontal="left" vertical="center"/>
    </xf>
    <xf numFmtId="37" fontId="4" fillId="2" borderId="0" xfId="0" applyNumberFormat="1" applyFont="1" applyFill="1" applyBorder="1" applyAlignment="1" applyProtection="1">
      <alignment horizontal="fill" vertical="center"/>
    </xf>
    <xf numFmtId="3" fontId="12" fillId="7" borderId="7" xfId="0" applyNumberFormat="1" applyFont="1" applyFill="1" applyBorder="1" applyAlignment="1" applyProtection="1">
      <alignment horizontal="center" vertical="center"/>
    </xf>
    <xf numFmtId="37" fontId="3" fillId="2" borderId="0" xfId="0" applyNumberFormat="1" applyFont="1" applyFill="1" applyAlignment="1" applyProtection="1">
      <alignment horizontal="left" vertical="center"/>
    </xf>
    <xf numFmtId="1" fontId="4" fillId="2" borderId="2" xfId="0" applyNumberFormat="1" applyFont="1" applyFill="1" applyBorder="1" applyAlignment="1" applyProtection="1">
      <alignment horizontal="center" vertical="center"/>
    </xf>
    <xf numFmtId="1" fontId="4" fillId="2" borderId="0" xfId="0" applyNumberFormat="1" applyFont="1" applyFill="1" applyBorder="1" applyAlignment="1" applyProtection="1">
      <alignment horizontal="center" vertical="center"/>
    </xf>
    <xf numFmtId="37" fontId="4" fillId="2" borderId="1" xfId="0" applyNumberFormat="1" applyFont="1" applyFill="1" applyBorder="1" applyAlignment="1" applyProtection="1">
      <alignment horizontal="left" vertical="center"/>
    </xf>
    <xf numFmtId="37" fontId="4" fillId="2" borderId="7" xfId="0" applyNumberFormat="1" applyFont="1" applyFill="1" applyBorder="1" applyAlignment="1" applyProtection="1">
      <alignment horizontal="left" vertical="center"/>
    </xf>
    <xf numFmtId="0" fontId="4" fillId="2" borderId="7" xfId="0" applyFont="1" applyFill="1" applyBorder="1" applyAlignment="1" applyProtection="1">
      <alignment vertical="center"/>
    </xf>
    <xf numFmtId="0" fontId="12" fillId="2" borderId="0" xfId="0" applyFont="1" applyFill="1" applyAlignment="1" applyProtection="1">
      <alignment vertical="center"/>
    </xf>
    <xf numFmtId="37" fontId="4" fillId="2" borderId="7" xfId="0" applyNumberFormat="1" applyFont="1" applyFill="1" applyBorder="1" applyAlignment="1" applyProtection="1">
      <alignment horizontal="left" vertical="center"/>
      <protection locked="0"/>
    </xf>
    <xf numFmtId="37" fontId="4" fillId="3" borderId="7" xfId="0" applyNumberFormat="1" applyFont="1" applyFill="1" applyBorder="1" applyAlignment="1" applyProtection="1">
      <alignment horizontal="left" vertical="center"/>
      <protection locked="0"/>
    </xf>
    <xf numFmtId="37" fontId="3" fillId="2" borderId="7" xfId="0" applyNumberFormat="1" applyFont="1" applyFill="1" applyBorder="1" applyAlignment="1" applyProtection="1">
      <alignment horizontal="left" vertical="center"/>
    </xf>
    <xf numFmtId="37" fontId="4" fillId="2" borderId="0" xfId="0" quotePrefix="1" applyNumberFormat="1" applyFont="1" applyFill="1" applyBorder="1" applyAlignment="1" applyProtection="1">
      <alignment horizontal="right" vertical="center"/>
    </xf>
    <xf numFmtId="37" fontId="4" fillId="2" borderId="1" xfId="0" applyNumberFormat="1" applyFont="1" applyFill="1" applyBorder="1" applyAlignment="1" applyProtection="1">
      <alignment vertical="center"/>
    </xf>
    <xf numFmtId="0" fontId="4" fillId="0" borderId="0" xfId="0" applyFont="1" applyAlignment="1">
      <alignment vertical="center"/>
    </xf>
    <xf numFmtId="1" fontId="4" fillId="2" borderId="0" xfId="0" applyNumberFormat="1" applyFont="1" applyFill="1" applyAlignment="1" applyProtection="1">
      <alignment horizontal="right" vertical="center"/>
    </xf>
    <xf numFmtId="0" fontId="4" fillId="2" borderId="5"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37" fontId="4" fillId="2" borderId="7" xfId="0" applyNumberFormat="1" applyFont="1" applyFill="1" applyBorder="1" applyAlignment="1" applyProtection="1">
      <alignment vertical="center"/>
    </xf>
    <xf numFmtId="0" fontId="4" fillId="3" borderId="5" xfId="0" applyFont="1" applyFill="1" applyBorder="1" applyAlignment="1" applyProtection="1">
      <alignment horizontal="left" vertical="center"/>
      <protection locked="0"/>
    </xf>
    <xf numFmtId="3" fontId="44" fillId="2" borderId="0" xfId="0" applyNumberFormat="1" applyFont="1" applyFill="1" applyAlignment="1" applyProtection="1">
      <alignment horizontal="center" vertical="center"/>
    </xf>
    <xf numFmtId="37" fontId="4" fillId="2" borderId="0" xfId="0" applyNumberFormat="1"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xf>
    <xf numFmtId="0" fontId="3" fillId="2" borderId="0" xfId="0" applyFont="1" applyFill="1" applyAlignment="1">
      <alignment horizontal="center" vertical="center"/>
    </xf>
    <xf numFmtId="0" fontId="18" fillId="2" borderId="0" xfId="0" applyFont="1" applyFill="1" applyAlignment="1">
      <alignment horizontal="center" vertical="center"/>
    </xf>
    <xf numFmtId="0" fontId="4" fillId="2" borderId="6" xfId="0" applyFont="1" applyFill="1" applyBorder="1" applyAlignment="1">
      <alignment vertical="center"/>
    </xf>
    <xf numFmtId="0" fontId="4" fillId="2" borderId="1" xfId="0" applyFont="1" applyFill="1" applyBorder="1" applyAlignment="1">
      <alignment vertical="center"/>
    </xf>
    <xf numFmtId="0" fontId="19" fillId="2" borderId="2" xfId="0" applyFont="1" applyFill="1" applyBorder="1" applyAlignment="1">
      <alignment vertical="center"/>
    </xf>
    <xf numFmtId="0" fontId="19" fillId="2" borderId="6" xfId="0" applyFont="1" applyFill="1" applyBorder="1" applyAlignment="1">
      <alignment horizontal="center" vertical="center"/>
    </xf>
    <xf numFmtId="0" fontId="19" fillId="2" borderId="9" xfId="0" applyFont="1" applyFill="1" applyBorder="1" applyAlignment="1">
      <alignment vertical="center"/>
    </xf>
    <xf numFmtId="0" fontId="19"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9" fillId="2" borderId="8" xfId="0" applyFont="1" applyFill="1" applyBorder="1" applyAlignment="1">
      <alignment vertical="center"/>
    </xf>
    <xf numFmtId="3" fontId="19" fillId="4" borderId="7" xfId="0" applyNumberFormat="1" applyFont="1" applyFill="1" applyBorder="1" applyAlignment="1" applyProtection="1">
      <alignment horizontal="center" vertical="center"/>
      <protection locked="0"/>
    </xf>
    <xf numFmtId="0" fontId="19" fillId="2" borderId="1" xfId="0" applyFont="1" applyFill="1" applyBorder="1" applyAlignment="1">
      <alignment vertical="center"/>
    </xf>
    <xf numFmtId="3" fontId="19" fillId="6" borderId="7" xfId="0" applyNumberFormat="1" applyFont="1" applyFill="1" applyBorder="1" applyAlignment="1">
      <alignment horizontal="center" vertical="center"/>
    </xf>
    <xf numFmtId="0" fontId="19" fillId="2" borderId="0" xfId="0" applyFont="1" applyFill="1" applyAlignment="1">
      <alignment vertical="center"/>
    </xf>
    <xf numFmtId="3" fontId="19" fillId="2" borderId="0" xfId="0" applyNumberFormat="1" applyFont="1" applyFill="1" applyAlignment="1">
      <alignment horizontal="center" vertical="center"/>
    </xf>
    <xf numFmtId="0" fontId="19" fillId="2" borderId="0" xfId="0" applyFont="1" applyFill="1" applyAlignment="1">
      <alignment horizontal="center" vertical="center"/>
    </xf>
    <xf numFmtId="0" fontId="19" fillId="4" borderId="7" xfId="0" applyFont="1" applyFill="1" applyBorder="1" applyAlignment="1" applyProtection="1">
      <alignment vertical="center"/>
      <protection locked="0"/>
    </xf>
    <xf numFmtId="0" fontId="19" fillId="4" borderId="9" xfId="0" applyFont="1" applyFill="1" applyBorder="1" applyAlignment="1" applyProtection="1">
      <alignment vertical="center"/>
      <protection locked="0"/>
    </xf>
    <xf numFmtId="3" fontId="19" fillId="4" borderId="9" xfId="0" applyNumberFormat="1" applyFont="1" applyFill="1" applyBorder="1" applyAlignment="1" applyProtection="1">
      <alignment horizontal="center" vertical="center"/>
      <protection locked="0"/>
    </xf>
    <xf numFmtId="0" fontId="19" fillId="4" borderId="0" xfId="0" applyFont="1" applyFill="1" applyAlignment="1" applyProtection="1">
      <alignment vertical="center"/>
      <protection locked="0"/>
    </xf>
    <xf numFmtId="3" fontId="19" fillId="4" borderId="3" xfId="0" applyNumberFormat="1" applyFont="1" applyFill="1" applyBorder="1" applyAlignment="1" applyProtection="1">
      <alignment horizontal="center" vertical="center"/>
      <protection locked="0"/>
    </xf>
    <xf numFmtId="3" fontId="19" fillId="4" borderId="6" xfId="0" applyNumberFormat="1" applyFont="1" applyFill="1" applyBorder="1" applyAlignment="1" applyProtection="1">
      <alignment horizontal="center" vertical="center"/>
      <protection locked="0"/>
    </xf>
    <xf numFmtId="0" fontId="19" fillId="4" borderId="6" xfId="0" applyFont="1" applyFill="1" applyBorder="1" applyAlignment="1" applyProtection="1">
      <alignment vertical="center"/>
      <protection locked="0"/>
    </xf>
    <xf numFmtId="0" fontId="19" fillId="4" borderId="4" xfId="0" applyFont="1" applyFill="1" applyBorder="1" applyAlignment="1" applyProtection="1">
      <alignment vertical="center"/>
      <protection locked="0"/>
    </xf>
    <xf numFmtId="3" fontId="19" fillId="4" borderId="10" xfId="0" applyNumberFormat="1" applyFont="1" applyFill="1" applyBorder="1" applyAlignment="1" applyProtection="1">
      <alignment horizontal="center" vertical="center"/>
      <protection locked="0"/>
    </xf>
    <xf numFmtId="0" fontId="19" fillId="4" borderId="10" xfId="0" applyFont="1" applyFill="1" applyBorder="1" applyAlignment="1" applyProtection="1">
      <alignment vertical="center"/>
      <protection locked="0"/>
    </xf>
    <xf numFmtId="3" fontId="19" fillId="6" borderId="4" xfId="0" applyNumberFormat="1" applyFont="1" applyFill="1" applyBorder="1" applyAlignment="1">
      <alignment horizontal="center" vertical="center"/>
    </xf>
    <xf numFmtId="3" fontId="19" fillId="5" borderId="7" xfId="0" applyNumberFormat="1" applyFont="1" applyFill="1" applyBorder="1" applyAlignment="1">
      <alignment horizontal="center" vertical="center"/>
    </xf>
    <xf numFmtId="3" fontId="4" fillId="2" borderId="0" xfId="0" applyNumberFormat="1" applyFont="1" applyFill="1" applyAlignment="1">
      <alignment vertical="center"/>
    </xf>
    <xf numFmtId="0" fontId="4" fillId="8" borderId="0" xfId="0" applyFont="1" applyFill="1" applyAlignment="1">
      <alignment vertical="center"/>
    </xf>
    <xf numFmtId="0" fontId="4" fillId="2" borderId="0" xfId="0" applyFont="1" applyFill="1" applyAlignment="1">
      <alignment horizontal="right" vertical="center"/>
    </xf>
    <xf numFmtId="3" fontId="4" fillId="0" borderId="0" xfId="0" applyNumberFormat="1" applyFont="1" applyAlignment="1">
      <alignment vertical="center"/>
    </xf>
    <xf numFmtId="3" fontId="23" fillId="5" borderId="0" xfId="0" applyNumberFormat="1" applyFont="1" applyFill="1" applyAlignment="1">
      <alignment horizontal="center" vertical="center"/>
    </xf>
    <xf numFmtId="0" fontId="3" fillId="2" borderId="0" xfId="0" applyFont="1" applyFill="1" applyAlignment="1" applyProtection="1">
      <alignment horizontal="center" vertical="center"/>
    </xf>
    <xf numFmtId="0" fontId="4" fillId="2" borderId="2"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0" xfId="0" applyFont="1" applyFill="1" applyAlignment="1" applyProtection="1">
      <alignment vertical="center"/>
      <protection locked="0"/>
    </xf>
    <xf numFmtId="3" fontId="4" fillId="4" borderId="7" xfId="0" applyNumberFormat="1" applyFont="1" applyFill="1" applyBorder="1" applyAlignment="1" applyProtection="1">
      <alignment horizontal="center" vertical="center"/>
      <protection locked="0"/>
    </xf>
    <xf numFmtId="174" fontId="4" fillId="2" borderId="7" xfId="0" applyNumberFormat="1" applyFont="1" applyFill="1" applyBorder="1" applyAlignment="1" applyProtection="1">
      <alignment horizontal="center" vertical="center"/>
    </xf>
    <xf numFmtId="3" fontId="4" fillId="2" borderId="7" xfId="0" applyNumberFormat="1" applyFont="1" applyFill="1" applyBorder="1" applyAlignment="1" applyProtection="1">
      <alignment horizontal="center" vertical="center"/>
    </xf>
    <xf numFmtId="3" fontId="4" fillId="4" borderId="2" xfId="0" applyNumberFormat="1" applyFont="1" applyFill="1" applyBorder="1" applyAlignment="1" applyProtection="1">
      <alignment horizontal="center" vertical="center"/>
      <protection locked="0"/>
    </xf>
    <xf numFmtId="3" fontId="4" fillId="2" borderId="11" xfId="0" applyNumberFormat="1" applyFont="1" applyFill="1" applyBorder="1" applyAlignment="1" applyProtection="1">
      <alignment horizontal="center" vertical="center"/>
    </xf>
    <xf numFmtId="174" fontId="4" fillId="2" borderId="11" xfId="0" applyNumberFormat="1" applyFont="1" applyFill="1" applyBorder="1" applyAlignment="1" applyProtection="1">
      <alignment horizontal="center" vertical="center"/>
    </xf>
    <xf numFmtId="3" fontId="4" fillId="2" borderId="1" xfId="0" applyNumberFormat="1" applyFont="1" applyFill="1" applyBorder="1" applyAlignment="1" applyProtection="1">
      <alignment horizontal="center" vertical="center"/>
    </xf>
    <xf numFmtId="174" fontId="4" fillId="2" borderId="1" xfId="0" applyNumberFormat="1" applyFont="1" applyFill="1" applyBorder="1" applyAlignment="1" applyProtection="1">
      <alignment horizontal="center" vertical="center"/>
    </xf>
    <xf numFmtId="174" fontId="4" fillId="2" borderId="0" xfId="0" applyNumberFormat="1" applyFont="1" applyFill="1" applyBorder="1" applyAlignment="1" applyProtection="1">
      <alignment horizontal="center" vertical="center"/>
    </xf>
    <xf numFmtId="3" fontId="4" fillId="2" borderId="1" xfId="0" applyNumberFormat="1" applyFont="1" applyFill="1" applyBorder="1" applyAlignment="1">
      <alignment horizontal="center" vertical="center"/>
    </xf>
    <xf numFmtId="0" fontId="0" fillId="2" borderId="0" xfId="0" applyFill="1" applyAlignment="1">
      <alignment vertical="center"/>
    </xf>
    <xf numFmtId="0" fontId="0" fillId="2" borderId="0" xfId="0" applyFill="1" applyAlignment="1">
      <alignment horizontal="center" vertical="center"/>
    </xf>
    <xf numFmtId="174" fontId="4" fillId="2" borderId="1" xfId="0" applyNumberFormat="1" applyFont="1" applyFill="1" applyBorder="1" applyAlignment="1">
      <alignment horizontal="center" vertical="center"/>
    </xf>
    <xf numFmtId="172" fontId="4" fillId="2" borderId="0" xfId="0" applyNumberFormat="1" applyFont="1" applyFill="1" applyBorder="1" applyAlignment="1" applyProtection="1">
      <alignment vertical="center"/>
    </xf>
    <xf numFmtId="37" fontId="3" fillId="2" borderId="0" xfId="0" applyNumberFormat="1" applyFont="1" applyFill="1" applyAlignment="1" applyProtection="1">
      <alignment horizontal="centerContinuous" vertical="center"/>
    </xf>
    <xf numFmtId="0" fontId="4" fillId="2" borderId="0" xfId="0" applyFont="1" applyFill="1" applyAlignment="1" applyProtection="1">
      <alignment horizontal="centerContinuous" vertical="center"/>
    </xf>
    <xf numFmtId="37" fontId="5" fillId="2" borderId="0" xfId="0" applyNumberFormat="1" applyFont="1" applyFill="1" applyAlignment="1" applyProtection="1">
      <alignment horizontal="center" vertical="center"/>
    </xf>
    <xf numFmtId="37" fontId="4" fillId="2" borderId="0" xfId="0" applyNumberFormat="1" applyFont="1" applyFill="1" applyAlignment="1" applyProtection="1">
      <alignment horizontal="centerContinuous" vertical="center"/>
    </xf>
    <xf numFmtId="0" fontId="3" fillId="2"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2" borderId="5" xfId="0" applyNumberFormat="1" applyFont="1" applyFill="1" applyBorder="1" applyAlignment="1" applyProtection="1">
      <alignment horizontal="centerContinuous" vertical="center"/>
    </xf>
    <xf numFmtId="1" fontId="4" fillId="2" borderId="6" xfId="0" applyNumberFormat="1" applyFont="1" applyFill="1" applyBorder="1" applyAlignment="1" applyProtection="1">
      <alignment horizontal="centerContinuous" vertical="center"/>
    </xf>
    <xf numFmtId="0" fontId="4" fillId="2" borderId="6" xfId="0" applyFont="1" applyFill="1" applyBorder="1" applyAlignment="1" applyProtection="1">
      <alignment horizontal="centerContinuous" vertical="center"/>
    </xf>
    <xf numFmtId="37" fontId="4" fillId="2" borderId="5" xfId="0" applyNumberFormat="1" applyFont="1" applyFill="1" applyBorder="1" applyAlignment="1" applyProtection="1">
      <alignment horizontal="centerContinuous" vertical="center"/>
    </xf>
    <xf numFmtId="0" fontId="4" fillId="2" borderId="12" xfId="0" applyFont="1" applyFill="1" applyBorder="1" applyAlignment="1" applyProtection="1">
      <alignment horizontal="centerContinuous" vertical="center"/>
    </xf>
    <xf numFmtId="0" fontId="4" fillId="2" borderId="2" xfId="0" applyFont="1" applyFill="1" applyBorder="1" applyAlignment="1" applyProtection="1">
      <alignment vertical="center"/>
    </xf>
    <xf numFmtId="37" fontId="4" fillId="2" borderId="13" xfId="0" applyNumberFormat="1" applyFont="1" applyFill="1" applyBorder="1" applyAlignment="1" applyProtection="1">
      <alignment horizontal="center" vertical="center"/>
    </xf>
    <xf numFmtId="165" fontId="4" fillId="2"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2" borderId="7" xfId="0" applyNumberFormat="1" applyFont="1" applyFill="1" applyBorder="1" applyAlignment="1" applyProtection="1">
      <alignment horizontal="fill" vertical="center"/>
    </xf>
    <xf numFmtId="1" fontId="4" fillId="2" borderId="1" xfId="0" applyNumberFormat="1" applyFont="1" applyFill="1" applyBorder="1" applyAlignment="1" applyProtection="1">
      <alignment horizontal="center" vertical="center"/>
    </xf>
    <xf numFmtId="37" fontId="4" fillId="2"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2" fillId="0" borderId="0" xfId="0" applyFont="1" applyAlignment="1">
      <alignment horizontal="center" vertical="center"/>
    </xf>
    <xf numFmtId="0" fontId="3" fillId="0" borderId="0" xfId="0" applyFont="1" applyAlignment="1">
      <alignment vertical="center" wrapText="1"/>
    </xf>
    <xf numFmtId="0" fontId="45" fillId="0" borderId="0" xfId="0" applyFont="1" applyAlignment="1">
      <alignment vertical="center"/>
    </xf>
    <xf numFmtId="37" fontId="4" fillId="2" borderId="0" xfId="513" applyNumberFormat="1" applyFont="1" applyFill="1" applyAlignment="1" applyProtection="1">
      <alignment vertical="center"/>
    </xf>
    <xf numFmtId="0" fontId="4" fillId="2" borderId="0" xfId="513" applyFont="1" applyFill="1" applyAlignment="1" applyProtection="1">
      <alignment vertical="center"/>
    </xf>
    <xf numFmtId="0" fontId="4" fillId="0" borderId="0" xfId="513" applyFont="1" applyAlignment="1" applyProtection="1">
      <alignment vertical="center"/>
      <protection locked="0"/>
    </xf>
    <xf numFmtId="0" fontId="3" fillId="2" borderId="0" xfId="514" applyFont="1" applyFill="1" applyAlignment="1" applyProtection="1">
      <alignment horizontal="centerContinuous" vertical="center"/>
    </xf>
    <xf numFmtId="0" fontId="4" fillId="2" borderId="0" xfId="513" applyFont="1" applyFill="1" applyAlignment="1" applyProtection="1">
      <alignment horizontal="centerContinuous" vertical="center"/>
    </xf>
    <xf numFmtId="0" fontId="4" fillId="2" borderId="2" xfId="0" applyFont="1" applyFill="1" applyBorder="1" applyAlignment="1" applyProtection="1">
      <alignment horizontal="center" vertical="center"/>
    </xf>
    <xf numFmtId="0" fontId="4" fillId="2" borderId="14" xfId="0" applyFont="1" applyFill="1" applyBorder="1" applyAlignment="1" applyProtection="1">
      <alignment horizontal="centerContinuous" vertical="center"/>
    </xf>
    <xf numFmtId="0" fontId="4" fillId="2" borderId="9" xfId="0" applyFont="1" applyFill="1" applyBorder="1" applyAlignment="1" applyProtection="1">
      <alignment horizontal="centerContinuous" vertical="center"/>
    </xf>
    <xf numFmtId="0" fontId="4" fillId="2" borderId="13" xfId="0" applyFont="1" applyFill="1" applyBorder="1" applyAlignment="1" applyProtection="1">
      <alignment horizontal="center" vertical="center"/>
    </xf>
    <xf numFmtId="0" fontId="4" fillId="2" borderId="8" xfId="0" applyFont="1" applyFill="1" applyBorder="1" applyAlignment="1" applyProtection="1">
      <alignment horizontal="centerContinuous" vertical="center"/>
    </xf>
    <xf numFmtId="0" fontId="4" fillId="2" borderId="3" xfId="0" applyFont="1" applyFill="1" applyBorder="1" applyAlignment="1" applyProtection="1">
      <alignment horizontal="centerContinuous" vertical="center"/>
    </xf>
    <xf numFmtId="0" fontId="4" fillId="2" borderId="4" xfId="0" applyFont="1" applyFill="1" applyBorder="1" applyAlignment="1" applyProtection="1">
      <alignment horizontal="center" vertical="center"/>
    </xf>
    <xf numFmtId="14" fontId="4" fillId="2" borderId="4" xfId="0" quotePrefix="1" applyNumberFormat="1"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7" xfId="0" applyFont="1" applyFill="1" applyBorder="1" applyAlignment="1" applyProtection="1">
      <alignment horizontal="left" vertical="center"/>
    </xf>
    <xf numFmtId="168" fontId="4" fillId="2" borderId="7" xfId="0" applyNumberFormat="1" applyFont="1" applyFill="1" applyBorder="1" applyAlignment="1" applyProtection="1">
      <alignment horizontal="left" vertical="center"/>
    </xf>
    <xf numFmtId="169" fontId="4" fillId="2" borderId="7" xfId="0" applyNumberFormat="1" applyFont="1" applyFill="1" applyBorder="1" applyAlignment="1" applyProtection="1">
      <alignment horizontal="left" vertical="center"/>
    </xf>
    <xf numFmtId="0" fontId="4" fillId="2" borderId="7" xfId="0" applyFont="1" applyFill="1" applyBorder="1" applyAlignment="1" applyProtection="1">
      <alignment horizontal="left" vertical="center"/>
      <protection locked="0"/>
    </xf>
    <xf numFmtId="0" fontId="4" fillId="3" borderId="7" xfId="0" applyFont="1" applyFill="1" applyBorder="1" applyAlignment="1" applyProtection="1">
      <alignment vertical="center"/>
      <protection locked="0"/>
    </xf>
    <xf numFmtId="168" fontId="4" fillId="3" borderId="7" xfId="0" applyNumberFormat="1" applyFont="1" applyFill="1" applyBorder="1" applyAlignment="1" applyProtection="1">
      <alignment vertical="center"/>
      <protection locked="0"/>
    </xf>
    <xf numFmtId="2" fontId="4" fillId="3" borderId="7" xfId="0" applyNumberFormat="1" applyFont="1" applyFill="1" applyBorder="1" applyAlignment="1" applyProtection="1">
      <alignment vertical="center"/>
      <protection locked="0"/>
    </xf>
    <xf numFmtId="37" fontId="4" fillId="3" borderId="7" xfId="0" applyNumberFormat="1" applyFont="1" applyFill="1" applyBorder="1" applyAlignment="1" applyProtection="1">
      <alignment vertical="center"/>
      <protection locked="0"/>
    </xf>
    <xf numFmtId="169" fontId="4" fillId="3" borderId="7" xfId="0" applyNumberFormat="1" applyFont="1" applyFill="1" applyBorder="1" applyAlignment="1" applyProtection="1">
      <alignment vertical="center"/>
      <protection locked="0"/>
    </xf>
    <xf numFmtId="168" fontId="4" fillId="2" borderId="7" xfId="0" applyNumberFormat="1" applyFont="1" applyFill="1" applyBorder="1" applyAlignment="1" applyProtection="1">
      <alignment vertical="center"/>
    </xf>
    <xf numFmtId="2" fontId="4" fillId="2" borderId="7" xfId="0" applyNumberFormat="1" applyFont="1" applyFill="1" applyBorder="1" applyAlignment="1" applyProtection="1">
      <alignment vertical="center"/>
    </xf>
    <xf numFmtId="169" fontId="4" fillId="2" borderId="7" xfId="0" applyNumberFormat="1" applyFont="1" applyFill="1" applyBorder="1" applyAlignment="1" applyProtection="1">
      <alignment vertical="center"/>
    </xf>
    <xf numFmtId="0" fontId="3" fillId="2" borderId="7" xfId="513" applyFont="1" applyFill="1" applyBorder="1" applyAlignment="1" applyProtection="1">
      <alignment horizontal="left" vertical="center"/>
    </xf>
    <xf numFmtId="0" fontId="3" fillId="2" borderId="15" xfId="513" applyFont="1" applyFill="1" applyBorder="1" applyAlignment="1" applyProtection="1">
      <alignment vertical="center"/>
    </xf>
    <xf numFmtId="37" fontId="3" fillId="6" borderId="7" xfId="513" applyNumberFormat="1" applyFont="1" applyFill="1" applyBorder="1" applyAlignment="1" applyProtection="1">
      <alignment vertical="center"/>
    </xf>
    <xf numFmtId="0" fontId="4" fillId="2" borderId="0" xfId="514" applyFont="1" applyFill="1" applyAlignment="1" applyProtection="1">
      <alignment horizontal="centerContinuous" vertical="center"/>
    </xf>
    <xf numFmtId="0" fontId="4" fillId="2" borderId="0" xfId="514" applyFont="1" applyFill="1" applyAlignment="1" applyProtection="1">
      <alignment vertical="center"/>
    </xf>
    <xf numFmtId="0" fontId="4" fillId="0" borderId="0" xfId="514" applyFont="1" applyAlignment="1">
      <alignment vertical="center"/>
    </xf>
    <xf numFmtId="0" fontId="4" fillId="2" borderId="1" xfId="0" applyFont="1" applyFill="1" applyBorder="1" applyAlignment="1" applyProtection="1">
      <alignment horizontal="fill" vertical="center"/>
    </xf>
    <xf numFmtId="0" fontId="4" fillId="2" borderId="0" xfId="0" applyFont="1" applyFill="1" applyBorder="1" applyAlignment="1" applyProtection="1">
      <alignment horizontal="fill" vertical="center"/>
    </xf>
    <xf numFmtId="0" fontId="4" fillId="2" borderId="16" xfId="514" applyFont="1" applyFill="1" applyBorder="1" applyAlignment="1" applyProtection="1">
      <alignment vertical="center"/>
    </xf>
    <xf numFmtId="0" fontId="4" fillId="2" borderId="0" xfId="514" applyFont="1" applyFill="1" applyBorder="1" applyAlignment="1" applyProtection="1">
      <alignment vertical="center"/>
    </xf>
    <xf numFmtId="0" fontId="4" fillId="2" borderId="13" xfId="0" applyFont="1" applyFill="1" applyBorder="1" applyAlignment="1" applyProtection="1">
      <alignment vertical="center"/>
    </xf>
    <xf numFmtId="0" fontId="7" fillId="2" borderId="4" xfId="0" applyFont="1" applyFill="1" applyBorder="1" applyAlignment="1" applyProtection="1">
      <alignment horizontal="center" vertical="center"/>
    </xf>
    <xf numFmtId="1" fontId="4" fillId="3" borderId="7" xfId="0" applyNumberFormat="1" applyFont="1" applyFill="1" applyBorder="1" applyAlignment="1" applyProtection="1">
      <alignment vertical="center"/>
      <protection locked="0"/>
    </xf>
    <xf numFmtId="3" fontId="3" fillId="2" borderId="15" xfId="513" applyNumberFormat="1" applyFont="1" applyFill="1" applyBorder="1" applyAlignment="1" applyProtection="1">
      <alignment vertical="center"/>
    </xf>
    <xf numFmtId="0" fontId="0" fillId="2" borderId="0" xfId="0" applyFill="1" applyAlignment="1" applyProtection="1">
      <alignment vertical="center"/>
    </xf>
    <xf numFmtId="0" fontId="4" fillId="8" borderId="0" xfId="513"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1" fillId="0" borderId="0" xfId="0" applyFont="1" applyAlignment="1">
      <alignment vertical="center" wrapText="1"/>
    </xf>
    <xf numFmtId="0" fontId="46" fillId="0" borderId="0" xfId="0" applyFont="1" applyAlignment="1">
      <alignment vertical="center"/>
    </xf>
    <xf numFmtId="0" fontId="24" fillId="0" borderId="0" xfId="0" applyFont="1" applyAlignment="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4" borderId="4" xfId="0" applyFont="1" applyFill="1" applyBorder="1" applyAlignment="1" applyProtection="1">
      <alignment vertical="center"/>
      <protection locked="0"/>
    </xf>
    <xf numFmtId="173" fontId="4" fillId="4" borderId="4" xfId="1" applyNumberFormat="1" applyFont="1" applyFill="1" applyBorder="1" applyAlignment="1" applyProtection="1">
      <alignment vertical="center"/>
      <protection locked="0"/>
    </xf>
    <xf numFmtId="173" fontId="4" fillId="2" borderId="7" xfId="1" applyNumberFormat="1" applyFont="1" applyFill="1" applyBorder="1" applyAlignment="1" applyProtection="1">
      <alignment vertical="center"/>
    </xf>
    <xf numFmtId="0" fontId="4" fillId="4" borderId="7" xfId="0" applyFont="1" applyFill="1" applyBorder="1" applyAlignment="1" applyProtection="1">
      <alignment vertical="center"/>
      <protection locked="0"/>
    </xf>
    <xf numFmtId="173" fontId="4" fillId="4" borderId="7" xfId="1" applyNumberFormat="1" applyFont="1" applyFill="1" applyBorder="1" applyAlignment="1" applyProtection="1">
      <alignment vertical="center"/>
      <protection locked="0"/>
    </xf>
    <xf numFmtId="0" fontId="5" fillId="4" borderId="7" xfId="0" applyFont="1" applyFill="1" applyBorder="1" applyAlignment="1" applyProtection="1">
      <alignment vertical="center"/>
      <protection locked="0"/>
    </xf>
    <xf numFmtId="0" fontId="4" fillId="2" borderId="7" xfId="0" applyFont="1" applyFill="1" applyBorder="1" applyAlignment="1" applyProtection="1">
      <alignment horizontal="center" vertical="center"/>
      <protection locked="0"/>
    </xf>
    <xf numFmtId="3" fontId="4" fillId="2"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2" borderId="0" xfId="0" applyNumberFormat="1" applyFont="1" applyFill="1" applyBorder="1" applyAlignment="1" applyProtection="1">
      <alignment horizontal="center" vertical="center"/>
    </xf>
    <xf numFmtId="0" fontId="5" fillId="2" borderId="0" xfId="0" applyFont="1" applyFill="1" applyBorder="1" applyAlignment="1" applyProtection="1">
      <alignment horizontal="centerContinuous" vertical="center"/>
    </xf>
    <xf numFmtId="0" fontId="4" fillId="2" borderId="0" xfId="0" applyFont="1" applyFill="1" applyBorder="1" applyAlignment="1" applyProtection="1">
      <alignment horizontal="centerContinuous" vertical="center"/>
    </xf>
    <xf numFmtId="174" fontId="4" fillId="2" borderId="7" xfId="0" applyNumberFormat="1" applyFont="1" applyFill="1" applyBorder="1" applyAlignment="1" applyProtection="1">
      <alignment vertical="center"/>
    </xf>
    <xf numFmtId="0" fontId="4" fillId="2" borderId="7" xfId="0" applyFont="1" applyFill="1" applyBorder="1" applyAlignment="1" applyProtection="1">
      <alignment horizontal="right" vertical="center"/>
    </xf>
    <xf numFmtId="37" fontId="4" fillId="0" borderId="0" xfId="0" applyNumberFormat="1" applyFont="1" applyAlignment="1" applyProtection="1">
      <alignment horizontal="fill" vertical="center"/>
      <protection locked="0"/>
    </xf>
    <xf numFmtId="0" fontId="3" fillId="2" borderId="0" xfId="0" applyFont="1" applyFill="1" applyAlignment="1" applyProtection="1">
      <alignment horizontal="center" vertical="center" wrapText="1"/>
    </xf>
    <xf numFmtId="0" fontId="4" fillId="2" borderId="0" xfId="0" quotePrefix="1" applyFont="1" applyFill="1" applyAlignment="1" applyProtection="1">
      <alignment vertical="center"/>
    </xf>
    <xf numFmtId="3" fontId="4" fillId="2" borderId="0" xfId="0" quotePrefix="1" applyNumberFormat="1" applyFont="1" applyFill="1" applyAlignment="1" applyProtection="1">
      <alignment vertical="center"/>
    </xf>
    <xf numFmtId="3" fontId="4" fillId="2"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2" borderId="12" xfId="0" applyNumberFormat="1" applyFont="1" applyFill="1" applyBorder="1" applyAlignment="1" applyProtection="1">
      <alignment vertical="center"/>
    </xf>
    <xf numFmtId="0" fontId="4" fillId="2" borderId="15" xfId="0" applyFont="1" applyFill="1" applyBorder="1" applyAlignment="1" applyProtection="1">
      <alignment vertical="center"/>
    </xf>
    <xf numFmtId="167" fontId="4" fillId="2" borderId="1" xfId="0" applyNumberFormat="1" applyFont="1" applyFill="1" applyBorder="1" applyAlignment="1" applyProtection="1">
      <alignment vertical="center"/>
    </xf>
    <xf numFmtId="0" fontId="4" fillId="2" borderId="0" xfId="0" quotePrefix="1" applyFont="1" applyFill="1" applyBorder="1" applyAlignment="1" applyProtection="1">
      <alignment vertical="center"/>
    </xf>
    <xf numFmtId="3" fontId="4" fillId="2" borderId="19" xfId="0" applyNumberFormat="1" applyFont="1" applyFill="1" applyBorder="1" applyAlignment="1" applyProtection="1">
      <alignment vertical="center"/>
    </xf>
    <xf numFmtId="37" fontId="4" fillId="2" borderId="2" xfId="0" applyNumberFormat="1" applyFont="1" applyFill="1" applyBorder="1" applyAlignment="1" applyProtection="1">
      <alignment horizontal="left" vertical="center"/>
    </xf>
    <xf numFmtId="0" fontId="4" fillId="2" borderId="9" xfId="0" applyFont="1" applyFill="1" applyBorder="1" applyAlignment="1" applyProtection="1">
      <alignment vertical="center"/>
    </xf>
    <xf numFmtId="0" fontId="4" fillId="2" borderId="10" xfId="0" applyFont="1" applyFill="1" applyBorder="1" applyAlignment="1" applyProtection="1">
      <alignment vertical="center"/>
    </xf>
    <xf numFmtId="37" fontId="5" fillId="2" borderId="8" xfId="0" applyNumberFormat="1" applyFont="1" applyFill="1" applyBorder="1" applyAlignment="1" applyProtection="1">
      <alignment horizontal="left" vertical="center"/>
    </xf>
    <xf numFmtId="0" fontId="4" fillId="2"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2" borderId="7" xfId="0" applyNumberFormat="1" applyFont="1" applyFill="1" applyBorder="1" applyAlignment="1" applyProtection="1">
      <alignment horizontal="center" vertical="center"/>
    </xf>
    <xf numFmtId="37" fontId="4" fillId="2" borderId="5" xfId="0" applyNumberFormat="1" applyFont="1" applyFill="1" applyBorder="1" applyAlignment="1" applyProtection="1">
      <alignment vertical="center"/>
    </xf>
    <xf numFmtId="37" fontId="4" fillId="2" borderId="6" xfId="0" applyNumberFormat="1" applyFont="1" applyFill="1" applyBorder="1" applyAlignment="1" applyProtection="1">
      <alignment horizontal="center" vertical="center"/>
    </xf>
    <xf numFmtId="164" fontId="4" fillId="2" borderId="6" xfId="0" applyNumberFormat="1" applyFont="1" applyFill="1" applyBorder="1" applyAlignment="1" applyProtection="1">
      <alignment horizontal="center" vertical="center"/>
    </xf>
    <xf numFmtId="37" fontId="4" fillId="2" borderId="8" xfId="0" applyNumberFormat="1" applyFont="1" applyFill="1" applyBorder="1" applyAlignment="1" applyProtection="1">
      <alignment vertical="center"/>
    </xf>
    <xf numFmtId="37" fontId="3" fillId="2" borderId="14" xfId="0" applyNumberFormat="1" applyFont="1" applyFill="1" applyBorder="1" applyAlignment="1" applyProtection="1">
      <alignment horizontal="left" vertical="center"/>
    </xf>
    <xf numFmtId="0" fontId="4" fillId="2" borderId="12" xfId="0" applyFont="1" applyFill="1" applyBorder="1" applyAlignment="1" applyProtection="1">
      <alignment vertical="center"/>
    </xf>
    <xf numFmtId="0" fontId="4" fillId="2" borderId="0" xfId="0" applyFont="1" applyFill="1" applyBorder="1" applyAlignment="1" applyProtection="1">
      <alignment horizontal="center" vertical="center" shrinkToFit="1"/>
    </xf>
    <xf numFmtId="0" fontId="12" fillId="2" borderId="0"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4" fillId="2" borderId="0" xfId="0" applyFont="1" applyFill="1" applyBorder="1" applyAlignment="1" applyProtection="1">
      <alignment vertical="center"/>
      <protection locked="0"/>
    </xf>
    <xf numFmtId="37" fontId="4" fillId="2" borderId="0" xfId="0" applyNumberFormat="1" applyFont="1" applyFill="1" applyBorder="1" applyAlignment="1" applyProtection="1">
      <alignment horizontal="left" vertical="center"/>
    </xf>
    <xf numFmtId="0" fontId="4" fillId="4" borderId="1" xfId="0"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37" fontId="4" fillId="4" borderId="0" xfId="0" applyNumberFormat="1" applyFont="1" applyFill="1" applyAlignment="1" applyProtection="1">
      <alignment horizontal="left" vertical="center"/>
      <protection locked="0"/>
    </xf>
    <xf numFmtId="0" fontId="4" fillId="2" borderId="0" xfId="0" applyFont="1" applyFill="1" applyAlignment="1" applyProtection="1">
      <alignment horizontal="left" vertical="center"/>
    </xf>
    <xf numFmtId="37" fontId="4" fillId="2" borderId="0" xfId="0" applyNumberFormat="1" applyFont="1" applyFill="1" applyBorder="1" applyAlignment="1" applyProtection="1">
      <alignment vertical="center"/>
      <protection locked="0"/>
    </xf>
    <xf numFmtId="37" fontId="5" fillId="2" borderId="0" xfId="0" applyNumberFormat="1" applyFont="1" applyFill="1" applyBorder="1" applyAlignment="1" applyProtection="1">
      <alignment horizontal="left" vertical="center"/>
    </xf>
    <xf numFmtId="3" fontId="4" fillId="2" borderId="0" xfId="0" applyNumberFormat="1" applyFont="1" applyFill="1" applyBorder="1" applyAlignment="1" applyProtection="1">
      <alignment vertical="center"/>
      <protection locked="0"/>
    </xf>
    <xf numFmtId="0" fontId="14" fillId="2" borderId="0" xfId="0" applyFont="1" applyFill="1" applyBorder="1" applyAlignment="1" applyProtection="1">
      <alignment horizontal="center" vertical="center"/>
    </xf>
    <xf numFmtId="172" fontId="4" fillId="6" borderId="7" xfId="0" applyNumberFormat="1" applyFont="1" applyFill="1" applyBorder="1" applyAlignment="1" applyProtection="1">
      <alignment vertical="center"/>
    </xf>
    <xf numFmtId="3" fontId="4" fillId="2" borderId="3" xfId="0" applyNumberFormat="1" applyFont="1" applyFill="1" applyBorder="1" applyAlignment="1" applyProtection="1">
      <alignment vertical="center"/>
    </xf>
    <xf numFmtId="37" fontId="4" fillId="2"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2" fillId="2" borderId="0" xfId="0" applyFont="1" applyFill="1" applyAlignment="1">
      <alignment vertical="center"/>
    </xf>
    <xf numFmtId="0" fontId="17" fillId="2" borderId="0" xfId="0" applyFont="1" applyFill="1" applyAlignment="1">
      <alignment vertical="center"/>
    </xf>
    <xf numFmtId="37" fontId="4" fillId="2" borderId="7" xfId="0" applyNumberFormat="1" applyFont="1" applyFill="1" applyBorder="1" applyAlignment="1">
      <alignment vertical="center"/>
    </xf>
    <xf numFmtId="37" fontId="14" fillId="2" borderId="0" xfId="0" applyNumberFormat="1" applyFont="1" applyFill="1" applyAlignment="1" applyProtection="1">
      <alignment horizontal="left" vertical="center"/>
    </xf>
    <xf numFmtId="0" fontId="3" fillId="4" borderId="7" xfId="0" applyFont="1" applyFill="1" applyBorder="1" applyAlignment="1" applyProtection="1">
      <alignment horizontal="center" vertical="center"/>
      <protection locked="0"/>
    </xf>
    <xf numFmtId="0" fontId="4" fillId="2" borderId="0" xfId="0" applyNumberFormat="1" applyFont="1" applyFill="1" applyAlignment="1" applyProtection="1">
      <alignment horizontal="center"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2"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2" borderId="1" xfId="0" applyFont="1" applyFill="1" applyBorder="1" applyAlignment="1" applyProtection="1">
      <alignment horizontal="left" vertical="center"/>
    </xf>
    <xf numFmtId="37" fontId="4" fillId="2"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2" borderId="1" xfId="0" applyFont="1" applyFill="1" applyBorder="1" applyAlignment="1" applyProtection="1">
      <alignment vertical="center"/>
      <protection locked="0"/>
    </xf>
    <xf numFmtId="37" fontId="4" fillId="2" borderId="0" xfId="0" applyNumberFormat="1" applyFont="1" applyFill="1" applyBorder="1" applyAlignment="1" applyProtection="1">
      <alignment horizontal="right" vertical="center"/>
    </xf>
    <xf numFmtId="165" fontId="4" fillId="3" borderId="4" xfId="0" applyNumberFormat="1" applyFont="1" applyFill="1" applyBorder="1" applyAlignment="1" applyProtection="1">
      <alignment vertical="center"/>
      <protection locked="0"/>
    </xf>
    <xf numFmtId="165" fontId="4" fillId="3" borderId="7" xfId="0" applyNumberFormat="1" applyFont="1" applyFill="1" applyBorder="1" applyAlignment="1" applyProtection="1">
      <alignment vertical="center"/>
      <protection locked="0"/>
    </xf>
    <xf numFmtId="165" fontId="4" fillId="2"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0" fontId="4" fillId="10" borderId="12" xfId="0" applyFont="1" applyFill="1" applyBorder="1" applyAlignment="1" applyProtection="1">
      <alignment vertical="center"/>
    </xf>
    <xf numFmtId="0" fontId="4" fillId="2" borderId="1" xfId="0" applyFont="1" applyFill="1" applyBorder="1" applyAlignment="1" applyProtection="1">
      <alignment horizontal="center" vertical="center"/>
    </xf>
    <xf numFmtId="0" fontId="4" fillId="2" borderId="3" xfId="0" applyFont="1" applyFill="1" applyBorder="1" applyAlignment="1" applyProtection="1">
      <alignment vertical="center"/>
      <protection locked="0"/>
    </xf>
    <xf numFmtId="0" fontId="4" fillId="2" borderId="6"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3" fillId="0" borderId="0" xfId="0" applyFont="1" applyAlignment="1">
      <alignment horizontal="center" vertical="center"/>
    </xf>
    <xf numFmtId="0" fontId="4" fillId="0" borderId="0" xfId="122"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5" fillId="0" borderId="0" xfId="0" applyFont="1" applyAlignment="1">
      <alignment vertical="center" wrapText="1"/>
    </xf>
    <xf numFmtId="0" fontId="4" fillId="4" borderId="0" xfId="0" applyFont="1" applyFill="1" applyAlignment="1" applyProtection="1">
      <alignment vertical="center" wrapText="1"/>
    </xf>
    <xf numFmtId="0" fontId="4" fillId="0" borderId="0" xfId="0" applyFont="1" applyFill="1" applyAlignment="1" applyProtection="1">
      <alignment vertical="center" wrapText="1"/>
    </xf>
    <xf numFmtId="0" fontId="4" fillId="2"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403" applyFont="1" applyAlignment="1">
      <alignment vertical="center"/>
    </xf>
    <xf numFmtId="0" fontId="4" fillId="0" borderId="0" xfId="463" applyFont="1" applyAlignment="1">
      <alignment vertical="center"/>
    </xf>
    <xf numFmtId="0" fontId="16" fillId="0" borderId="0" xfId="0" applyFont="1" applyAlignment="1"/>
    <xf numFmtId="0" fontId="16" fillId="0" borderId="0" xfId="0" applyFont="1"/>
    <xf numFmtId="0" fontId="2" fillId="0" borderId="0" xfId="0" applyFont="1"/>
    <xf numFmtId="0" fontId="28" fillId="0" borderId="0" xfId="0" applyFont="1" applyAlignment="1">
      <alignment horizontal="center"/>
    </xf>
    <xf numFmtId="0" fontId="1" fillId="0" borderId="0" xfId="478"/>
    <xf numFmtId="0" fontId="4" fillId="0" borderId="0" xfId="478" applyFont="1" applyAlignment="1">
      <alignment horizontal="left" vertical="center"/>
    </xf>
    <xf numFmtId="0" fontId="1" fillId="0" borderId="0" xfId="478" applyNumberFormat="1" applyFont="1" applyAlignment="1">
      <alignment horizontal="left" vertical="center"/>
    </xf>
    <xf numFmtId="175" fontId="19" fillId="0" borderId="0" xfId="478" applyNumberFormat="1" applyFont="1" applyAlignment="1">
      <alignment horizontal="left" vertical="center"/>
    </xf>
    <xf numFmtId="49" fontId="4" fillId="0" borderId="0" xfId="478" applyNumberFormat="1" applyFont="1" applyAlignment="1">
      <alignment horizontal="left" vertical="center"/>
    </xf>
    <xf numFmtId="0" fontId="19" fillId="0" borderId="0" xfId="478" applyFont="1" applyAlignment="1">
      <alignment horizontal="left" vertical="center"/>
    </xf>
    <xf numFmtId="176" fontId="19" fillId="0" borderId="0" xfId="478" applyNumberFormat="1" applyFont="1" applyAlignment="1">
      <alignment horizontal="left" vertical="center"/>
    </xf>
    <xf numFmtId="0" fontId="2" fillId="0" borderId="0" xfId="176" applyFont="1"/>
    <xf numFmtId="0" fontId="2" fillId="0" borderId="0" xfId="176" applyFont="1" applyFill="1"/>
    <xf numFmtId="0" fontId="4" fillId="0" borderId="0" xfId="101" applyFont="1" applyAlignment="1">
      <alignment vertical="center" wrapText="1"/>
    </xf>
    <xf numFmtId="0" fontId="2" fillId="0" borderId="0" xfId="0" quotePrefix="1" applyFont="1"/>
    <xf numFmtId="0" fontId="2" fillId="0" borderId="0" xfId="0" applyFont="1" applyAlignment="1"/>
    <xf numFmtId="0" fontId="16" fillId="0" borderId="0" xfId="0" applyFont="1" applyAlignment="1">
      <alignment horizontal="center"/>
    </xf>
    <xf numFmtId="0" fontId="4" fillId="0" borderId="0" xfId="498" applyFont="1" applyAlignment="1">
      <alignment vertical="center"/>
    </xf>
    <xf numFmtId="0" fontId="5" fillId="0" borderId="0" xfId="92" applyFont="1" applyAlignment="1">
      <alignment vertical="center"/>
    </xf>
    <xf numFmtId="0" fontId="4" fillId="0" borderId="0" xfId="97" applyFont="1" applyAlignment="1">
      <alignment vertical="center"/>
    </xf>
    <xf numFmtId="0" fontId="4" fillId="2" borderId="0" xfId="0" applyFont="1" applyFill="1"/>
    <xf numFmtId="0" fontId="5" fillId="0" borderId="0" xfId="91" applyFont="1" applyAlignment="1">
      <alignment vertical="center"/>
    </xf>
    <xf numFmtId="0" fontId="47" fillId="2" borderId="0" xfId="0" applyFont="1" applyFill="1" applyAlignment="1" applyProtection="1">
      <alignment horizontal="right" vertical="center"/>
      <protection locked="0"/>
    </xf>
    <xf numFmtId="0" fontId="7" fillId="2" borderId="0" xfId="0" applyFont="1" applyFill="1" applyAlignment="1" applyProtection="1">
      <alignment horizontal="left" vertical="center"/>
      <protection locked="0"/>
    </xf>
    <xf numFmtId="14" fontId="4" fillId="3" borderId="7" xfId="0" applyNumberFormat="1" applyFont="1" applyFill="1" applyBorder="1" applyAlignment="1" applyProtection="1">
      <alignment vertical="center"/>
      <protection locked="0"/>
    </xf>
    <xf numFmtId="37" fontId="4" fillId="3" borderId="7" xfId="0" applyNumberFormat="1" applyFont="1" applyFill="1" applyBorder="1" applyAlignment="1" applyProtection="1">
      <alignment horizontal="left"/>
      <protection locked="0"/>
    </xf>
    <xf numFmtId="0" fontId="4" fillId="3" borderId="7" xfId="0" applyFont="1" applyFill="1" applyBorder="1" applyAlignment="1" applyProtection="1">
      <alignment horizontal="center"/>
      <protection locked="0"/>
    </xf>
    <xf numFmtId="3" fontId="3" fillId="2"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2" fillId="5" borderId="5" xfId="0" applyNumberFormat="1" applyFont="1" applyFill="1" applyBorder="1" applyAlignment="1" applyProtection="1">
      <alignment horizontal="center" vertical="center"/>
      <protection locked="0"/>
    </xf>
    <xf numFmtId="3" fontId="12" fillId="5" borderId="5" xfId="0" applyNumberFormat="1" applyFont="1" applyFill="1" applyBorder="1" applyAlignment="1" applyProtection="1">
      <alignment horizontal="center" vertical="center"/>
    </xf>
    <xf numFmtId="1" fontId="4" fillId="2" borderId="14" xfId="0" applyNumberFormat="1" applyFont="1" applyFill="1" applyBorder="1" applyAlignment="1" applyProtection="1">
      <alignment horizontal="center" vertical="center"/>
    </xf>
    <xf numFmtId="37" fontId="4" fillId="2" borderId="8" xfId="0" applyNumberFormat="1" applyFont="1" applyFill="1" applyBorder="1" applyAlignment="1" applyProtection="1">
      <alignment horizontal="center" vertical="center"/>
    </xf>
    <xf numFmtId="3" fontId="4" fillId="2" borderId="5" xfId="0" applyNumberFormat="1" applyFont="1" applyFill="1" applyBorder="1" applyAlignment="1" applyProtection="1">
      <alignment vertical="center"/>
    </xf>
    <xf numFmtId="37" fontId="4" fillId="2"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2" fillId="7" borderId="5" xfId="0" applyNumberFormat="1" applyFont="1" applyFill="1" applyBorder="1" applyAlignment="1" applyProtection="1">
      <alignment horizontal="center" vertical="center"/>
    </xf>
    <xf numFmtId="49" fontId="4" fillId="3" borderId="7" xfId="0" applyNumberFormat="1" applyFont="1" applyFill="1" applyBorder="1" applyAlignment="1" applyProtection="1">
      <alignment horizontal="center" vertical="center"/>
      <protection locked="0"/>
    </xf>
    <xf numFmtId="0" fontId="11" fillId="0" borderId="0" xfId="0" applyFont="1" applyAlignment="1">
      <alignment wrapText="1"/>
    </xf>
    <xf numFmtId="0" fontId="48" fillId="2" borderId="0" xfId="0" applyFont="1" applyFill="1" applyAlignment="1" applyProtection="1">
      <alignment horizontal="center" vertical="center"/>
    </xf>
    <xf numFmtId="37" fontId="3" fillId="2" borderId="0" xfId="0" applyNumberFormat="1" applyFont="1" applyFill="1" applyBorder="1" applyAlignment="1" applyProtection="1">
      <alignment vertical="center"/>
    </xf>
    <xf numFmtId="3" fontId="3" fillId="2"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horizontal="center" vertical="center"/>
    </xf>
    <xf numFmtId="0" fontId="4" fillId="2" borderId="0" xfId="56" applyFont="1" applyFill="1" applyAlignment="1" applyProtection="1">
      <alignment horizontal="right" vertical="center"/>
    </xf>
    <xf numFmtId="1" fontId="3" fillId="2" borderId="7" xfId="0" applyNumberFormat="1" applyFont="1" applyFill="1" applyBorder="1" applyAlignment="1" applyProtection="1">
      <alignment horizontal="center" vertical="center"/>
    </xf>
    <xf numFmtId="0" fontId="32" fillId="9" borderId="0" xfId="0" applyFont="1" applyFill="1"/>
    <xf numFmtId="0" fontId="32" fillId="0" borderId="0" xfId="0" applyFont="1"/>
    <xf numFmtId="0" fontId="32" fillId="2" borderId="0" xfId="0" applyFont="1" applyFill="1"/>
    <xf numFmtId="0" fontId="49" fillId="9" borderId="0" xfId="0" applyFont="1" applyFill="1" applyAlignment="1">
      <alignment horizontal="center" wrapText="1"/>
    </xf>
    <xf numFmtId="0" fontId="49" fillId="2" borderId="0" xfId="0" applyFont="1" applyFill="1"/>
    <xf numFmtId="0" fontId="32" fillId="2" borderId="0" xfId="0" applyFont="1" applyFill="1" applyAlignment="1">
      <alignment horizontal="center"/>
    </xf>
    <xf numFmtId="0" fontId="49" fillId="2" borderId="20" xfId="0" applyFont="1" applyFill="1" applyBorder="1"/>
    <xf numFmtId="0" fontId="32" fillId="2" borderId="21" xfId="0" applyFont="1" applyFill="1" applyBorder="1"/>
    <xf numFmtId="0" fontId="32" fillId="2" borderId="22" xfId="0" applyFont="1" applyFill="1" applyBorder="1"/>
    <xf numFmtId="178" fontId="32" fillId="2" borderId="23" xfId="0" applyNumberFormat="1" applyFont="1" applyFill="1" applyBorder="1"/>
    <xf numFmtId="0" fontId="32" fillId="2" borderId="0" xfId="0" applyFont="1" applyFill="1" applyBorder="1"/>
    <xf numFmtId="0" fontId="32" fillId="2" borderId="24" xfId="0" applyFont="1" applyFill="1" applyBorder="1"/>
    <xf numFmtId="0" fontId="32" fillId="2" borderId="25" xfId="0" applyFont="1" applyFill="1" applyBorder="1"/>
    <xf numFmtId="0" fontId="32" fillId="2" borderId="26" xfId="0" applyFont="1" applyFill="1" applyBorder="1"/>
    <xf numFmtId="0" fontId="32" fillId="2" borderId="27" xfId="0" applyFont="1" applyFill="1" applyBorder="1"/>
    <xf numFmtId="0" fontId="32" fillId="2" borderId="20" xfId="0" applyFont="1" applyFill="1" applyBorder="1"/>
    <xf numFmtId="0" fontId="32" fillId="2" borderId="28" xfId="0" applyFont="1" applyFill="1" applyBorder="1"/>
    <xf numFmtId="174" fontId="32" fillId="2" borderId="0" xfId="0" applyNumberFormat="1" applyFont="1" applyFill="1" applyBorder="1" applyAlignment="1">
      <alignment horizontal="center"/>
    </xf>
    <xf numFmtId="178" fontId="32" fillId="0" borderId="0" xfId="0" applyNumberFormat="1" applyFont="1"/>
    <xf numFmtId="0" fontId="50" fillId="0" borderId="0" xfId="0" applyFont="1" applyBorder="1"/>
    <xf numFmtId="0" fontId="32" fillId="0" borderId="0" xfId="0" applyFont="1" applyBorder="1"/>
    <xf numFmtId="0" fontId="49" fillId="0" borderId="0" xfId="0" applyFont="1" applyBorder="1" applyAlignment="1">
      <alignment horizontal="centerContinuous"/>
    </xf>
    <xf numFmtId="0" fontId="32" fillId="0" borderId="0" xfId="0" applyFont="1" applyBorder="1" applyAlignment="1">
      <alignment horizontal="centerContinuous"/>
    </xf>
    <xf numFmtId="0" fontId="32" fillId="9" borderId="0" xfId="0" applyFont="1" applyFill="1" applyBorder="1"/>
    <xf numFmtId="0" fontId="32" fillId="2" borderId="29" xfId="0" applyFont="1" applyFill="1" applyBorder="1"/>
    <xf numFmtId="0" fontId="32" fillId="2" borderId="15" xfId="0" applyFont="1" applyFill="1" applyBorder="1"/>
    <xf numFmtId="0" fontId="32" fillId="2" borderId="30" xfId="0" applyFont="1" applyFill="1" applyBorder="1"/>
    <xf numFmtId="5" fontId="32" fillId="2" borderId="26" xfId="0" applyNumberFormat="1" applyFont="1" applyFill="1" applyBorder="1" applyAlignment="1">
      <alignment horizontal="center"/>
    </xf>
    <xf numFmtId="0" fontId="32" fillId="2" borderId="26" xfId="0" applyFont="1" applyFill="1" applyBorder="1" applyAlignment="1">
      <alignment horizontal="center"/>
    </xf>
    <xf numFmtId="174" fontId="32" fillId="2" borderId="26" xfId="0" applyNumberFormat="1" applyFont="1" applyFill="1" applyBorder="1" applyAlignment="1">
      <alignment horizontal="center"/>
    </xf>
    <xf numFmtId="179" fontId="32" fillId="2" borderId="26" xfId="0" applyNumberFormat="1" applyFont="1" applyFill="1" applyBorder="1" applyAlignment="1">
      <alignment horizontal="center"/>
    </xf>
    <xf numFmtId="0" fontId="32" fillId="2" borderId="0" xfId="0" applyFont="1" applyFill="1" applyAlignment="1">
      <alignment horizontal="center" wrapText="1"/>
    </xf>
    <xf numFmtId="0" fontId="49" fillId="2" borderId="20" xfId="0" applyFont="1" applyFill="1" applyBorder="1" applyAlignment="1"/>
    <xf numFmtId="0" fontId="32" fillId="2" borderId="21" xfId="0" applyFont="1" applyFill="1" applyBorder="1" applyAlignment="1"/>
    <xf numFmtId="0" fontId="32" fillId="2" borderId="22" xfId="0" applyFont="1" applyFill="1" applyBorder="1" applyAlignment="1"/>
    <xf numFmtId="0" fontId="32" fillId="2" borderId="28" xfId="0" applyFont="1" applyFill="1" applyBorder="1" applyAlignment="1"/>
    <xf numFmtId="0" fontId="32" fillId="2" borderId="24" xfId="0" applyFont="1" applyFill="1" applyBorder="1" applyAlignment="1"/>
    <xf numFmtId="0" fontId="32" fillId="2" borderId="29" xfId="0" applyFont="1" applyFill="1" applyBorder="1" applyAlignment="1"/>
    <xf numFmtId="0" fontId="32" fillId="2" borderId="15" xfId="0" applyFont="1" applyFill="1" applyBorder="1" applyAlignment="1"/>
    <xf numFmtId="0" fontId="32" fillId="2" borderId="30" xfId="0" applyFont="1" applyFill="1" applyBorder="1" applyAlignment="1"/>
    <xf numFmtId="172" fontId="32" fillId="2" borderId="0" xfId="0" applyNumberFormat="1" applyFont="1" applyFill="1" applyBorder="1" applyAlignment="1">
      <alignment horizontal="center"/>
    </xf>
    <xf numFmtId="0" fontId="32" fillId="2" borderId="25" xfId="0" applyFont="1" applyFill="1" applyBorder="1" applyAlignment="1"/>
    <xf numFmtId="5" fontId="32" fillId="2" borderId="0" xfId="0" applyNumberFormat="1" applyFont="1" applyFill="1" applyBorder="1" applyAlignment="1">
      <alignment horizontal="center"/>
    </xf>
    <xf numFmtId="0" fontId="32" fillId="9" borderId="0" xfId="0" applyFont="1" applyFill="1" applyAlignment="1"/>
    <xf numFmtId="174" fontId="32" fillId="4" borderId="1" xfId="0" applyNumberFormat="1" applyFont="1" applyFill="1" applyBorder="1" applyAlignment="1" applyProtection="1">
      <alignment horizontal="center"/>
      <protection locked="0"/>
    </xf>
    <xf numFmtId="179" fontId="32" fillId="2" borderId="0" xfId="0" applyNumberFormat="1" applyFont="1" applyFill="1" applyBorder="1"/>
    <xf numFmtId="178" fontId="32" fillId="2" borderId="26" xfId="0" applyNumberFormat="1" applyFont="1" applyFill="1" applyBorder="1" applyAlignment="1">
      <alignment horizontal="center"/>
    </xf>
    <xf numFmtId="174" fontId="32" fillId="2" borderId="26" xfId="0" applyNumberFormat="1" applyFont="1" applyFill="1" applyBorder="1" applyAlignment="1" applyProtection="1">
      <alignment horizontal="center"/>
      <protection locked="0"/>
    </xf>
    <xf numFmtId="179" fontId="32" fillId="2" borderId="26" xfId="0" applyNumberFormat="1" applyFont="1" applyFill="1" applyBorder="1"/>
    <xf numFmtId="0" fontId="49" fillId="2" borderId="28" xfId="0" applyFont="1" applyFill="1" applyBorder="1" applyAlignment="1">
      <alignment horizontal="centerContinuous" vertical="center"/>
    </xf>
    <xf numFmtId="178" fontId="49" fillId="2" borderId="0" xfId="0" applyNumberFormat="1" applyFont="1" applyFill="1" applyBorder="1" applyAlignment="1">
      <alignment horizontal="centerContinuous" vertical="center"/>
    </xf>
    <xf numFmtId="0" fontId="49" fillId="2" borderId="0" xfId="0" applyFont="1" applyFill="1" applyBorder="1" applyAlignment="1">
      <alignment horizontal="centerContinuous" vertical="center"/>
    </xf>
    <xf numFmtId="174" fontId="49" fillId="2" borderId="0" xfId="0" applyNumberFormat="1" applyFont="1" applyFill="1" applyBorder="1" applyAlignment="1" applyProtection="1">
      <alignment horizontal="centerContinuous" vertical="center"/>
      <protection locked="0"/>
    </xf>
    <xf numFmtId="179" fontId="49" fillId="2" borderId="0" xfId="0" applyNumberFormat="1" applyFont="1" applyFill="1" applyBorder="1" applyAlignment="1">
      <alignment horizontal="centerContinuous" vertical="center"/>
    </xf>
    <xf numFmtId="0" fontId="49" fillId="2" borderId="24" xfId="0" applyFont="1" applyFill="1" applyBorder="1" applyAlignment="1">
      <alignment horizontal="centerContinuous" vertical="center"/>
    </xf>
    <xf numFmtId="0" fontId="49" fillId="2" borderId="28" xfId="0" applyFont="1" applyFill="1" applyBorder="1" applyAlignment="1">
      <alignment horizontal="centerContinuous"/>
    </xf>
    <xf numFmtId="178" fontId="49" fillId="2" borderId="0" xfId="0" applyNumberFormat="1" applyFont="1" applyFill="1" applyBorder="1" applyAlignment="1">
      <alignment horizontal="centerContinuous"/>
    </xf>
    <xf numFmtId="0" fontId="49" fillId="2" borderId="0" xfId="0" applyFont="1" applyFill="1" applyBorder="1" applyAlignment="1">
      <alignment horizontal="centerContinuous"/>
    </xf>
    <xf numFmtId="174" fontId="49" fillId="2" borderId="0" xfId="0" applyNumberFormat="1" applyFont="1" applyFill="1" applyBorder="1" applyAlignment="1" applyProtection="1">
      <alignment horizontal="centerContinuous"/>
      <protection locked="0"/>
    </xf>
    <xf numFmtId="179" fontId="49" fillId="2" borderId="0" xfId="0" applyNumberFormat="1" applyFont="1" applyFill="1" applyBorder="1" applyAlignment="1">
      <alignment horizontal="centerContinuous"/>
    </xf>
    <xf numFmtId="0" fontId="49" fillId="2" borderId="24" xfId="0" applyFont="1" applyFill="1" applyBorder="1" applyAlignment="1">
      <alignment horizontal="centerContinuous"/>
    </xf>
    <xf numFmtId="174" fontId="32" fillId="2" borderId="0" xfId="0" applyNumberFormat="1" applyFont="1" applyFill="1" applyBorder="1" applyAlignment="1" applyProtection="1">
      <alignment horizontal="center"/>
      <protection locked="0"/>
    </xf>
    <xf numFmtId="178" fontId="32" fillId="2" borderId="21" xfId="0" applyNumberFormat="1" applyFont="1" applyFill="1" applyBorder="1" applyAlignment="1">
      <alignment horizontal="center"/>
    </xf>
    <xf numFmtId="0" fontId="32" fillId="2" borderId="21" xfId="0" applyFont="1" applyFill="1" applyBorder="1" applyAlignment="1">
      <alignment horizontal="center"/>
    </xf>
    <xf numFmtId="174" fontId="32" fillId="2" borderId="21" xfId="0" applyNumberFormat="1" applyFont="1" applyFill="1" applyBorder="1" applyAlignment="1" applyProtection="1">
      <alignment horizontal="center"/>
      <protection locked="0"/>
    </xf>
    <xf numFmtId="179" fontId="32" fillId="2" borderId="21" xfId="0" applyNumberFormat="1" applyFont="1" applyFill="1" applyBorder="1"/>
    <xf numFmtId="0" fontId="32" fillId="11" borderId="0" xfId="0" applyFont="1" applyFill="1"/>
    <xf numFmtId="0" fontId="34" fillId="0" borderId="0" xfId="0" applyFont="1" applyAlignment="1">
      <alignment horizontal="center"/>
    </xf>
    <xf numFmtId="0" fontId="4" fillId="0" borderId="0" xfId="0" applyFont="1"/>
    <xf numFmtId="0" fontId="4" fillId="0" borderId="0" xfId="0" applyFont="1" applyAlignment="1">
      <alignment wrapText="1"/>
    </xf>
    <xf numFmtId="0" fontId="35" fillId="0" borderId="0" xfId="15" applyFont="1" applyAlignment="1" applyProtection="1"/>
    <xf numFmtId="37" fontId="3" fillId="2"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2" borderId="31" xfId="0" applyNumberFormat="1" applyFont="1" applyFill="1" applyBorder="1" applyAlignment="1" applyProtection="1">
      <alignment vertical="center"/>
    </xf>
    <xf numFmtId="0" fontId="4" fillId="2" borderId="31" xfId="0" applyFont="1" applyFill="1" applyBorder="1" applyAlignment="1" applyProtection="1">
      <alignment vertical="center"/>
    </xf>
    <xf numFmtId="0" fontId="51" fillId="0" borderId="0" xfId="0" applyFont="1" applyAlignment="1">
      <alignment wrapText="1"/>
    </xf>
    <xf numFmtId="0" fontId="36" fillId="0" borderId="0" xfId="0" applyFont="1" applyAlignment="1" applyProtection="1">
      <alignment vertical="center"/>
    </xf>
    <xf numFmtId="0" fontId="4" fillId="2" borderId="16" xfId="0" applyFont="1" applyFill="1" applyBorder="1" applyAlignment="1" applyProtection="1">
      <alignment vertical="center"/>
    </xf>
    <xf numFmtId="178" fontId="8" fillId="2" borderId="16" xfId="0" applyNumberFormat="1" applyFont="1" applyFill="1" applyBorder="1" applyAlignment="1" applyProtection="1">
      <alignment horizontal="center" vertical="center"/>
    </xf>
    <xf numFmtId="0" fontId="8" fillId="2" borderId="0" xfId="0" applyFont="1" applyFill="1" applyBorder="1" applyAlignment="1" applyProtection="1">
      <alignment horizontal="left" vertical="center"/>
    </xf>
    <xf numFmtId="0" fontId="8" fillId="2" borderId="10" xfId="0" applyFont="1" applyFill="1" applyBorder="1" applyAlignment="1" applyProtection="1">
      <alignment vertical="center"/>
    </xf>
    <xf numFmtId="0" fontId="8" fillId="2" borderId="0" xfId="0" applyFont="1" applyFill="1" applyBorder="1" applyAlignment="1" applyProtection="1">
      <alignment vertical="center"/>
    </xf>
    <xf numFmtId="178" fontId="8" fillId="2" borderId="8" xfId="0" applyNumberFormat="1" applyFont="1" applyFill="1" applyBorder="1" applyAlignment="1" applyProtection="1">
      <alignment horizontal="center" vertical="center"/>
    </xf>
    <xf numFmtId="178" fontId="8" fillId="2" borderId="16" xfId="0" applyNumberFormat="1" applyFont="1" applyFill="1" applyBorder="1" applyAlignment="1" applyProtection="1">
      <alignment vertical="center"/>
    </xf>
    <xf numFmtId="178" fontId="38" fillId="5" borderId="8" xfId="0" applyNumberFormat="1" applyFont="1" applyFill="1" applyBorder="1" applyAlignment="1" applyProtection="1">
      <alignment horizontal="center" vertical="center"/>
    </xf>
    <xf numFmtId="0" fontId="38" fillId="5" borderId="1" xfId="0" applyFont="1" applyFill="1" applyBorder="1" applyAlignment="1" applyProtection="1">
      <alignment vertical="center"/>
    </xf>
    <xf numFmtId="0" fontId="8" fillId="5" borderId="3" xfId="0" applyFont="1" applyFill="1" applyBorder="1" applyAlignment="1" applyProtection="1">
      <alignment vertical="center"/>
    </xf>
    <xf numFmtId="0" fontId="4" fillId="5"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2" borderId="16" xfId="0" applyFont="1" applyFill="1" applyBorder="1" applyAlignment="1" applyProtection="1">
      <alignment vertical="center"/>
    </xf>
    <xf numFmtId="178" fontId="8" fillId="2" borderId="10" xfId="0" applyNumberFormat="1" applyFont="1" applyFill="1" applyBorder="1" applyAlignment="1" applyProtection="1">
      <alignment horizontal="center" vertical="center"/>
    </xf>
    <xf numFmtId="0" fontId="8" fillId="2" borderId="16" xfId="0" applyFont="1" applyFill="1" applyBorder="1" applyAlignment="1" applyProtection="1">
      <alignment horizontal="left" vertical="center"/>
    </xf>
    <xf numFmtId="178" fontId="8" fillId="4" borderId="7" xfId="0" applyNumberFormat="1" applyFont="1" applyFill="1" applyBorder="1" applyAlignment="1" applyProtection="1">
      <alignment horizontal="center" vertical="center"/>
      <protection locked="0"/>
    </xf>
    <xf numFmtId="0" fontId="4" fillId="5" borderId="1" xfId="0" applyFont="1" applyFill="1" applyBorder="1" applyAlignment="1" applyProtection="1">
      <alignment vertical="center"/>
    </xf>
    <xf numFmtId="0" fontId="8" fillId="2" borderId="16" xfId="0" applyFont="1" applyFill="1" applyBorder="1" applyProtection="1"/>
    <xf numFmtId="0" fontId="4" fillId="2" borderId="0" xfId="0" applyFont="1" applyFill="1" applyBorder="1" applyProtection="1"/>
    <xf numFmtId="178" fontId="4" fillId="2" borderId="10" xfId="0" applyNumberFormat="1" applyFont="1" applyFill="1" applyBorder="1" applyAlignment="1" applyProtection="1">
      <alignment horizontal="center"/>
    </xf>
    <xf numFmtId="0" fontId="4" fillId="2" borderId="8" xfId="0" applyFont="1" applyFill="1" applyBorder="1" applyProtection="1"/>
    <xf numFmtId="0" fontId="4" fillId="2" borderId="1" xfId="0" applyFont="1" applyFill="1" applyBorder="1" applyProtection="1"/>
    <xf numFmtId="178" fontId="4" fillId="5" borderId="3" xfId="0" applyNumberFormat="1" applyFont="1" applyFill="1" applyBorder="1" applyAlignment="1" applyProtection="1">
      <alignment horizontal="center"/>
    </xf>
    <xf numFmtId="0" fontId="4" fillId="0" borderId="0" xfId="0" applyFont="1" applyFill="1" applyBorder="1" applyProtection="1"/>
    <xf numFmtId="0" fontId="4" fillId="2" borderId="16" xfId="0" applyFont="1" applyFill="1" applyBorder="1" applyProtection="1"/>
    <xf numFmtId="0" fontId="4" fillId="2" borderId="10" xfId="0" applyFont="1" applyFill="1" applyBorder="1" applyProtection="1"/>
    <xf numFmtId="172" fontId="4" fillId="2" borderId="10" xfId="0" applyNumberFormat="1" applyFont="1" applyFill="1" applyBorder="1" applyAlignment="1" applyProtection="1">
      <alignment horizontal="center"/>
    </xf>
    <xf numFmtId="0" fontId="4" fillId="5" borderId="16" xfId="0" applyFont="1" applyFill="1" applyBorder="1" applyProtection="1"/>
    <xf numFmtId="0" fontId="4" fillId="5" borderId="0" xfId="0" applyFont="1" applyFill="1" applyBorder="1" applyProtection="1"/>
    <xf numFmtId="0" fontId="4" fillId="5" borderId="8" xfId="0" applyFont="1" applyFill="1" applyBorder="1" applyProtection="1"/>
    <xf numFmtId="0" fontId="4" fillId="5" borderId="1" xfId="0" applyFont="1" applyFill="1" applyBorder="1" applyProtection="1"/>
    <xf numFmtId="0" fontId="4" fillId="0" borderId="0" xfId="0" applyFont="1" applyProtection="1"/>
    <xf numFmtId="178" fontId="4" fillId="2" borderId="3" xfId="0" applyNumberFormat="1" applyFont="1" applyFill="1" applyBorder="1" applyAlignment="1" applyProtection="1">
      <alignment horizontal="center"/>
    </xf>
    <xf numFmtId="174" fontId="4" fillId="4" borderId="10" xfId="0" applyNumberFormat="1" applyFont="1" applyFill="1" applyBorder="1" applyAlignment="1" applyProtection="1">
      <alignment horizontal="center"/>
      <protection locked="0"/>
    </xf>
    <xf numFmtId="178" fontId="4" fillId="5" borderId="10" xfId="0" applyNumberFormat="1" applyFont="1" applyFill="1" applyBorder="1" applyAlignment="1" applyProtection="1">
      <alignment horizontal="center"/>
    </xf>
    <xf numFmtId="0" fontId="4" fillId="5" borderId="8" xfId="0" applyFont="1" applyFill="1" applyBorder="1" applyAlignment="1" applyProtection="1">
      <alignment vertical="center"/>
    </xf>
    <xf numFmtId="178" fontId="4" fillId="5" borderId="3" xfId="0" applyNumberFormat="1" applyFont="1" applyFill="1" applyBorder="1" applyAlignment="1" applyProtection="1">
      <alignment horizontal="center" vertical="center"/>
    </xf>
    <xf numFmtId="37" fontId="4" fillId="2" borderId="4" xfId="0" applyNumberFormat="1" applyFont="1" applyFill="1" applyBorder="1" applyAlignment="1" applyProtection="1">
      <alignment horizontal="fill" vertical="center"/>
    </xf>
    <xf numFmtId="37" fontId="4" fillId="2" borderId="1" xfId="0" applyNumberFormat="1" applyFont="1" applyFill="1" applyBorder="1" applyAlignment="1" applyProtection="1">
      <alignment horizontal="center" vertical="center"/>
      <protection locked="0"/>
    </xf>
    <xf numFmtId="37" fontId="4" fillId="2" borderId="13" xfId="28" applyNumberFormat="1" applyFont="1" applyFill="1" applyBorder="1" applyAlignment="1" applyProtection="1">
      <alignment horizontal="center" vertical="center"/>
    </xf>
    <xf numFmtId="37" fontId="4" fillId="2" borderId="4" xfId="28" applyNumberFormat="1" applyFont="1" applyFill="1" applyBorder="1" applyAlignment="1" applyProtection="1">
      <alignment horizontal="center" vertical="center"/>
    </xf>
    <xf numFmtId="172" fontId="4" fillId="2" borderId="7" xfId="0" applyNumberFormat="1" applyFont="1" applyFill="1" applyBorder="1" applyAlignment="1" applyProtection="1">
      <alignment vertical="center"/>
    </xf>
    <xf numFmtId="3" fontId="4" fillId="2"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2"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2" borderId="0" xfId="0" applyNumberFormat="1" applyFont="1" applyFill="1" applyAlignment="1" applyProtection="1">
      <alignment horizontal="left" vertical="center"/>
      <protection locked="0"/>
    </xf>
    <xf numFmtId="0" fontId="3" fillId="2" borderId="0" xfId="28" applyFont="1" applyFill="1" applyAlignment="1" applyProtection="1">
      <alignment vertical="center"/>
    </xf>
    <xf numFmtId="0" fontId="4" fillId="0" borderId="0" xfId="56" applyFont="1" applyAlignment="1">
      <alignment vertical="center" wrapText="1"/>
    </xf>
    <xf numFmtId="0" fontId="4" fillId="0" borderId="0" xfId="56" applyFont="1" applyAlignment="1">
      <alignment vertical="center"/>
    </xf>
    <xf numFmtId="0" fontId="4" fillId="2" borderId="0" xfId="14" applyNumberFormat="1" applyFont="1" applyFill="1" applyBorder="1" applyAlignment="1" applyProtection="1">
      <alignment horizontal="right" vertical="center"/>
    </xf>
    <xf numFmtId="0" fontId="49" fillId="2" borderId="0" xfId="0" applyFont="1" applyFill="1" applyAlignment="1">
      <alignment horizontal="center" wrapText="1"/>
    </xf>
    <xf numFmtId="0" fontId="49" fillId="2" borderId="0" xfId="0" applyFont="1" applyFill="1" applyAlignment="1">
      <alignment horizontal="center"/>
    </xf>
    <xf numFmtId="0" fontId="32" fillId="2" borderId="0" xfId="0" applyFont="1" applyFill="1" applyBorder="1" applyAlignment="1"/>
    <xf numFmtId="0" fontId="32" fillId="2" borderId="27" xfId="0" applyFont="1" applyFill="1" applyBorder="1" applyAlignment="1"/>
    <xf numFmtId="0" fontId="32" fillId="2" borderId="0" xfId="0" applyFont="1" applyFill="1" applyBorder="1" applyAlignment="1">
      <alignment horizontal="center"/>
    </xf>
    <xf numFmtId="178" fontId="32" fillId="2" borderId="0" xfId="0" applyNumberFormat="1" applyFont="1" applyFill="1" applyBorder="1" applyAlignment="1">
      <alignment horizontal="center"/>
    </xf>
    <xf numFmtId="0" fontId="32" fillId="2" borderId="15" xfId="0" applyFont="1" applyFill="1" applyBorder="1" applyAlignment="1">
      <alignment horizontal="center"/>
    </xf>
    <xf numFmtId="179" fontId="32" fillId="2" borderId="0" xfId="0" applyNumberFormat="1" applyFont="1" applyFill="1" applyBorder="1" applyAlignment="1">
      <alignment horizontal="center"/>
    </xf>
    <xf numFmtId="0" fontId="4" fillId="0" borderId="0" xfId="0" applyFont="1" applyBorder="1" applyAlignment="1">
      <alignment vertical="center"/>
    </xf>
    <xf numFmtId="0" fontId="4" fillId="2" borderId="0" xfId="0" applyFont="1" applyFill="1" applyBorder="1" applyAlignment="1">
      <alignment vertical="center"/>
    </xf>
    <xf numFmtId="0" fontId="4" fillId="2" borderId="0" xfId="36" applyFont="1" applyFill="1"/>
    <xf numFmtId="0" fontId="2" fillId="0" borderId="0" xfId="36"/>
    <xf numFmtId="0" fontId="4" fillId="2" borderId="0" xfId="36" applyFont="1" applyFill="1" applyAlignment="1">
      <alignment vertical="center"/>
    </xf>
    <xf numFmtId="37" fontId="4" fillId="2" borderId="0" xfId="36" applyNumberFormat="1" applyFont="1" applyFill="1" applyAlignment="1">
      <alignment vertical="center"/>
    </xf>
    <xf numFmtId="0" fontId="4" fillId="2" borderId="1" xfId="36" applyFont="1" applyFill="1" applyBorder="1" applyAlignment="1">
      <alignment vertical="center"/>
    </xf>
    <xf numFmtId="0" fontId="4" fillId="2" borderId="0" xfId="36" applyFont="1" applyFill="1" applyAlignment="1">
      <alignment horizontal="center" vertical="center"/>
    </xf>
    <xf numFmtId="0" fontId="5" fillId="2" borderId="0" xfId="36" applyFont="1" applyFill="1" applyAlignment="1">
      <alignment horizontal="center" vertical="center"/>
    </xf>
    <xf numFmtId="178" fontId="4" fillId="2" borderId="0" xfId="36" applyNumberFormat="1" applyFont="1" applyFill="1" applyAlignment="1">
      <alignment vertical="center"/>
    </xf>
    <xf numFmtId="178" fontId="4" fillId="2" borderId="15" xfId="36" applyNumberFormat="1" applyFont="1" applyFill="1" applyBorder="1" applyAlignment="1">
      <alignment vertical="center"/>
    </xf>
    <xf numFmtId="6" fontId="4" fillId="2" borderId="0" xfId="36" applyNumberFormat="1" applyFont="1" applyFill="1" applyBorder="1" applyAlignment="1">
      <alignment vertical="center"/>
    </xf>
    <xf numFmtId="178" fontId="4" fillId="2" borderId="0" xfId="36" applyNumberFormat="1" applyFont="1" applyFill="1" applyBorder="1" applyAlignment="1">
      <alignment vertical="center"/>
    </xf>
    <xf numFmtId="0" fontId="52" fillId="5" borderId="0" xfId="36" applyFont="1" applyFill="1" applyAlignment="1">
      <alignment vertical="center"/>
    </xf>
    <xf numFmtId="0" fontId="52" fillId="2" borderId="0" xfId="36" applyFont="1" applyFill="1" applyAlignment="1">
      <alignment horizontal="center" vertical="center"/>
    </xf>
    <xf numFmtId="174" fontId="4" fillId="2" borderId="0" xfId="36" applyNumberFormat="1" applyFont="1" applyFill="1" applyAlignment="1">
      <alignment horizontal="center" vertical="center"/>
    </xf>
    <xf numFmtId="180" fontId="52" fillId="2" borderId="0" xfId="36" applyNumberFormat="1" applyFont="1" applyFill="1" applyAlignment="1">
      <alignment horizontal="center" vertical="center"/>
    </xf>
    <xf numFmtId="0" fontId="52" fillId="5" borderId="0" xfId="36" applyFont="1" applyFill="1" applyAlignment="1">
      <alignment horizontal="center" vertical="center"/>
    </xf>
    <xf numFmtId="0" fontId="44" fillId="5" borderId="0" xfId="36" applyFont="1" applyFill="1" applyAlignment="1">
      <alignment horizontal="center" vertical="center"/>
    </xf>
    <xf numFmtId="0" fontId="4" fillId="2" borderId="0" xfId="36" applyFont="1" applyFill="1" applyAlignment="1">
      <alignment horizontal="right" vertical="center"/>
    </xf>
    <xf numFmtId="0" fontId="4" fillId="2" borderId="0" xfId="36" applyFont="1" applyFill="1" applyAlignment="1">
      <alignment horizontal="left" vertical="center"/>
    </xf>
    <xf numFmtId="0" fontId="4" fillId="2" borderId="0" xfId="31" applyFont="1" applyFill="1"/>
    <xf numFmtId="0" fontId="2" fillId="2" borderId="0" xfId="36" applyFill="1"/>
    <xf numFmtId="0" fontId="3" fillId="2" borderId="0" xfId="31" applyFont="1" applyFill="1"/>
    <xf numFmtId="0" fontId="2" fillId="2" borderId="0" xfId="31" applyFill="1"/>
    <xf numFmtId="0" fontId="27" fillId="0" borderId="0" xfId="15" applyAlignment="1" applyProtection="1"/>
    <xf numFmtId="0" fontId="4" fillId="5" borderId="0" xfId="0" applyFont="1" applyFill="1" applyBorder="1" applyAlignment="1" applyProtection="1">
      <alignment vertical="center"/>
    </xf>
    <xf numFmtId="37" fontId="4" fillId="2" borderId="0" xfId="28" applyNumberFormat="1" applyFont="1" applyFill="1" applyAlignment="1" applyProtection="1">
      <alignment vertical="center"/>
    </xf>
    <xf numFmtId="0" fontId="4" fillId="2" borderId="0" xfId="28" applyFont="1" applyFill="1" applyAlignment="1" applyProtection="1">
      <alignment vertical="center"/>
    </xf>
    <xf numFmtId="1" fontId="4" fillId="2" borderId="0" xfId="28" applyNumberFormat="1" applyFont="1" applyFill="1" applyBorder="1" applyAlignment="1" applyProtection="1">
      <alignment horizontal="right" vertical="center"/>
    </xf>
    <xf numFmtId="0" fontId="4" fillId="0" borderId="0" xfId="28" applyFont="1" applyProtection="1">
      <protection locked="0"/>
    </xf>
    <xf numFmtId="37" fontId="4" fillId="2" borderId="0" xfId="28" applyNumberFormat="1" applyFont="1" applyFill="1" applyAlignment="1" applyProtection="1">
      <alignment horizontal="right" vertical="center"/>
    </xf>
    <xf numFmtId="37" fontId="4" fillId="2" borderId="0" xfId="28" applyNumberFormat="1" applyFont="1" applyFill="1" applyAlignment="1" applyProtection="1">
      <alignment horizontal="fill" vertical="center"/>
    </xf>
    <xf numFmtId="37" fontId="4" fillId="2" borderId="0" xfId="28" quotePrefix="1" applyNumberFormat="1" applyFont="1" applyFill="1" applyAlignment="1" applyProtection="1">
      <alignment horizontal="right" vertical="center"/>
    </xf>
    <xf numFmtId="37" fontId="4" fillId="2" borderId="0" xfId="28" applyNumberFormat="1" applyFont="1" applyFill="1" applyAlignment="1" applyProtection="1">
      <alignment horizontal="left" vertical="center"/>
    </xf>
    <xf numFmtId="1" fontId="4" fillId="2" borderId="2" xfId="28" applyNumberFormat="1" applyFont="1" applyFill="1" applyBorder="1" applyAlignment="1" applyProtection="1">
      <alignment horizontal="center" vertical="center"/>
    </xf>
    <xf numFmtId="37" fontId="4" fillId="2" borderId="14" xfId="28" applyNumberFormat="1" applyFont="1" applyFill="1" applyBorder="1" applyAlignment="1" applyProtection="1">
      <alignment horizontal="center" vertical="center"/>
    </xf>
    <xf numFmtId="37" fontId="4" fillId="2" borderId="2" xfId="28" applyNumberFormat="1" applyFont="1" applyFill="1" applyBorder="1" applyAlignment="1" applyProtection="1">
      <alignment horizontal="center" vertical="center"/>
    </xf>
    <xf numFmtId="37" fontId="3" fillId="2" borderId="1" xfId="28" applyNumberFormat="1" applyFont="1" applyFill="1" applyBorder="1" applyAlignment="1" applyProtection="1">
      <alignment vertical="center"/>
    </xf>
    <xf numFmtId="0" fontId="4" fillId="2" borderId="4" xfId="28" applyNumberFormat="1" applyFont="1" applyFill="1" applyBorder="1" applyAlignment="1" applyProtection="1">
      <alignment horizontal="center" vertical="center"/>
    </xf>
    <xf numFmtId="0" fontId="4" fillId="2" borderId="8" xfId="28" applyNumberFormat="1" applyFont="1" applyFill="1" applyBorder="1" applyAlignment="1" applyProtection="1">
      <alignment horizontal="center" vertical="center"/>
    </xf>
    <xf numFmtId="1" fontId="4" fillId="2" borderId="4" xfId="28" applyNumberFormat="1" applyFont="1" applyFill="1" applyBorder="1" applyAlignment="1" applyProtection="1">
      <alignment horizontal="center" vertical="center"/>
    </xf>
    <xf numFmtId="37" fontId="4" fillId="2" borderId="5" xfId="28" applyNumberFormat="1" applyFont="1" applyFill="1" applyBorder="1" applyAlignment="1" applyProtection="1">
      <alignment horizontal="left" vertical="center"/>
    </xf>
    <xf numFmtId="37" fontId="4" fillId="4" borderId="5" xfId="28" applyNumberFormat="1" applyFont="1" applyFill="1" applyBorder="1" applyAlignment="1" applyProtection="1">
      <alignment vertical="center"/>
      <protection locked="0"/>
    </xf>
    <xf numFmtId="3" fontId="4" fillId="2" borderId="5" xfId="28" applyNumberFormat="1" applyFont="1" applyFill="1" applyBorder="1" applyAlignment="1" applyProtection="1">
      <alignment vertical="center"/>
    </xf>
    <xf numFmtId="3" fontId="4" fillId="2" borderId="7" xfId="28" applyNumberFormat="1" applyFont="1" applyFill="1" applyBorder="1" applyAlignment="1" applyProtection="1">
      <alignment vertical="center"/>
    </xf>
    <xf numFmtId="37" fontId="4" fillId="2" borderId="5" xfId="28" applyNumberFormat="1" applyFont="1" applyFill="1" applyBorder="1" applyAlignment="1" applyProtection="1">
      <alignment vertical="center"/>
    </xf>
    <xf numFmtId="37" fontId="4" fillId="4" borderId="5" xfId="28" applyNumberFormat="1" applyFont="1" applyFill="1" applyBorder="1" applyAlignment="1" applyProtection="1">
      <alignment horizontal="right" vertical="center"/>
      <protection locked="0"/>
    </xf>
    <xf numFmtId="3" fontId="4" fillId="2" borderId="7" xfId="28" applyNumberFormat="1" applyFont="1" applyFill="1" applyBorder="1" applyAlignment="1" applyProtection="1">
      <alignment horizontal="fill" vertical="center"/>
    </xf>
    <xf numFmtId="3" fontId="4" fillId="3" borderId="5" xfId="28" applyNumberFormat="1" applyFont="1" applyFill="1" applyBorder="1" applyAlignment="1" applyProtection="1">
      <alignment vertical="center"/>
      <protection locked="0"/>
    </xf>
    <xf numFmtId="3" fontId="4" fillId="3" borderId="7" xfId="28" applyNumberFormat="1" applyFont="1" applyFill="1" applyBorder="1" applyAlignment="1" applyProtection="1">
      <alignment vertical="center"/>
      <protection locked="0"/>
    </xf>
    <xf numFmtId="0" fontId="4" fillId="2" borderId="5" xfId="28" applyFont="1" applyFill="1" applyBorder="1" applyAlignment="1" applyProtection="1">
      <alignment vertical="center"/>
    </xf>
    <xf numFmtId="0" fontId="4" fillId="3" borderId="5" xfId="28" applyFont="1" applyFill="1" applyBorder="1" applyAlignment="1" applyProtection="1">
      <alignment horizontal="left" vertical="center"/>
      <protection locked="0"/>
    </xf>
    <xf numFmtId="0" fontId="4" fillId="3" borderId="7" xfId="28" applyFont="1" applyFill="1" applyBorder="1" applyAlignment="1" applyProtection="1">
      <alignment horizontal="left" vertical="center"/>
      <protection locked="0"/>
    </xf>
    <xf numFmtId="37" fontId="4" fillId="3" borderId="5" xfId="28" applyNumberFormat="1" applyFont="1" applyFill="1" applyBorder="1" applyAlignment="1" applyProtection="1">
      <alignment horizontal="left" vertical="center"/>
      <protection locked="0"/>
    </xf>
    <xf numFmtId="3" fontId="4" fillId="4" borderId="5" xfId="28" applyNumberFormat="1" applyFont="1" applyFill="1" applyBorder="1" applyAlignment="1" applyProtection="1">
      <alignment horizontal="right" vertical="center"/>
      <protection locked="0"/>
    </xf>
    <xf numFmtId="3" fontId="12" fillId="7" borderId="5" xfId="28" applyNumberFormat="1" applyFont="1" applyFill="1" applyBorder="1" applyAlignment="1" applyProtection="1">
      <alignment horizontal="center" vertical="center"/>
    </xf>
    <xf numFmtId="3" fontId="12" fillId="7" borderId="7" xfId="28" applyNumberFormat="1" applyFont="1" applyFill="1" applyBorder="1" applyAlignment="1" applyProtection="1">
      <alignment horizontal="center" vertical="center"/>
    </xf>
    <xf numFmtId="37" fontId="3" fillId="2" borderId="5" xfId="28" applyNumberFormat="1" applyFont="1" applyFill="1" applyBorder="1" applyAlignment="1" applyProtection="1">
      <alignment horizontal="left" vertical="center"/>
    </xf>
    <xf numFmtId="3" fontId="3" fillId="2" borderId="5" xfId="28" applyNumberFormat="1" applyFont="1" applyFill="1" applyBorder="1" applyAlignment="1" applyProtection="1">
      <alignment vertical="center"/>
    </xf>
    <xf numFmtId="3" fontId="3" fillId="2" borderId="7" xfId="28" applyNumberFormat="1" applyFont="1" applyFill="1" applyBorder="1" applyAlignment="1" applyProtection="1">
      <alignment vertical="center"/>
    </xf>
    <xf numFmtId="0" fontId="8" fillId="2" borderId="16" xfId="28" applyFont="1" applyFill="1" applyBorder="1" applyAlignment="1" applyProtection="1">
      <alignment vertical="center"/>
    </xf>
    <xf numFmtId="0" fontId="4" fillId="2" borderId="0" xfId="28" applyFont="1" applyFill="1" applyBorder="1" applyAlignment="1" applyProtection="1">
      <alignment vertical="center"/>
    </xf>
    <xf numFmtId="0" fontId="8" fillId="2" borderId="0" xfId="28" applyFont="1" applyFill="1" applyBorder="1" applyAlignment="1" applyProtection="1">
      <alignment vertical="center"/>
    </xf>
    <xf numFmtId="178" fontId="8" fillId="2" borderId="10" xfId="28" applyNumberFormat="1" applyFont="1" applyFill="1" applyBorder="1" applyAlignment="1" applyProtection="1">
      <alignment horizontal="center" vertical="center"/>
    </xf>
    <xf numFmtId="0" fontId="8" fillId="2" borderId="16" xfId="28" applyFont="1" applyFill="1" applyBorder="1" applyAlignment="1" applyProtection="1">
      <alignment horizontal="left" vertical="center"/>
    </xf>
    <xf numFmtId="178" fontId="8" fillId="4" borderId="7" xfId="28" applyNumberFormat="1" applyFont="1" applyFill="1" applyBorder="1" applyAlignment="1" applyProtection="1">
      <alignment horizontal="center" vertical="center"/>
      <protection locked="0"/>
    </xf>
    <xf numFmtId="174" fontId="38" fillId="2" borderId="6" xfId="28" applyNumberFormat="1" applyFont="1" applyFill="1" applyBorder="1" applyAlignment="1" applyProtection="1">
      <alignment horizontal="center" vertical="center"/>
    </xf>
    <xf numFmtId="0" fontId="38" fillId="5" borderId="16" xfId="28" applyFont="1" applyFill="1" applyBorder="1" applyAlignment="1" applyProtection="1">
      <alignment vertical="center"/>
    </xf>
    <xf numFmtId="0" fontId="4" fillId="5" borderId="0" xfId="28" applyFont="1" applyFill="1" applyBorder="1" applyAlignment="1" applyProtection="1">
      <alignment vertical="center"/>
    </xf>
    <xf numFmtId="0" fontId="8" fillId="5" borderId="0" xfId="28" applyFont="1" applyFill="1" applyBorder="1" applyAlignment="1" applyProtection="1">
      <alignment vertical="center"/>
    </xf>
    <xf numFmtId="178" fontId="38" fillId="5" borderId="6" xfId="28" applyNumberFormat="1" applyFont="1" applyFill="1" applyBorder="1" applyAlignment="1" applyProtection="1">
      <alignment horizontal="center" vertical="center"/>
    </xf>
    <xf numFmtId="37" fontId="8" fillId="2" borderId="8" xfId="28" applyNumberFormat="1" applyFont="1" applyFill="1" applyBorder="1" applyAlignment="1" applyProtection="1">
      <alignment horizontal="left" vertical="center"/>
    </xf>
    <xf numFmtId="0" fontId="41" fillId="2" borderId="1" xfId="28" applyFont="1" applyFill="1" applyBorder="1" applyAlignment="1">
      <alignment horizontal="left" vertical="center"/>
    </xf>
    <xf numFmtId="178" fontId="38" fillId="5" borderId="3" xfId="28" applyNumberFormat="1" applyFont="1" applyFill="1" applyBorder="1" applyAlignment="1" applyProtection="1">
      <alignment horizontal="center" vertical="center"/>
      <protection locked="0"/>
    </xf>
    <xf numFmtId="0" fontId="4" fillId="2" borderId="5" xfId="28" applyFont="1" applyFill="1" applyBorder="1" applyAlignment="1" applyProtection="1">
      <alignment vertical="center"/>
      <protection locked="0"/>
    </xf>
    <xf numFmtId="37" fontId="4" fillId="2" borderId="10" xfId="28" applyNumberFormat="1" applyFont="1" applyFill="1" applyBorder="1" applyAlignment="1" applyProtection="1">
      <alignment horizontal="right" vertical="center"/>
    </xf>
    <xf numFmtId="3" fontId="3" fillId="6" borderId="5" xfId="28" applyNumberFormat="1" applyFont="1" applyFill="1" applyBorder="1" applyAlignment="1" applyProtection="1">
      <alignment vertical="center"/>
    </xf>
    <xf numFmtId="3" fontId="3" fillId="6" borderId="7" xfId="28" applyNumberFormat="1" applyFont="1" applyFill="1" applyBorder="1" applyAlignment="1" applyProtection="1">
      <alignment vertical="center"/>
    </xf>
    <xf numFmtId="178" fontId="8" fillId="2" borderId="16" xfId="28" applyNumberFormat="1" applyFont="1" applyFill="1" applyBorder="1" applyAlignment="1" applyProtection="1">
      <alignment horizontal="center" vertical="center"/>
    </xf>
    <xf numFmtId="0" fontId="8" fillId="2" borderId="0" xfId="28" applyFont="1" applyFill="1" applyBorder="1" applyAlignment="1" applyProtection="1">
      <alignment horizontal="left" vertical="center"/>
    </xf>
    <xf numFmtId="0" fontId="8" fillId="2" borderId="10" xfId="28" applyFont="1" applyFill="1" applyBorder="1" applyAlignment="1" applyProtection="1">
      <alignment vertical="center"/>
    </xf>
    <xf numFmtId="3" fontId="4" fillId="6" borderId="5" xfId="28" applyNumberFormat="1" applyFont="1" applyFill="1" applyBorder="1" applyAlignment="1" applyProtection="1">
      <alignment vertical="center"/>
    </xf>
    <xf numFmtId="0" fontId="2" fillId="0" borderId="0" xfId="28"/>
    <xf numFmtId="0" fontId="4" fillId="2" borderId="0" xfId="28" applyFont="1" applyFill="1" applyAlignment="1" applyProtection="1">
      <alignment horizontal="right" vertical="center"/>
    </xf>
    <xf numFmtId="0" fontId="12" fillId="0" borderId="0" xfId="28" applyFont="1" applyAlignment="1" applyProtection="1">
      <alignment vertical="center"/>
    </xf>
    <xf numFmtId="178" fontId="8" fillId="2" borderId="8" xfId="28" applyNumberFormat="1" applyFont="1" applyFill="1" applyBorder="1" applyAlignment="1" applyProtection="1">
      <alignment horizontal="center" vertical="center"/>
    </xf>
    <xf numFmtId="0" fontId="53" fillId="0" borderId="0" xfId="28" applyFont="1" applyProtection="1">
      <protection locked="0"/>
    </xf>
    <xf numFmtId="0" fontId="42" fillId="0" borderId="0" xfId="28" applyFont="1" applyAlignment="1" applyProtection="1">
      <alignment vertical="center"/>
    </xf>
    <xf numFmtId="0" fontId="48" fillId="2" borderId="0" xfId="28" applyFont="1" applyFill="1" applyAlignment="1" applyProtection="1">
      <alignment horizontal="center" vertical="center"/>
    </xf>
    <xf numFmtId="178" fontId="8" fillId="2" borderId="16" xfId="28" applyNumberFormat="1" applyFont="1" applyFill="1" applyBorder="1" applyAlignment="1" applyProtection="1">
      <alignment vertical="center"/>
    </xf>
    <xf numFmtId="0" fontId="13" fillId="2" borderId="0" xfId="28" applyFont="1" applyFill="1" applyAlignment="1" applyProtection="1">
      <alignment horizontal="center" vertical="center"/>
    </xf>
    <xf numFmtId="3" fontId="4" fillId="6" borderId="7" xfId="28" applyNumberFormat="1" applyFont="1" applyFill="1" applyBorder="1" applyAlignment="1" applyProtection="1">
      <alignment vertical="center"/>
    </xf>
    <xf numFmtId="181" fontId="4" fillId="2" borderId="0" xfId="56" applyNumberFormat="1" applyFont="1" applyFill="1" applyAlignment="1">
      <alignment horizontal="center" vertical="center"/>
    </xf>
    <xf numFmtId="178" fontId="8" fillId="5" borderId="8" xfId="28" applyNumberFormat="1" applyFont="1" applyFill="1" applyBorder="1" applyAlignment="1" applyProtection="1">
      <alignment horizontal="center" vertical="center"/>
    </xf>
    <xf numFmtId="0" fontId="8" fillId="5" borderId="1" xfId="28" applyFont="1" applyFill="1" applyBorder="1" applyAlignment="1" applyProtection="1">
      <alignment vertical="center"/>
    </xf>
    <xf numFmtId="0" fontId="8" fillId="5" borderId="3" xfId="28" applyFont="1" applyFill="1" applyBorder="1" applyAlignment="1" applyProtection="1">
      <alignment vertical="center"/>
    </xf>
    <xf numFmtId="37" fontId="4" fillId="5" borderId="3" xfId="28" applyNumberFormat="1" applyFont="1" applyFill="1" applyBorder="1" applyAlignment="1" applyProtection="1">
      <alignment horizontal="right" vertical="center"/>
    </xf>
    <xf numFmtId="0" fontId="4" fillId="2" borderId="0" xfId="15" applyNumberFormat="1" applyFont="1" applyFill="1" applyBorder="1" applyAlignment="1" applyProtection="1">
      <alignment horizontal="right" vertical="center"/>
    </xf>
    <xf numFmtId="3" fontId="4" fillId="5" borderId="11" xfId="28" applyNumberFormat="1" applyFont="1" applyFill="1" applyBorder="1" applyAlignment="1" applyProtection="1">
      <alignment vertical="center"/>
    </xf>
    <xf numFmtId="174" fontId="4" fillId="2" borderId="0" xfId="28" applyNumberFormat="1" applyFont="1" applyFill="1" applyBorder="1" applyAlignment="1" applyProtection="1">
      <alignment vertical="center"/>
    </xf>
    <xf numFmtId="174" fontId="8" fillId="2" borderId="16" xfId="28" applyNumberFormat="1" applyFont="1" applyFill="1" applyBorder="1" applyAlignment="1" applyProtection="1">
      <alignment horizontal="center" vertical="center"/>
    </xf>
    <xf numFmtId="0" fontId="37" fillId="2" borderId="0" xfId="28" applyFont="1" applyFill="1" applyBorder="1" applyAlignment="1" applyProtection="1">
      <alignment horizontal="center" vertical="center"/>
    </xf>
    <xf numFmtId="0" fontId="2" fillId="2" borderId="10" xfId="28" applyFill="1" applyBorder="1" applyAlignment="1" applyProtection="1">
      <alignment vertical="center"/>
    </xf>
    <xf numFmtId="174" fontId="8" fillId="5" borderId="8" xfId="28" applyNumberFormat="1" applyFont="1" applyFill="1" applyBorder="1" applyAlignment="1" applyProtection="1">
      <alignment horizontal="center" vertical="center"/>
    </xf>
    <xf numFmtId="174" fontId="8" fillId="2" borderId="5" xfId="28" applyNumberFormat="1" applyFont="1" applyFill="1" applyBorder="1" applyAlignment="1" applyProtection="1">
      <alignment horizontal="center" vertical="center"/>
    </xf>
    <xf numFmtId="37" fontId="3" fillId="2" borderId="0" xfId="28" applyNumberFormat="1" applyFont="1" applyFill="1" applyBorder="1" applyAlignment="1" applyProtection="1">
      <alignment vertical="center"/>
    </xf>
    <xf numFmtId="174" fontId="8" fillId="5" borderId="5" xfId="28" applyNumberFormat="1" applyFont="1" applyFill="1" applyBorder="1" applyAlignment="1" applyProtection="1">
      <alignment horizontal="center" vertical="center"/>
    </xf>
    <xf numFmtId="0" fontId="8" fillId="2" borderId="1" xfId="28" applyFont="1" applyFill="1" applyBorder="1" applyAlignment="1" applyProtection="1">
      <alignment horizontal="left" vertical="center"/>
    </xf>
    <xf numFmtId="0" fontId="37" fillId="2" borderId="1" xfId="28" applyFont="1" applyFill="1" applyBorder="1" applyAlignment="1" applyProtection="1">
      <alignment horizontal="center" vertical="center"/>
    </xf>
    <xf numFmtId="0" fontId="2" fillId="2" borderId="3" xfId="28" applyFill="1" applyBorder="1" applyAlignment="1" applyProtection="1">
      <alignment vertical="center"/>
    </xf>
    <xf numFmtId="37" fontId="4" fillId="2" borderId="8" xfId="28" applyNumberFormat="1" applyFont="1" applyFill="1" applyBorder="1" applyAlignment="1" applyProtection="1">
      <alignment horizontal="left" vertical="center"/>
    </xf>
    <xf numFmtId="3" fontId="4" fillId="4" borderId="7" xfId="28" applyNumberFormat="1" applyFont="1" applyFill="1" applyBorder="1" applyAlignment="1" applyProtection="1">
      <alignment horizontal="right" vertical="center"/>
      <protection locked="0"/>
    </xf>
    <xf numFmtId="0" fontId="4" fillId="2" borderId="16" xfId="28" applyFont="1" applyFill="1" applyBorder="1" applyAlignment="1" applyProtection="1">
      <alignment vertical="center"/>
    </xf>
    <xf numFmtId="0" fontId="4" fillId="2" borderId="10" xfId="28" applyFont="1" applyFill="1" applyBorder="1" applyProtection="1">
      <protection locked="0"/>
    </xf>
    <xf numFmtId="0" fontId="36" fillId="0" borderId="0" xfId="28" applyFont="1" applyAlignment="1" applyProtection="1">
      <alignment horizontal="right" vertical="center"/>
    </xf>
    <xf numFmtId="178" fontId="19" fillId="2" borderId="16" xfId="28" applyNumberFormat="1" applyFont="1" applyFill="1" applyBorder="1" applyAlignment="1" applyProtection="1">
      <alignment horizontal="center" vertical="center"/>
    </xf>
    <xf numFmtId="0" fontId="4" fillId="2" borderId="10" xfId="28" applyFont="1" applyFill="1" applyBorder="1" applyAlignment="1" applyProtection="1">
      <alignment vertical="center"/>
    </xf>
    <xf numFmtId="178" fontId="19" fillId="2" borderId="16" xfId="28" applyNumberFormat="1" applyFont="1" applyFill="1" applyBorder="1" applyAlignment="1" applyProtection="1">
      <alignment vertical="center"/>
    </xf>
    <xf numFmtId="0" fontId="19" fillId="2" borderId="0" xfId="28" applyFont="1" applyFill="1" applyBorder="1" applyAlignment="1" applyProtection="1">
      <alignment vertical="center"/>
    </xf>
    <xf numFmtId="0" fontId="4" fillId="5" borderId="3" xfId="28" applyFont="1" applyFill="1" applyBorder="1" applyAlignment="1" applyProtection="1">
      <alignment vertical="center"/>
    </xf>
    <xf numFmtId="0" fontId="4" fillId="5" borderId="3" xfId="28" applyFont="1" applyFill="1" applyBorder="1" applyProtection="1">
      <protection locked="0"/>
    </xf>
    <xf numFmtId="0" fontId="53" fillId="0" borderId="0" xfId="28" applyFont="1"/>
    <xf numFmtId="174" fontId="8" fillId="0" borderId="0" xfId="15" applyNumberFormat="1" applyFont="1" applyFill="1" applyBorder="1" applyAlignment="1" applyProtection="1">
      <alignment horizontal="center" vertical="center"/>
    </xf>
    <xf numFmtId="0" fontId="4" fillId="0" borderId="0" xfId="28" applyFont="1" applyAlignment="1" applyProtection="1">
      <alignment vertical="center"/>
      <protection locked="0"/>
    </xf>
    <xf numFmtId="0" fontId="48" fillId="0" borderId="0" xfId="28" applyFont="1" applyProtection="1">
      <protection locked="0"/>
    </xf>
    <xf numFmtId="0" fontId="48" fillId="0" borderId="0" xfId="56" applyFont="1" applyAlignment="1" applyProtection="1">
      <alignment vertical="center"/>
      <protection locked="0"/>
    </xf>
    <xf numFmtId="37" fontId="4" fillId="2" borderId="7" xfId="0" applyNumberFormat="1" applyFont="1" applyFill="1" applyBorder="1" applyAlignment="1" applyProtection="1">
      <alignment horizontal="center" vertical="center"/>
      <protection locked="0"/>
    </xf>
    <xf numFmtId="0" fontId="3" fillId="2" borderId="5" xfId="513" applyFont="1" applyFill="1" applyBorder="1" applyAlignment="1" applyProtection="1">
      <alignment vertical="center"/>
    </xf>
    <xf numFmtId="0" fontId="3" fillId="2" borderId="12" xfId="513" applyFont="1" applyFill="1" applyBorder="1" applyAlignment="1" applyProtection="1">
      <alignment vertical="center"/>
    </xf>
    <xf numFmtId="3" fontId="3" fillId="2" borderId="6" xfId="513" applyNumberFormat="1" applyFont="1" applyFill="1" applyBorder="1" applyAlignment="1" applyProtection="1">
      <alignment vertical="center"/>
    </xf>
    <xf numFmtId="0" fontId="3" fillId="2" borderId="6" xfId="513" applyFont="1" applyFill="1" applyBorder="1" applyAlignment="1" applyProtection="1">
      <alignment vertical="center"/>
    </xf>
    <xf numFmtId="0" fontId="3" fillId="2" borderId="7" xfId="513" applyFont="1" applyFill="1" applyBorder="1" applyAlignment="1" applyProtection="1">
      <alignment horizontal="center" vertical="center"/>
    </xf>
    <xf numFmtId="0" fontId="3" fillId="2" borderId="0" xfId="513" applyFont="1" applyFill="1" applyBorder="1" applyAlignment="1" applyProtection="1">
      <alignment horizontal="left" vertical="center"/>
    </xf>
    <xf numFmtId="181" fontId="4" fillId="2" borderId="0" xfId="0" applyNumberFormat="1" applyFont="1" applyFill="1" applyBorder="1" applyAlignment="1">
      <alignment horizontal="center" vertical="center"/>
    </xf>
    <xf numFmtId="0" fontId="8" fillId="5" borderId="0" xfId="0" applyFont="1" applyFill="1" applyBorder="1" applyAlignment="1" applyProtection="1">
      <alignment vertical="center"/>
    </xf>
    <xf numFmtId="0" fontId="37" fillId="2"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2" borderId="6" xfId="0" applyFont="1" applyFill="1" applyBorder="1" applyAlignment="1" applyProtection="1">
      <alignment horizontal="center" vertical="center"/>
    </xf>
    <xf numFmtId="0" fontId="38" fillId="5" borderId="16" xfId="0" applyFont="1" applyFill="1" applyBorder="1" applyAlignment="1" applyProtection="1">
      <alignment vertical="center"/>
    </xf>
    <xf numFmtId="178" fontId="38" fillId="5" borderId="6" xfId="0" applyNumberFormat="1" applyFont="1" applyFill="1" applyBorder="1" applyAlignment="1" applyProtection="1">
      <alignment horizontal="center" vertical="center"/>
    </xf>
    <xf numFmtId="37" fontId="8" fillId="2" borderId="8" xfId="0" applyNumberFormat="1" applyFont="1" applyFill="1" applyBorder="1" applyAlignment="1" applyProtection="1">
      <alignment horizontal="left" vertical="center"/>
    </xf>
    <xf numFmtId="0" fontId="41" fillId="2" borderId="1" xfId="0" applyFont="1" applyFill="1" applyBorder="1" applyAlignment="1">
      <alignment horizontal="left" vertical="center"/>
    </xf>
    <xf numFmtId="178" fontId="38" fillId="5" borderId="3" xfId="0" applyNumberFormat="1" applyFont="1" applyFill="1" applyBorder="1" applyAlignment="1" applyProtection="1">
      <alignment horizontal="center" vertical="center"/>
      <protection locked="0"/>
    </xf>
    <xf numFmtId="0" fontId="53" fillId="0" borderId="0" xfId="0" applyFont="1" applyProtection="1">
      <protection locked="0"/>
    </xf>
    <xf numFmtId="174" fontId="8" fillId="2" borderId="16" xfId="0" applyNumberFormat="1" applyFont="1" applyFill="1" applyBorder="1" applyAlignment="1" applyProtection="1">
      <alignment horizontal="center" vertical="center"/>
    </xf>
    <xf numFmtId="0" fontId="0" fillId="2" borderId="10" xfId="0" applyFill="1" applyBorder="1" applyAlignment="1" applyProtection="1">
      <alignment vertical="center"/>
    </xf>
    <xf numFmtId="174" fontId="8" fillId="5" borderId="8" xfId="0" applyNumberFormat="1" applyFont="1" applyFill="1" applyBorder="1" applyAlignment="1" applyProtection="1">
      <alignment horizontal="center" vertical="center"/>
    </xf>
    <xf numFmtId="174" fontId="8" fillId="2" borderId="5" xfId="0" applyNumberFormat="1" applyFont="1" applyFill="1" applyBorder="1" applyAlignment="1" applyProtection="1">
      <alignment horizontal="center" vertical="center"/>
    </xf>
    <xf numFmtId="174" fontId="8" fillId="5" borderId="5" xfId="0" applyNumberFormat="1" applyFont="1" applyFill="1" applyBorder="1" applyAlignment="1" applyProtection="1">
      <alignment horizontal="center" vertical="center"/>
    </xf>
    <xf numFmtId="0" fontId="8" fillId="2" borderId="1" xfId="0" applyFont="1" applyFill="1" applyBorder="1" applyAlignment="1" applyProtection="1">
      <alignment horizontal="left" vertical="center"/>
    </xf>
    <xf numFmtId="0" fontId="37" fillId="2" borderId="1" xfId="0" applyFont="1" applyFill="1" applyBorder="1" applyAlignment="1" applyProtection="1">
      <alignment horizontal="center" vertical="center"/>
    </xf>
    <xf numFmtId="0" fontId="0" fillId="2" borderId="3" xfId="0" applyFill="1" applyBorder="1" applyAlignment="1" applyProtection="1">
      <alignment vertical="center"/>
    </xf>
    <xf numFmtId="49" fontId="4" fillId="0" borderId="0" xfId="478" applyNumberFormat="1" applyFont="1" applyFill="1" applyAlignment="1" applyProtection="1">
      <alignment horizontal="left" vertical="center"/>
      <protection locked="0"/>
    </xf>
    <xf numFmtId="0" fontId="54" fillId="0" borderId="0" xfId="0" applyFont="1"/>
    <xf numFmtId="0" fontId="55" fillId="0" borderId="0" xfId="478" applyFont="1"/>
    <xf numFmtId="175" fontId="56" fillId="0" borderId="0" xfId="478" applyNumberFormat="1" applyFont="1" applyAlignment="1">
      <alignment horizontal="left" vertical="center"/>
    </xf>
    <xf numFmtId="0" fontId="56" fillId="0" borderId="0" xfId="478" applyNumberFormat="1" applyFont="1" applyAlignment="1">
      <alignment horizontal="left" vertical="center"/>
    </xf>
    <xf numFmtId="1" fontId="56" fillId="0" borderId="0" xfId="478" applyNumberFormat="1" applyFont="1" applyAlignment="1">
      <alignment horizontal="left" vertical="center"/>
    </xf>
    <xf numFmtId="0" fontId="57" fillId="0" borderId="0" xfId="478" applyFont="1" applyAlignment="1">
      <alignment horizontal="left" vertical="center"/>
    </xf>
    <xf numFmtId="37" fontId="4" fillId="7" borderId="11" xfId="0" applyNumberFormat="1" applyFont="1" applyFill="1" applyBorder="1" applyAlignment="1" applyProtection="1">
      <alignment horizontal="center" vertical="center"/>
    </xf>
    <xf numFmtId="37" fontId="4" fillId="2" borderId="7" xfId="0" applyNumberFormat="1" applyFont="1" applyFill="1" applyBorder="1" applyAlignment="1" applyProtection="1">
      <alignment horizontal="right" vertical="center"/>
    </xf>
    <xf numFmtId="165" fontId="4" fillId="2" borderId="7" xfId="0" applyNumberFormat="1" applyFont="1" applyFill="1" applyBorder="1" applyAlignment="1" applyProtection="1">
      <alignment horizontal="right" vertical="center"/>
    </xf>
    <xf numFmtId="37" fontId="4" fillId="2" borderId="11" xfId="0" applyNumberFormat="1" applyFont="1" applyFill="1" applyBorder="1" applyAlignment="1" applyProtection="1">
      <alignment horizontal="right" vertical="center"/>
    </xf>
    <xf numFmtId="170" fontId="4" fillId="2" borderId="11" xfId="0" applyNumberFormat="1" applyFont="1" applyFill="1" applyBorder="1" applyAlignment="1" applyProtection="1">
      <alignment horizontal="right" vertical="center"/>
    </xf>
    <xf numFmtId="0" fontId="4" fillId="2" borderId="0" xfId="0" applyFont="1" applyFill="1" applyBorder="1" applyAlignment="1" applyProtection="1"/>
    <xf numFmtId="0" fontId="4" fillId="2" borderId="0" xfId="0" applyFont="1" applyFill="1" applyAlignment="1" applyProtection="1"/>
    <xf numFmtId="37" fontId="4" fillId="2" borderId="0" xfId="0" applyNumberFormat="1" applyFont="1" applyFill="1" applyBorder="1" applyAlignment="1" applyProtection="1">
      <alignment horizontal="fill"/>
    </xf>
    <xf numFmtId="37" fontId="4" fillId="2" borderId="0" xfId="0" applyNumberFormat="1" applyFont="1" applyFill="1" applyBorder="1" applyAlignment="1" applyProtection="1">
      <alignment horizontal="left"/>
    </xf>
    <xf numFmtId="181" fontId="4" fillId="3" borderId="7" xfId="0" applyNumberFormat="1" applyFont="1" applyFill="1" applyBorder="1" applyAlignment="1" applyProtection="1">
      <alignment vertical="center"/>
      <protection locked="0"/>
    </xf>
    <xf numFmtId="0" fontId="4" fillId="0" borderId="0" xfId="28" applyFont="1" applyAlignment="1">
      <alignment vertical="center" wrapText="1"/>
    </xf>
    <xf numFmtId="37" fontId="4" fillId="0" borderId="0" xfId="28" applyNumberFormat="1" applyFont="1" applyFill="1" applyAlignment="1" applyProtection="1">
      <alignment horizontal="left" vertical="center" wrapText="1"/>
    </xf>
    <xf numFmtId="0" fontId="4" fillId="0" borderId="0" xfId="501" applyFont="1" applyAlignment="1">
      <alignment vertical="center" wrapText="1"/>
    </xf>
    <xf numFmtId="0" fontId="4" fillId="0" borderId="0" xfId="29" applyFont="1" applyAlignment="1">
      <alignment vertical="center" wrapText="1"/>
    </xf>
    <xf numFmtId="0" fontId="4" fillId="0" borderId="0" xfId="80" applyFont="1" applyAlignment="1">
      <alignment vertical="center" wrapText="1"/>
    </xf>
    <xf numFmtId="37" fontId="4" fillId="2" borderId="0" xfId="28" applyNumberFormat="1" applyFont="1" applyFill="1" applyBorder="1" applyAlignment="1" applyProtection="1">
      <alignment horizontal="right" vertical="center"/>
    </xf>
    <xf numFmtId="0" fontId="53" fillId="0" borderId="16" xfId="28" applyFont="1" applyBorder="1" applyProtection="1">
      <protection locked="0"/>
    </xf>
    <xf numFmtId="0" fontId="67" fillId="2" borderId="0" xfId="398" applyFill="1"/>
    <xf numFmtId="0" fontId="4" fillId="0" borderId="0" xfId="172" applyFont="1" applyAlignment="1">
      <alignment vertical="center"/>
    </xf>
    <xf numFmtId="0" fontId="4" fillId="0" borderId="0" xfId="92" applyFont="1" applyAlignment="1">
      <alignment vertical="center"/>
    </xf>
    <xf numFmtId="0" fontId="4" fillId="0" borderId="0" xfId="399" applyFont="1" applyAlignment="1">
      <alignment wrapText="1"/>
    </xf>
    <xf numFmtId="0" fontId="4" fillId="0" borderId="0" xfId="399" applyFont="1" applyAlignment="1">
      <alignment vertical="center"/>
    </xf>
    <xf numFmtId="37" fontId="4" fillId="4" borderId="7"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vertical="center"/>
      <protection locked="0"/>
    </xf>
    <xf numFmtId="172" fontId="4" fillId="4" borderId="7" xfId="0" applyNumberFormat="1" applyFont="1" applyFill="1" applyBorder="1" applyAlignment="1" applyProtection="1">
      <alignment vertical="center"/>
      <protection locked="0"/>
    </xf>
    <xf numFmtId="172" fontId="4" fillId="4" borderId="2" xfId="0" applyNumberFormat="1" applyFont="1" applyFill="1" applyBorder="1" applyAlignment="1" applyProtection="1">
      <alignment vertical="center"/>
      <protection locked="0"/>
    </xf>
    <xf numFmtId="49" fontId="4" fillId="4" borderId="7" xfId="478" applyNumberFormat="1" applyFont="1" applyFill="1" applyBorder="1" applyAlignment="1" applyProtection="1">
      <alignment horizontal="left" vertical="center"/>
      <protection locked="0"/>
    </xf>
    <xf numFmtId="0" fontId="4" fillId="4" borderId="5" xfId="478" applyFont="1" applyFill="1" applyBorder="1" applyAlignment="1" applyProtection="1">
      <alignment horizontal="left" vertical="center"/>
      <protection locked="0"/>
    </xf>
    <xf numFmtId="0" fontId="4" fillId="4" borderId="12" xfId="478" applyFont="1" applyFill="1" applyBorder="1" applyAlignment="1" applyProtection="1">
      <alignment horizontal="left" vertical="center"/>
      <protection locked="0"/>
    </xf>
    <xf numFmtId="0" fontId="1" fillId="4" borderId="6" xfId="478" applyFill="1" applyBorder="1" applyAlignment="1" applyProtection="1">
      <alignment horizontal="left" vertical="center"/>
      <protection locked="0"/>
    </xf>
    <xf numFmtId="3" fontId="4" fillId="2" borderId="0" xfId="28" applyNumberFormat="1" applyFont="1" applyFill="1" applyAlignment="1" applyProtection="1">
      <alignment horizontal="right" vertical="center"/>
    </xf>
    <xf numFmtId="3" fontId="4" fillId="2" borderId="7" xfId="28" applyNumberFormat="1" applyFont="1" applyFill="1" applyBorder="1" applyAlignment="1" applyProtection="1">
      <alignment horizontal="right" vertical="center"/>
    </xf>
    <xf numFmtId="0" fontId="4" fillId="2" borderId="0" xfId="28" applyFont="1" applyFill="1" applyAlignment="1" applyProtection="1">
      <alignment horizontal="left" vertical="center"/>
    </xf>
    <xf numFmtId="3" fontId="4" fillId="2" borderId="2" xfId="0" applyNumberFormat="1" applyFont="1" applyFill="1" applyBorder="1" applyAlignment="1" applyProtection="1">
      <alignment horizontal="right" vertical="center"/>
    </xf>
    <xf numFmtId="3" fontId="13" fillId="2" borderId="15" xfId="0" applyNumberFormat="1"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4" fillId="0" borderId="0" xfId="28" applyFont="1" applyAlignment="1">
      <alignment horizontal="left" vertical="center"/>
    </xf>
    <xf numFmtId="164" fontId="4" fillId="2" borderId="12" xfId="0" applyNumberFormat="1" applyFont="1" applyFill="1" applyBorder="1" applyAlignment="1" applyProtection="1">
      <alignment horizontal="center" vertical="center"/>
    </xf>
    <xf numFmtId="164" fontId="4" fillId="2" borderId="9" xfId="0" applyNumberFormat="1" applyFont="1" applyFill="1" applyBorder="1" applyAlignment="1" applyProtection="1">
      <alignment horizontal="center" vertical="center"/>
    </xf>
    <xf numFmtId="37" fontId="4" fillId="2" borderId="14" xfId="0" applyNumberFormat="1" applyFont="1" applyFill="1" applyBorder="1" applyAlignment="1" applyProtection="1">
      <alignment horizontal="left" vertical="center"/>
    </xf>
    <xf numFmtId="0" fontId="6" fillId="2" borderId="0" xfId="31" applyFont="1" applyFill="1" applyAlignment="1" applyProtection="1">
      <alignment horizontal="center" vertical="center"/>
    </xf>
    <xf numFmtId="3" fontId="4" fillId="2" borderId="0" xfId="31" applyNumberFormat="1" applyFont="1" applyFill="1" applyAlignment="1" applyProtection="1">
      <alignment vertical="center"/>
    </xf>
    <xf numFmtId="3" fontId="4" fillId="2" borderId="1" xfId="31" applyNumberFormat="1" applyFont="1" applyFill="1" applyBorder="1" applyAlignment="1" applyProtection="1">
      <alignment vertical="center"/>
    </xf>
    <xf numFmtId="3" fontId="4" fillId="2" borderId="0" xfId="31" applyNumberFormat="1" applyFont="1" applyFill="1" applyBorder="1" applyAlignment="1" applyProtection="1">
      <alignment vertical="center"/>
    </xf>
    <xf numFmtId="0" fontId="4" fillId="2" borderId="0" xfId="31" applyFont="1" applyFill="1" applyAlignment="1" applyProtection="1">
      <alignment horizontal="left" vertical="center"/>
    </xf>
    <xf numFmtId="0" fontId="4" fillId="13" borderId="0" xfId="31" applyFont="1" applyFill="1" applyAlignment="1" applyProtection="1">
      <alignment vertical="center"/>
    </xf>
    <xf numFmtId="0" fontId="4" fillId="2" borderId="0" xfId="31" quotePrefix="1" applyFont="1" applyFill="1" applyAlignment="1" applyProtection="1">
      <alignment vertical="center"/>
    </xf>
    <xf numFmtId="3" fontId="4" fillId="2" borderId="19" xfId="31" applyNumberFormat="1" applyFont="1" applyFill="1" applyBorder="1" applyAlignment="1" applyProtection="1">
      <alignment vertical="center"/>
    </xf>
    <xf numFmtId="0" fontId="4" fillId="2" borderId="0" xfId="31" quotePrefix="1" applyFont="1" applyFill="1" applyAlignment="1" applyProtection="1">
      <alignment horizontal="left" vertical="center"/>
    </xf>
    <xf numFmtId="10" fontId="4" fillId="2" borderId="0" xfId="31" applyNumberFormat="1" applyFont="1" applyFill="1" applyBorder="1" applyAlignment="1" applyProtection="1">
      <alignment vertical="center"/>
    </xf>
    <xf numFmtId="0" fontId="6" fillId="2" borderId="0" xfId="31" applyFont="1" applyFill="1" applyAlignment="1" applyProtection="1">
      <alignment horizontal="left" vertical="center"/>
    </xf>
    <xf numFmtId="0" fontId="2" fillId="0" borderId="0" xfId="31"/>
    <xf numFmtId="0" fontId="67" fillId="14" borderId="0" xfId="381" applyFill="1" applyBorder="1"/>
    <xf numFmtId="0" fontId="67" fillId="14" borderId="0" xfId="381" applyFill="1" applyBorder="1" applyAlignment="1">
      <alignment horizontal="left" vertical="center"/>
    </xf>
    <xf numFmtId="0" fontId="67" fillId="14" borderId="0" xfId="381" applyFill="1" applyBorder="1" applyAlignment="1">
      <alignment horizontal="center" vertical="center"/>
    </xf>
    <xf numFmtId="0" fontId="60" fillId="0" borderId="0" xfId="31" applyFont="1"/>
    <xf numFmtId="0" fontId="4" fillId="0" borderId="0" xfId="31" applyFont="1" applyAlignment="1">
      <alignment vertical="center"/>
    </xf>
    <xf numFmtId="0" fontId="4" fillId="0" borderId="0" xfId="0" applyFont="1" applyFill="1" applyAlignment="1">
      <alignment vertical="center"/>
    </xf>
    <xf numFmtId="3" fontId="4" fillId="10" borderId="6" xfId="0" applyNumberFormat="1" applyFont="1" applyFill="1" applyBorder="1" applyAlignment="1" applyProtection="1">
      <alignment vertical="center"/>
    </xf>
    <xf numFmtId="37" fontId="3" fillId="10" borderId="5" xfId="0" applyNumberFormat="1" applyFont="1" applyFill="1" applyBorder="1" applyAlignment="1" applyProtection="1">
      <alignment horizontal="left" vertical="center"/>
    </xf>
    <xf numFmtId="0" fontId="4" fillId="9" borderId="6" xfId="0" applyFont="1" applyFill="1" applyBorder="1" applyAlignment="1" applyProtection="1">
      <alignment vertical="center"/>
    </xf>
    <xf numFmtId="0" fontId="4" fillId="9" borderId="12" xfId="0" applyFont="1" applyFill="1" applyBorder="1" applyAlignment="1" applyProtection="1">
      <alignment vertical="center"/>
    </xf>
    <xf numFmtId="0" fontId="3" fillId="9" borderId="5" xfId="0" applyFont="1" applyFill="1" applyBorder="1" applyAlignment="1" applyProtection="1">
      <alignment horizontal="left" vertical="center"/>
    </xf>
    <xf numFmtId="0" fontId="4" fillId="10" borderId="5" xfId="0" applyFont="1" applyFill="1" applyBorder="1" applyAlignment="1" applyProtection="1">
      <alignment vertical="center"/>
    </xf>
    <xf numFmtId="0" fontId="4" fillId="10" borderId="3" xfId="0" applyFont="1" applyFill="1" applyBorder="1" applyAlignment="1" applyProtection="1">
      <alignment vertical="center"/>
    </xf>
    <xf numFmtId="0" fontId="4" fillId="10" borderId="8" xfId="0" applyFont="1" applyFill="1" applyBorder="1" applyAlignment="1" applyProtection="1">
      <alignment vertical="center"/>
    </xf>
    <xf numFmtId="0" fontId="4" fillId="10" borderId="14" xfId="0" applyFont="1" applyFill="1" applyBorder="1" applyAlignment="1" applyProtection="1">
      <alignment vertical="center"/>
    </xf>
    <xf numFmtId="0" fontId="4" fillId="10" borderId="6" xfId="0" applyFont="1" applyFill="1" applyBorder="1" applyAlignment="1" applyProtection="1">
      <alignment vertical="center"/>
    </xf>
    <xf numFmtId="37" fontId="4" fillId="10" borderId="5" xfId="0" applyNumberFormat="1" applyFont="1" applyFill="1" applyBorder="1" applyAlignment="1" applyProtection="1">
      <alignment horizontal="left" vertical="center"/>
    </xf>
    <xf numFmtId="0" fontId="4" fillId="9" borderId="3" xfId="0" applyFont="1" applyFill="1" applyBorder="1" applyAlignment="1" applyProtection="1">
      <alignment vertical="center"/>
    </xf>
    <xf numFmtId="37" fontId="4" fillId="2" borderId="4" xfId="0" applyNumberFormat="1" applyFont="1" applyFill="1" applyBorder="1" applyAlignment="1" applyProtection="1">
      <alignment vertical="center"/>
    </xf>
    <xf numFmtId="0" fontId="4" fillId="12" borderId="3" xfId="0" applyFont="1" applyFill="1" applyBorder="1" applyAlignment="1" applyProtection="1">
      <alignment vertical="center"/>
    </xf>
    <xf numFmtId="37" fontId="3" fillId="12" borderId="8" xfId="0" applyNumberFormat="1" applyFont="1" applyFill="1" applyBorder="1" applyAlignment="1" applyProtection="1">
      <alignment horizontal="left" vertical="center"/>
    </xf>
    <xf numFmtId="0" fontId="4" fillId="12" borderId="10" xfId="0" applyFont="1" applyFill="1" applyBorder="1" applyAlignment="1" applyProtection="1">
      <alignment vertical="center"/>
    </xf>
    <xf numFmtId="37" fontId="3" fillId="12" borderId="16" xfId="0" applyNumberFormat="1" applyFont="1" applyFill="1" applyBorder="1" applyAlignment="1" applyProtection="1">
      <alignment horizontal="left" vertical="center"/>
    </xf>
    <xf numFmtId="0" fontId="4" fillId="10" borderId="9" xfId="0" applyFont="1" applyFill="1" applyBorder="1" applyAlignment="1" applyProtection="1">
      <alignment vertical="center"/>
    </xf>
    <xf numFmtId="0" fontId="3" fillId="10" borderId="14" xfId="0" applyFont="1" applyFill="1" applyBorder="1" applyAlignment="1" applyProtection="1">
      <alignment vertical="center"/>
    </xf>
    <xf numFmtId="0" fontId="4" fillId="0" borderId="0" xfId="28" applyFont="1" applyFill="1" applyAlignment="1" applyProtection="1">
      <alignment vertical="center"/>
    </xf>
    <xf numFmtId="0" fontId="9" fillId="2" borderId="0" xfId="14" applyFill="1" applyAlignment="1" applyProtection="1"/>
    <xf numFmtId="0" fontId="4" fillId="4" borderId="0" xfId="0" applyFont="1" applyFill="1" applyAlignment="1" applyProtection="1">
      <alignment horizontal="center" vertical="center"/>
    </xf>
    <xf numFmtId="37" fontId="4" fillId="4" borderId="0" xfId="28" applyNumberFormat="1"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179" fontId="4" fillId="5" borderId="3" xfId="0" applyNumberFormat="1" applyFont="1" applyFill="1" applyBorder="1" applyAlignment="1" applyProtection="1">
      <alignment horizontal="center"/>
    </xf>
    <xf numFmtId="0" fontId="4" fillId="3" borderId="0" xfId="0" applyFont="1" applyFill="1" applyAlignment="1" applyProtection="1">
      <alignment horizontal="center" vertical="center"/>
      <protection locked="0"/>
    </xf>
    <xf numFmtId="179" fontId="32" fillId="2" borderId="0" xfId="0" applyNumberFormat="1" applyFont="1" applyFill="1" applyAlignment="1">
      <alignment horizontal="center"/>
    </xf>
    <xf numFmtId="179" fontId="32" fillId="2" borderId="1" xfId="0" applyNumberFormat="1" applyFont="1" applyFill="1" applyBorder="1" applyAlignment="1">
      <alignment horizontal="center"/>
    </xf>
    <xf numFmtId="179" fontId="32" fillId="2" borderId="0" xfId="0" applyNumberFormat="1" applyFont="1" applyFill="1"/>
    <xf numFmtId="37" fontId="4" fillId="13" borderId="0" xfId="0" applyNumberFormat="1" applyFont="1" applyFill="1" applyAlignment="1" applyProtection="1">
      <alignment horizontal="left" vertical="center"/>
    </xf>
    <xf numFmtId="166" fontId="4" fillId="13" borderId="0" xfId="0" applyNumberFormat="1" applyFont="1" applyFill="1" applyBorder="1" applyAlignment="1" applyProtection="1">
      <alignment vertical="center"/>
    </xf>
    <xf numFmtId="0" fontId="4" fillId="13" borderId="0" xfId="0" applyFont="1" applyFill="1" applyAlignment="1">
      <alignment vertical="center"/>
    </xf>
    <xf numFmtId="37" fontId="4" fillId="2" borderId="12" xfId="401" applyNumberFormat="1" applyFont="1" applyFill="1" applyBorder="1" applyAlignment="1" applyProtection="1">
      <alignment horizontal="left" vertical="center"/>
    </xf>
    <xf numFmtId="167" fontId="4" fillId="13" borderId="1" xfId="0" applyNumberFormat="1" applyFont="1" applyFill="1" applyBorder="1" applyAlignment="1" applyProtection="1">
      <alignment vertical="center"/>
    </xf>
    <xf numFmtId="166" fontId="4" fillId="13" borderId="1" xfId="0" applyNumberFormat="1" applyFont="1" applyFill="1" applyBorder="1" applyAlignment="1" applyProtection="1">
      <alignment vertical="center"/>
    </xf>
    <xf numFmtId="37" fontId="4" fillId="13" borderId="0" xfId="0" applyNumberFormat="1" applyFont="1" applyFill="1" applyBorder="1" applyAlignment="1" applyProtection="1">
      <alignment vertical="center"/>
    </xf>
    <xf numFmtId="0" fontId="4" fillId="13" borderId="0" xfId="0" applyFont="1" applyFill="1" applyAlignment="1" applyProtection="1">
      <alignment vertical="center"/>
    </xf>
    <xf numFmtId="0" fontId="4" fillId="13" borderId="0" xfId="31" applyFont="1" applyFill="1" applyAlignment="1" applyProtection="1">
      <alignment vertical="center"/>
    </xf>
    <xf numFmtId="37" fontId="4" fillId="2" borderId="0" xfId="31" applyNumberFormat="1" applyFont="1" applyFill="1" applyAlignment="1" applyProtection="1">
      <alignment horizontal="left" vertical="center"/>
    </xf>
    <xf numFmtId="0" fontId="4" fillId="13" borderId="0" xfId="28" applyFont="1" applyFill="1" applyAlignment="1" applyProtection="1">
      <alignment horizontal="right" vertical="center"/>
    </xf>
    <xf numFmtId="0" fontId="4" fillId="13" borderId="0" xfId="28" applyFont="1" applyFill="1" applyAlignment="1" applyProtection="1">
      <alignment horizontal="right" vertical="center"/>
    </xf>
    <xf numFmtId="0" fontId="4" fillId="13" borderId="0" xfId="28" applyFont="1" applyFill="1" applyAlignment="1" applyProtection="1">
      <alignment horizontal="right" vertical="center"/>
    </xf>
    <xf numFmtId="37" fontId="4" fillId="2" borderId="4" xfId="31" applyNumberFormat="1" applyFont="1" applyFill="1" applyBorder="1" applyAlignment="1" applyProtection="1">
      <alignment horizontal="center" vertical="center"/>
    </xf>
    <xf numFmtId="0" fontId="4" fillId="2" borderId="5" xfId="28" applyNumberFormat="1" applyFont="1" applyFill="1" applyBorder="1" applyAlignment="1" applyProtection="1">
      <alignment horizontal="left" vertical="center"/>
    </xf>
    <xf numFmtId="177" fontId="4" fillId="13" borderId="0" xfId="28" applyNumberFormat="1" applyFont="1" applyFill="1" applyBorder="1" applyAlignment="1" applyProtection="1">
      <alignment horizontal="right" vertical="center"/>
    </xf>
    <xf numFmtId="0" fontId="4" fillId="2" borderId="0" xfId="31" applyFont="1" applyFill="1" applyAlignment="1" applyProtection="1">
      <alignment horizontal="right" vertical="center"/>
      <protection locked="0"/>
    </xf>
    <xf numFmtId="0" fontId="4" fillId="0" borderId="0" xfId="401" applyFont="1" applyAlignment="1">
      <alignment vertical="center"/>
    </xf>
    <xf numFmtId="0" fontId="36" fillId="5" borderId="6" xfId="0" applyFont="1" applyFill="1" applyBorder="1" applyAlignment="1" applyProtection="1">
      <alignment horizontal="center" vertical="center"/>
    </xf>
    <xf numFmtId="0" fontId="38" fillId="13" borderId="14" xfId="174" applyFont="1" applyFill="1" applyBorder="1" applyAlignment="1">
      <alignment horizontal="left" vertical="center"/>
    </xf>
    <xf numFmtId="0" fontId="3" fillId="13" borderId="15" xfId="172" applyFont="1" applyFill="1" applyBorder="1" applyAlignment="1">
      <alignment horizontal="centerContinuous" vertical="center"/>
    </xf>
    <xf numFmtId="0" fontId="4" fillId="13" borderId="15" xfId="0" applyFont="1" applyFill="1" applyBorder="1" applyAlignment="1" applyProtection="1">
      <alignment vertical="center"/>
      <protection locked="0"/>
    </xf>
    <xf numFmtId="0" fontId="58" fillId="13" borderId="9" xfId="172" applyFont="1" applyFill="1" applyBorder="1" applyAlignment="1">
      <alignment horizontal="center" vertical="center"/>
    </xf>
    <xf numFmtId="0" fontId="8" fillId="13" borderId="16" xfId="0" applyFont="1" applyFill="1" applyBorder="1" applyAlignment="1" applyProtection="1">
      <alignment horizontal="left" vertical="center"/>
      <protection locked="0"/>
    </xf>
    <xf numFmtId="0" fontId="8" fillId="13" borderId="0" xfId="0" applyFont="1" applyFill="1" applyBorder="1" applyAlignment="1" applyProtection="1">
      <alignment vertical="center"/>
      <protection locked="0"/>
    </xf>
    <xf numFmtId="3" fontId="8" fillId="13" borderId="10" xfId="0" applyNumberFormat="1" applyFont="1" applyFill="1" applyBorder="1" applyAlignment="1" applyProtection="1">
      <alignment vertical="center"/>
      <protection locked="0"/>
    </xf>
    <xf numFmtId="0" fontId="8" fillId="13" borderId="8" xfId="0" applyFont="1" applyFill="1" applyBorder="1" applyAlignment="1" applyProtection="1">
      <alignment horizontal="left" vertical="center"/>
      <protection locked="0"/>
    </xf>
    <xf numFmtId="0" fontId="8" fillId="13" borderId="1" xfId="0" applyFont="1" applyFill="1" applyBorder="1" applyAlignment="1" applyProtection="1">
      <alignment vertical="center"/>
      <protection locked="0"/>
    </xf>
    <xf numFmtId="3" fontId="8" fillId="13" borderId="3" xfId="0" applyNumberFormat="1" applyFont="1" applyFill="1" applyBorder="1" applyAlignment="1" applyProtection="1">
      <alignment vertical="center"/>
      <protection locked="0"/>
    </xf>
    <xf numFmtId="0" fontId="4" fillId="13" borderId="15" xfId="28" applyFont="1" applyFill="1" applyBorder="1" applyProtection="1">
      <protection locked="0"/>
    </xf>
    <xf numFmtId="0" fontId="8" fillId="13" borderId="16" xfId="28" applyFont="1" applyFill="1" applyBorder="1" applyAlignment="1" applyProtection="1">
      <alignment horizontal="left"/>
      <protection locked="0"/>
    </xf>
    <xf numFmtId="0" fontId="8" fillId="13" borderId="0" xfId="28" applyFont="1" applyFill="1" applyBorder="1" applyProtection="1">
      <protection locked="0"/>
    </xf>
    <xf numFmtId="3" fontId="8" fillId="13" borderId="10" xfId="28" applyNumberFormat="1" applyFont="1" applyFill="1" applyBorder="1" applyProtection="1">
      <protection locked="0"/>
    </xf>
    <xf numFmtId="0" fontId="8" fillId="13" borderId="8" xfId="28" applyFont="1" applyFill="1" applyBorder="1" applyAlignment="1" applyProtection="1">
      <alignment horizontal="left"/>
      <protection locked="0"/>
    </xf>
    <xf numFmtId="0" fontId="8" fillId="13" borderId="1" xfId="28" applyFont="1" applyFill="1" applyBorder="1" applyProtection="1">
      <protection locked="0"/>
    </xf>
    <xf numFmtId="3" fontId="8" fillId="13" borderId="3" xfId="28" applyNumberFormat="1" applyFont="1" applyFill="1" applyBorder="1" applyProtection="1">
      <protection locked="0"/>
    </xf>
    <xf numFmtId="0" fontId="64" fillId="0" borderId="0" xfId="0" applyFont="1" applyAlignment="1">
      <alignment horizontal="center" vertical="center" wrapText="1"/>
    </xf>
    <xf numFmtId="0" fontId="63" fillId="0" borderId="0" xfId="0" applyFont="1" applyAlignment="1">
      <alignment horizontal="left" vertical="center" wrapText="1"/>
    </xf>
    <xf numFmtId="0" fontId="63" fillId="0" borderId="0" xfId="0" applyFont="1" applyAlignment="1">
      <alignment horizontal="right" vertical="center" wrapText="1"/>
    </xf>
    <xf numFmtId="0" fontId="65" fillId="0" borderId="0" xfId="0" applyFont="1" applyAlignment="1">
      <alignment horizontal="left"/>
    </xf>
    <xf numFmtId="37" fontId="65" fillId="0" borderId="0" xfId="0" applyNumberFormat="1" applyFont="1" applyAlignment="1">
      <alignment horizontal="left"/>
    </xf>
    <xf numFmtId="0" fontId="63" fillId="0" borderId="0" xfId="0" applyFont="1"/>
    <xf numFmtId="0" fontId="8" fillId="13" borderId="8" xfId="0" applyFont="1" applyFill="1" applyBorder="1" applyAlignment="1" applyProtection="1">
      <alignment vertical="center"/>
      <protection locked="0"/>
    </xf>
    <xf numFmtId="0" fontId="8" fillId="13" borderId="16" xfId="0" applyFont="1" applyFill="1" applyBorder="1" applyAlignment="1" applyProtection="1">
      <alignment vertical="center"/>
      <protection locked="0"/>
    </xf>
    <xf numFmtId="0" fontId="38" fillId="13" borderId="14" xfId="174" applyFont="1" applyFill="1" applyBorder="1" applyAlignment="1">
      <alignment horizontal="left" vertical="center"/>
    </xf>
    <xf numFmtId="0" fontId="4" fillId="13" borderId="5" xfId="28" applyFont="1" applyFill="1" applyBorder="1" applyAlignment="1" applyProtection="1">
      <alignment vertical="center"/>
    </xf>
    <xf numFmtId="0" fontId="63" fillId="0" borderId="0" xfId="28" applyFont="1" applyAlignment="1">
      <alignment horizontal="center" vertical="center" wrapText="1"/>
    </xf>
    <xf numFmtId="0" fontId="63" fillId="0" borderId="0" xfId="28" applyFont="1" applyAlignment="1">
      <alignment horizontal="right" vertical="center" wrapText="1"/>
    </xf>
    <xf numFmtId="0" fontId="4" fillId="0" borderId="0" xfId="402" applyFont="1"/>
    <xf numFmtId="0" fontId="5" fillId="0" borderId="0" xfId="402" applyFont="1"/>
    <xf numFmtId="0" fontId="4" fillId="0" borderId="16" xfId="28" applyFont="1" applyBorder="1" applyProtection="1">
      <protection locked="0"/>
    </xf>
    <xf numFmtId="0" fontId="4" fillId="2" borderId="0" xfId="28" applyFont="1" applyFill="1" applyBorder="1" applyProtection="1">
      <protection locked="0"/>
    </xf>
    <xf numFmtId="0" fontId="53" fillId="0" borderId="16" xfId="0" applyFont="1" applyBorder="1" applyProtection="1">
      <protection locked="0"/>
    </xf>
    <xf numFmtId="0" fontId="4" fillId="0" borderId="16" xfId="0" applyFont="1" applyBorder="1" applyAlignment="1" applyProtection="1">
      <alignment vertical="center"/>
      <protection locked="0"/>
    </xf>
    <xf numFmtId="10" fontId="3" fillId="4" borderId="7" xfId="0" applyNumberFormat="1" applyFont="1" applyFill="1" applyBorder="1" applyAlignment="1" applyProtection="1">
      <alignment horizontal="center" vertical="center"/>
      <protection locked="0"/>
    </xf>
    <xf numFmtId="0" fontId="4" fillId="2" borderId="1" xfId="31" applyNumberFormat="1" applyFont="1" applyFill="1" applyBorder="1" applyAlignment="1" applyProtection="1">
      <alignment vertical="center"/>
    </xf>
    <xf numFmtId="0" fontId="4" fillId="2" borderId="15"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4" fillId="2" borderId="0" xfId="0" applyFont="1" applyFill="1" applyBorder="1" applyAlignment="1">
      <alignment vertical="center" wrapText="1"/>
    </xf>
    <xf numFmtId="0" fontId="4" fillId="2" borderId="1" xfId="0" applyFont="1" applyFill="1" applyBorder="1" applyAlignment="1" applyProtection="1">
      <alignment vertical="center" wrapText="1"/>
    </xf>
    <xf numFmtId="0" fontId="4" fillId="2" borderId="14" xfId="0" applyFont="1" applyFill="1" applyBorder="1" applyAlignment="1" applyProtection="1">
      <alignment vertical="center"/>
    </xf>
    <xf numFmtId="0" fontId="4" fillId="2" borderId="8" xfId="0" applyFont="1" applyFill="1" applyBorder="1" applyAlignment="1" applyProtection="1">
      <alignment vertical="center"/>
    </xf>
    <xf numFmtId="0" fontId="4" fillId="2" borderId="15" xfId="15" applyNumberFormat="1" applyFont="1" applyFill="1" applyBorder="1" applyAlignment="1" applyProtection="1">
      <alignment horizontal="right" vertical="center"/>
    </xf>
    <xf numFmtId="37" fontId="4" fillId="2" borderId="15" xfId="28" applyNumberFormat="1" applyFont="1" applyFill="1" applyBorder="1" applyAlignment="1" applyProtection="1">
      <alignment horizontal="right" vertical="center"/>
    </xf>
    <xf numFmtId="174" fontId="4" fillId="2" borderId="9" xfId="28" applyNumberFormat="1" applyFont="1" applyFill="1" applyBorder="1" applyAlignment="1" applyProtection="1">
      <alignment vertical="center"/>
    </xf>
    <xf numFmtId="37" fontId="4" fillId="2" borderId="16" xfId="28" applyNumberFormat="1" applyFont="1" applyFill="1" applyBorder="1" applyAlignment="1" applyProtection="1">
      <alignment horizontal="right" vertical="center"/>
    </xf>
    <xf numFmtId="174" fontId="4" fillId="2" borderId="10" xfId="28" applyNumberFormat="1" applyFont="1" applyFill="1" applyBorder="1" applyAlignment="1" applyProtection="1">
      <alignment vertical="center"/>
    </xf>
    <xf numFmtId="37" fontId="4" fillId="2" borderId="8" xfId="28" applyNumberFormat="1" applyFont="1" applyFill="1" applyBorder="1" applyAlignment="1" applyProtection="1">
      <alignment horizontal="right" vertical="center"/>
    </xf>
    <xf numFmtId="0" fontId="4" fillId="2" borderId="1" xfId="15" applyNumberFormat="1" applyFont="1" applyFill="1" applyBorder="1" applyAlignment="1" applyProtection="1">
      <alignment horizontal="right" vertical="center"/>
    </xf>
    <xf numFmtId="37" fontId="4" fillId="2" borderId="1" xfId="28" applyNumberFormat="1" applyFont="1" applyFill="1" applyBorder="1" applyAlignment="1" applyProtection="1">
      <alignment horizontal="right" vertical="center"/>
    </xf>
    <xf numFmtId="174" fontId="4" fillId="2" borderId="3" xfId="28" applyNumberFormat="1" applyFont="1" applyFill="1" applyBorder="1" applyAlignment="1" applyProtection="1">
      <alignment vertical="center"/>
    </xf>
    <xf numFmtId="37" fontId="4" fillId="2" borderId="14" xfId="28" applyNumberFormat="1" applyFont="1" applyFill="1" applyBorder="1" applyAlignment="1" applyProtection="1">
      <alignment horizontal="left" vertical="center"/>
    </xf>
    <xf numFmtId="37" fontId="3" fillId="2" borderId="0" xfId="0" applyNumberFormat="1" applyFont="1" applyFill="1" applyBorder="1" applyAlignment="1" applyProtection="1">
      <alignment horizontal="left" vertical="center"/>
    </xf>
    <xf numFmtId="3" fontId="3" fillId="2" borderId="0" xfId="0" applyNumberFormat="1" applyFont="1" applyFill="1" applyBorder="1" applyAlignment="1" applyProtection="1">
      <alignment horizontal="center" vertical="center"/>
    </xf>
    <xf numFmtId="3" fontId="3" fillId="2" borderId="15" xfId="0" applyNumberFormat="1" applyFont="1" applyFill="1" applyBorder="1" applyAlignment="1" applyProtection="1">
      <alignment horizontal="center" vertical="center"/>
    </xf>
    <xf numFmtId="37" fontId="3" fillId="2" borderId="16" xfId="0" applyNumberFormat="1" applyFont="1" applyFill="1" applyBorder="1" applyAlignment="1" applyProtection="1">
      <alignment horizontal="left" vertical="center"/>
    </xf>
    <xf numFmtId="37" fontId="3" fillId="2" borderId="8" xfId="0" applyNumberFormat="1" applyFont="1" applyFill="1" applyBorder="1" applyAlignment="1" applyProtection="1">
      <alignment horizontal="left" vertical="center"/>
    </xf>
    <xf numFmtId="3" fontId="3" fillId="2" borderId="1" xfId="0" applyNumberFormat="1" applyFont="1" applyFill="1" applyBorder="1" applyAlignment="1" applyProtection="1">
      <alignment horizontal="center" vertical="center"/>
    </xf>
    <xf numFmtId="0" fontId="8" fillId="0" borderId="0" xfId="0" applyFont="1" applyFill="1" applyBorder="1" applyAlignment="1" applyProtection="1">
      <alignment vertical="center"/>
      <protection locked="0"/>
    </xf>
    <xf numFmtId="3" fontId="8"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4" fillId="2" borderId="15"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4" fillId="2" borderId="3" xfId="0" applyFont="1" applyFill="1" applyBorder="1" applyAlignment="1">
      <alignment vertical="center"/>
    </xf>
    <xf numFmtId="0" fontId="4" fillId="2" borderId="14" xfId="0" applyFont="1" applyFill="1" applyBorder="1" applyAlignment="1" applyProtection="1">
      <alignment vertical="center" wrapText="1"/>
    </xf>
    <xf numFmtId="0" fontId="4" fillId="2" borderId="9" xfId="0" applyFont="1" applyFill="1" applyBorder="1" applyAlignment="1" applyProtection="1">
      <alignment vertical="center" wrapText="1"/>
    </xf>
    <xf numFmtId="0" fontId="4" fillId="2" borderId="16" xfId="0" applyFont="1" applyFill="1" applyBorder="1" applyAlignment="1" applyProtection="1">
      <alignment vertical="center" wrapText="1"/>
    </xf>
    <xf numFmtId="0" fontId="4" fillId="2" borderId="10"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4" fillId="2" borderId="3" xfId="0" applyFont="1" applyFill="1" applyBorder="1" applyAlignment="1" applyProtection="1">
      <alignment vertical="center" wrapText="1"/>
    </xf>
    <xf numFmtId="0" fontId="4" fillId="2" borderId="16" xfId="0" applyFont="1" applyFill="1" applyBorder="1" applyAlignment="1">
      <alignment vertical="center" wrapText="1"/>
    </xf>
    <xf numFmtId="0" fontId="4" fillId="0" borderId="0" xfId="0" applyFont="1" applyFill="1" applyAlignment="1" applyProtection="1">
      <alignment vertical="center"/>
    </xf>
    <xf numFmtId="0" fontId="0" fillId="0" borderId="0" xfId="0" applyFill="1"/>
    <xf numFmtId="0" fontId="9" fillId="4" borderId="1" xfId="14" applyFill="1" applyBorder="1" applyAlignment="1" applyProtection="1">
      <alignment vertical="center"/>
      <protection locked="0"/>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3" fillId="2" borderId="0" xfId="0" applyNumberFormat="1" applyFont="1" applyFill="1" applyAlignment="1" applyProtection="1">
      <alignment horizontal="center" vertical="center"/>
    </xf>
    <xf numFmtId="0" fontId="14" fillId="0" borderId="0" xfId="0" applyFont="1" applyAlignment="1">
      <alignment horizontal="center" vertical="center"/>
    </xf>
    <xf numFmtId="37" fontId="14" fillId="2" borderId="0" xfId="0" applyNumberFormat="1" applyFont="1" applyFill="1" applyAlignment="1" applyProtection="1">
      <alignment horizontal="center" vertical="center"/>
    </xf>
    <xf numFmtId="0" fontId="0" fillId="0" borderId="0" xfId="0" applyAlignment="1">
      <alignment horizontal="center" vertical="center"/>
    </xf>
    <xf numFmtId="37" fontId="3" fillId="2" borderId="0" xfId="28" applyNumberFormat="1" applyFont="1" applyFill="1" applyAlignment="1" applyProtection="1">
      <alignment vertical="center" wrapText="1"/>
    </xf>
    <xf numFmtId="0" fontId="4" fillId="2" borderId="14" xfId="28" applyFont="1" applyFill="1" applyBorder="1" applyAlignment="1" applyProtection="1">
      <alignment vertical="center" wrapText="1"/>
    </xf>
    <xf numFmtId="0" fontId="2" fillId="0" borderId="9" xfId="28" applyBorder="1" applyAlignment="1">
      <alignment vertical="center" wrapText="1"/>
    </xf>
    <xf numFmtId="0" fontId="2" fillId="0" borderId="16" xfId="28" applyBorder="1" applyAlignment="1">
      <alignment vertical="center" wrapText="1"/>
    </xf>
    <xf numFmtId="0" fontId="2" fillId="0" borderId="10" xfId="28" applyBorder="1" applyAlignment="1">
      <alignment vertical="center" wrapText="1"/>
    </xf>
    <xf numFmtId="0" fontId="2" fillId="0" borderId="8" xfId="28" applyBorder="1" applyAlignment="1">
      <alignment vertical="center" wrapText="1"/>
    </xf>
    <xf numFmtId="0" fontId="2" fillId="0" borderId="3" xfId="28" applyBorder="1" applyAlignment="1">
      <alignment vertical="center" wrapText="1"/>
    </xf>
    <xf numFmtId="37" fontId="14" fillId="2"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5" xfId="0" applyFont="1" applyFill="1" applyBorder="1" applyAlignment="1">
      <alignment horizontal="center" vertical="center"/>
    </xf>
    <xf numFmtId="0" fontId="16" fillId="9" borderId="6" xfId="0" applyFont="1" applyFill="1" applyBorder="1" applyAlignment="1">
      <alignment horizontal="center" vertical="center"/>
    </xf>
    <xf numFmtId="0" fontId="12" fillId="2" borderId="0" xfId="0" applyFont="1" applyFill="1" applyBorder="1" applyAlignment="1">
      <alignment vertical="center"/>
    </xf>
    <xf numFmtId="0" fontId="17" fillId="0" borderId="0" xfId="0" applyFont="1" applyAlignment="1">
      <alignment vertical="center"/>
    </xf>
    <xf numFmtId="0" fontId="4" fillId="0" borderId="0" xfId="478" applyFont="1" applyAlignment="1">
      <alignment horizontal="left" vertical="center" wrapText="1"/>
    </xf>
    <xf numFmtId="0" fontId="1" fillId="0" borderId="0" xfId="478" applyAlignment="1">
      <alignment horizontal="left" vertical="center" wrapText="1"/>
    </xf>
    <xf numFmtId="0" fontId="14" fillId="0" borderId="0" xfId="478" applyFont="1" applyAlignment="1">
      <alignment horizontal="left" vertical="center"/>
    </xf>
    <xf numFmtId="37" fontId="4" fillId="2" borderId="0" xfId="0" applyNumberFormat="1" applyFont="1" applyFill="1" applyBorder="1" applyAlignment="1" applyProtection="1">
      <alignment horizontal="center" vertical="center"/>
    </xf>
    <xf numFmtId="0" fontId="0" fillId="0" borderId="0" xfId="0" applyAlignment="1">
      <alignment vertical="center"/>
    </xf>
    <xf numFmtId="0" fontId="8" fillId="9" borderId="16" xfId="0" applyFont="1" applyFill="1" applyBorder="1" applyAlignment="1" applyProtection="1">
      <alignment horizontal="center" vertical="center"/>
    </xf>
    <xf numFmtId="0" fontId="0" fillId="0" borderId="10" xfId="0" applyBorder="1" applyAlignment="1" applyProtection="1">
      <alignment vertical="center"/>
    </xf>
    <xf numFmtId="3" fontId="4" fillId="4"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3" fillId="2" borderId="0" xfId="0" applyFont="1" applyFill="1" applyAlignment="1" applyProtection="1">
      <alignment horizontal="center" vertical="center"/>
    </xf>
    <xf numFmtId="37" fontId="4" fillId="2"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2"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2" borderId="0" xfId="0" applyFont="1" applyFill="1" applyAlignment="1" applyProtection="1">
      <alignment horizontal="center" vertical="center"/>
    </xf>
    <xf numFmtId="0" fontId="0" fillId="0" borderId="0" xfId="0" applyAlignment="1" applyProtection="1">
      <alignment vertical="center"/>
    </xf>
    <xf numFmtId="37" fontId="4" fillId="2"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5" borderId="5" xfId="31" applyFont="1" applyFill="1" applyBorder="1" applyAlignment="1">
      <alignment horizontal="left" vertical="center"/>
    </xf>
    <xf numFmtId="0" fontId="62" fillId="0" borderId="6" xfId="0" applyFont="1" applyBorder="1" applyAlignment="1">
      <alignment vertical="center"/>
    </xf>
    <xf numFmtId="0" fontId="8" fillId="9" borderId="8" xfId="0" applyFont="1" applyFill="1" applyBorder="1" applyAlignment="1" applyProtection="1">
      <alignment horizontal="center" vertical="center"/>
    </xf>
    <xf numFmtId="0" fontId="0" fillId="0" borderId="3" xfId="0" applyBorder="1" applyAlignment="1">
      <alignment vertical="center"/>
    </xf>
    <xf numFmtId="37" fontId="3" fillId="2" borderId="0" xfId="0" applyNumberFormat="1" applyFont="1" applyFill="1" applyAlignment="1" applyProtection="1">
      <alignment horizontal="center" vertical="center"/>
    </xf>
    <xf numFmtId="0" fontId="4" fillId="2" borderId="0" xfId="31" applyFont="1" applyFill="1" applyAlignment="1">
      <alignment horizontal="center" vertical="center"/>
    </xf>
    <xf numFmtId="0" fontId="4" fillId="2" borderId="0" xfId="31" applyFont="1" applyFill="1" applyAlignment="1" applyProtection="1">
      <alignment horizontal="center" vertical="center" wrapText="1"/>
    </xf>
    <xf numFmtId="0" fontId="4" fillId="2" borderId="0" xfId="31" applyFont="1" applyFill="1" applyAlignment="1" applyProtection="1">
      <alignment horizontal="center" vertical="center"/>
    </xf>
    <xf numFmtId="37" fontId="3" fillId="2" borderId="0" xfId="31" applyNumberFormat="1" applyFont="1" applyFill="1" applyAlignment="1" applyProtection="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wrapText="1"/>
    </xf>
    <xf numFmtId="0" fontId="3" fillId="2" borderId="0" xfId="514" applyFont="1" applyFill="1" applyAlignment="1" applyProtection="1">
      <alignment horizontal="center" vertical="center"/>
    </xf>
    <xf numFmtId="0" fontId="14" fillId="2" borderId="0" xfId="499" applyFont="1" applyFill="1" applyAlignment="1">
      <alignment horizontal="center"/>
    </xf>
    <xf numFmtId="0" fontId="2" fillId="2" borderId="0" xfId="36" applyFill="1" applyAlignment="1">
      <alignment horizontal="center"/>
    </xf>
    <xf numFmtId="0" fontId="3" fillId="2" borderId="0" xfId="36" applyFont="1" applyFill="1" applyAlignment="1">
      <alignment horizontal="center" vertical="center"/>
    </xf>
    <xf numFmtId="0" fontId="14" fillId="2" borderId="0" xfId="36" applyFont="1" applyFill="1" applyAlignment="1">
      <alignment horizontal="center" vertical="center"/>
    </xf>
    <xf numFmtId="0" fontId="4" fillId="2" borderId="0" xfId="36" applyFont="1" applyFill="1" applyAlignment="1">
      <alignment vertical="center" wrapText="1"/>
    </xf>
    <xf numFmtId="0" fontId="4" fillId="2" borderId="0" xfId="14" applyNumberFormat="1" applyFont="1" applyFill="1" applyBorder="1" applyAlignment="1" applyProtection="1">
      <alignment horizontal="right" vertical="center"/>
    </xf>
    <xf numFmtId="0" fontId="4" fillId="0" borderId="0" xfId="14" applyFont="1" applyAlignment="1" applyProtection="1">
      <alignment horizontal="right" vertical="center"/>
    </xf>
    <xf numFmtId="3" fontId="4" fillId="2" borderId="15" xfId="56" applyNumberFormat="1" applyFont="1" applyFill="1" applyBorder="1" applyAlignment="1" applyProtection="1">
      <alignment horizontal="right" vertical="center"/>
    </xf>
    <xf numFmtId="0" fontId="2" fillId="0" borderId="9" xfId="56" applyBorder="1" applyAlignment="1">
      <alignment horizontal="right" vertical="center"/>
    </xf>
    <xf numFmtId="0" fontId="4" fillId="2" borderId="0" xfId="56" applyFont="1" applyFill="1" applyAlignment="1" applyProtection="1">
      <alignment horizontal="right" vertical="center"/>
    </xf>
    <xf numFmtId="0" fontId="4" fillId="0" borderId="10" xfId="56" applyFont="1" applyBorder="1" applyAlignment="1">
      <alignment horizontal="right" vertical="center"/>
    </xf>
    <xf numFmtId="0" fontId="37" fillId="2"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174" fontId="37" fillId="2" borderId="14" xfId="0" applyNumberFormat="1" applyFont="1" applyFill="1" applyBorder="1" applyAlignment="1" applyProtection="1">
      <alignment horizontal="center"/>
    </xf>
    <xf numFmtId="0" fontId="28" fillId="0" borderId="15" xfId="0" applyFont="1" applyBorder="1" applyAlignment="1"/>
    <xf numFmtId="0" fontId="28" fillId="0" borderId="9" xfId="0" applyFont="1" applyBorder="1" applyAlignment="1"/>
    <xf numFmtId="0" fontId="37" fillId="2" borderId="14" xfId="28" applyFont="1" applyFill="1" applyBorder="1" applyAlignment="1" applyProtection="1">
      <alignment horizontal="center" vertical="center"/>
    </xf>
    <xf numFmtId="0" fontId="2" fillId="0" borderId="15" xfId="28" applyBorder="1" applyAlignment="1">
      <alignment vertical="center"/>
    </xf>
    <xf numFmtId="0" fontId="2" fillId="0" borderId="9" xfId="28" applyBorder="1" applyAlignment="1">
      <alignment vertical="center"/>
    </xf>
    <xf numFmtId="0" fontId="2" fillId="0" borderId="15" xfId="28" applyBorder="1" applyAlignment="1">
      <alignment horizontal="center" vertical="center"/>
    </xf>
    <xf numFmtId="0" fontId="2" fillId="0" borderId="9" xfId="28" applyBorder="1" applyAlignment="1"/>
    <xf numFmtId="0" fontId="4" fillId="2" borderId="0" xfId="15" applyNumberFormat="1" applyFont="1" applyFill="1" applyBorder="1" applyAlignment="1" applyProtection="1">
      <alignment horizontal="right" vertical="center"/>
    </xf>
    <xf numFmtId="0" fontId="4" fillId="0" borderId="0" xfId="15" applyFont="1" applyAlignment="1" applyProtection="1">
      <alignment horizontal="right" vertical="center"/>
    </xf>
    <xf numFmtId="174" fontId="37" fillId="2" borderId="14" xfId="28" applyNumberFormat="1" applyFont="1" applyFill="1" applyBorder="1" applyAlignment="1" applyProtection="1">
      <alignment horizontal="center"/>
    </xf>
    <xf numFmtId="0" fontId="28" fillId="0" borderId="15" xfId="28" applyFont="1" applyBorder="1" applyAlignment="1"/>
    <xf numFmtId="0" fontId="28" fillId="0" borderId="9" xfId="28" applyFont="1" applyBorder="1" applyAlignment="1"/>
    <xf numFmtId="0" fontId="41" fillId="0" borderId="15" xfId="28" applyFont="1" applyBorder="1" applyAlignment="1">
      <alignment horizontal="center" vertical="center"/>
    </xf>
    <xf numFmtId="0" fontId="12" fillId="2" borderId="16" xfId="29" applyFont="1" applyFill="1" applyBorder="1" applyAlignment="1" applyProtection="1">
      <alignment vertical="center" wrapText="1"/>
    </xf>
    <xf numFmtId="0" fontId="0" fillId="0" borderId="0" xfId="0"/>
    <xf numFmtId="0" fontId="0" fillId="0" borderId="16" xfId="0" applyBorder="1"/>
    <xf numFmtId="0" fontId="3" fillId="2" borderId="5" xfId="0" applyFont="1" applyFill="1" applyBorder="1" applyAlignment="1">
      <alignment vertical="center"/>
    </xf>
    <xf numFmtId="0" fontId="3" fillId="2" borderId="6" xfId="0" applyFont="1" applyFill="1" applyBorder="1" applyAlignment="1">
      <alignment vertical="center"/>
    </xf>
    <xf numFmtId="37" fontId="3" fillId="2" borderId="5" xfId="0" applyNumberFormat="1" applyFont="1" applyFill="1" applyBorder="1" applyAlignment="1">
      <alignment vertical="center"/>
    </xf>
    <xf numFmtId="37" fontId="4" fillId="2"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2" borderId="1" xfId="0" applyNumberFormat="1" applyFont="1" applyFill="1" applyBorder="1" applyAlignment="1" applyProtection="1">
      <alignment horizontal="center" vertical="center"/>
      <protection locked="0"/>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0" fontId="4" fillId="2" borderId="0" xfId="0" applyFont="1" applyFill="1" applyAlignment="1">
      <alignment horizontal="right" vertical="center"/>
    </xf>
    <xf numFmtId="0" fontId="0" fillId="0" borderId="0" xfId="0" applyAlignment="1">
      <alignment horizontal="right" vertical="center"/>
    </xf>
    <xf numFmtId="0" fontId="4" fillId="2" borderId="0" xfId="0" applyFont="1" applyFill="1" applyAlignment="1" applyProtection="1">
      <alignment horizontal="right" vertical="center"/>
    </xf>
    <xf numFmtId="0" fontId="68" fillId="14" borderId="25" xfId="381" applyFont="1" applyFill="1" applyBorder="1" applyAlignment="1">
      <alignment horizontal="left" vertical="top" wrapText="1"/>
    </xf>
    <xf numFmtId="0" fontId="68" fillId="14" borderId="26" xfId="381" applyFont="1" applyFill="1" applyBorder="1" applyAlignment="1">
      <alignment horizontal="left" vertical="top" wrapText="1"/>
    </xf>
    <xf numFmtId="0" fontId="68" fillId="14" borderId="27" xfId="381" applyFont="1" applyFill="1" applyBorder="1" applyAlignment="1">
      <alignment horizontal="left" vertical="top" wrapText="1"/>
    </xf>
    <xf numFmtId="0" fontId="69" fillId="14" borderId="32" xfId="381" applyFont="1" applyFill="1" applyBorder="1" applyAlignment="1">
      <alignment horizontal="center"/>
    </xf>
    <xf numFmtId="0" fontId="67" fillId="14" borderId="33" xfId="381" applyFill="1" applyBorder="1" applyAlignment="1">
      <alignment horizontal="center"/>
    </xf>
    <xf numFmtId="0" fontId="67" fillId="14" borderId="34" xfId="381" applyFill="1" applyBorder="1" applyAlignment="1">
      <alignment horizontal="center"/>
    </xf>
    <xf numFmtId="0" fontId="68" fillId="14" borderId="20" xfId="381" applyFont="1" applyFill="1" applyBorder="1" applyAlignment="1">
      <alignment horizontal="center"/>
    </xf>
    <xf numFmtId="0" fontId="68" fillId="14" borderId="21" xfId="381" applyFont="1" applyFill="1" applyBorder="1" applyAlignment="1">
      <alignment horizontal="center"/>
    </xf>
    <xf numFmtId="0" fontId="68" fillId="14" borderId="22" xfId="381" applyFont="1" applyFill="1" applyBorder="1" applyAlignment="1">
      <alignment horizontal="center"/>
    </xf>
    <xf numFmtId="172" fontId="32" fillId="4" borderId="1" xfId="0" applyNumberFormat="1" applyFont="1" applyFill="1" applyBorder="1" applyAlignment="1" applyProtection="1">
      <alignment horizontal="center"/>
      <protection locked="0"/>
    </xf>
    <xf numFmtId="179" fontId="32" fillId="2" borderId="0" xfId="0" applyNumberFormat="1" applyFont="1" applyFill="1" applyBorder="1" applyAlignment="1">
      <alignment horizontal="center"/>
    </xf>
    <xf numFmtId="179" fontId="32" fillId="0" borderId="24" xfId="0" applyNumberFormat="1" applyFont="1" applyBorder="1" applyAlignment="1">
      <alignment horizontal="center"/>
    </xf>
    <xf numFmtId="178" fontId="32" fillId="4" borderId="1" xfId="0" applyNumberFormat="1" applyFont="1" applyFill="1" applyBorder="1" applyAlignment="1" applyProtection="1">
      <alignment horizontal="center"/>
      <protection locked="0"/>
    </xf>
    <xf numFmtId="0" fontId="49" fillId="2" borderId="0" xfId="0" applyFont="1" applyFill="1" applyAlignment="1">
      <alignment horizontal="center" wrapText="1"/>
    </xf>
    <xf numFmtId="0" fontId="32" fillId="2" borderId="0" xfId="0" applyFont="1" applyFill="1" applyAlignment="1">
      <alignment wrapText="1"/>
    </xf>
    <xf numFmtId="0" fontId="32" fillId="2" borderId="0" xfId="0" applyFont="1" applyFill="1" applyBorder="1" applyAlignment="1">
      <alignment horizontal="center"/>
    </xf>
    <xf numFmtId="178" fontId="32" fillId="2" borderId="0" xfId="0" applyNumberFormat="1" applyFont="1" applyFill="1" applyBorder="1" applyAlignment="1">
      <alignment horizontal="center"/>
    </xf>
    <xf numFmtId="0" fontId="32" fillId="2" borderId="15" xfId="0" applyFont="1" applyFill="1" applyBorder="1" applyAlignment="1">
      <alignment horizontal="center"/>
    </xf>
    <xf numFmtId="0" fontId="32" fillId="2" borderId="28" xfId="0" applyFont="1" applyFill="1" applyBorder="1" applyAlignment="1">
      <alignment vertical="top" wrapText="1"/>
    </xf>
    <xf numFmtId="0" fontId="32" fillId="0" borderId="0" xfId="0" applyFont="1" applyAlignment="1">
      <alignment vertical="top" wrapText="1"/>
    </xf>
    <xf numFmtId="0" fontId="32" fillId="0" borderId="24" xfId="0" applyFont="1" applyBorder="1" applyAlignment="1">
      <alignment vertical="top" wrapText="1"/>
    </xf>
    <xf numFmtId="0" fontId="32" fillId="0" borderId="24" xfId="0" applyFont="1" applyBorder="1" applyAlignment="1">
      <alignment horizontal="center"/>
    </xf>
    <xf numFmtId="5" fontId="32" fillId="2" borderId="1" xfId="0" applyNumberFormat="1" applyFont="1" applyFill="1" applyBorder="1" applyAlignment="1">
      <alignment horizontal="center"/>
    </xf>
    <xf numFmtId="0" fontId="49" fillId="2" borderId="21" xfId="0" applyFont="1" applyFill="1" applyBorder="1" applyAlignment="1">
      <alignment horizontal="center" vertical="center"/>
    </xf>
    <xf numFmtId="0" fontId="32" fillId="0" borderId="21" xfId="0" applyFont="1" applyBorder="1" applyAlignment="1">
      <alignment horizontal="center" vertical="center"/>
    </xf>
    <xf numFmtId="0" fontId="49" fillId="2" borderId="0" xfId="0" applyFont="1" applyFill="1" applyBorder="1" applyAlignment="1">
      <alignment horizontal="center" wrapText="1"/>
    </xf>
    <xf numFmtId="0" fontId="32" fillId="0" borderId="0" xfId="0" applyFont="1" applyAlignment="1">
      <alignment horizontal="center" wrapText="1"/>
    </xf>
    <xf numFmtId="0" fontId="49" fillId="0" borderId="0" xfId="0" applyFont="1" applyAlignment="1">
      <alignment horizontal="center" wrapText="1"/>
    </xf>
    <xf numFmtId="0" fontId="32" fillId="2" borderId="0" xfId="0" applyFont="1" applyFill="1" applyBorder="1" applyAlignment="1">
      <alignment wrapText="1"/>
    </xf>
    <xf numFmtId="0" fontId="32" fillId="0" borderId="0" xfId="0" applyFont="1" applyAlignment="1">
      <alignment wrapText="1"/>
    </xf>
    <xf numFmtId="178" fontId="32" fillId="2" borderId="0" xfId="0" applyNumberFormat="1" applyFont="1" applyFill="1" applyAlignment="1"/>
    <xf numFmtId="0" fontId="49" fillId="2" borderId="0" xfId="0" applyFont="1" applyFill="1" applyAlignment="1">
      <alignment horizontal="center"/>
    </xf>
    <xf numFmtId="178" fontId="32" fillId="2" borderId="0" xfId="0" applyNumberFormat="1" applyFont="1" applyFill="1" applyAlignment="1">
      <alignment horizontal="center"/>
    </xf>
    <xf numFmtId="0" fontId="32" fillId="2" borderId="0" xfId="0" applyFont="1" applyFill="1" applyBorder="1" applyAlignment="1"/>
    <xf numFmtId="0" fontId="32" fillId="0" borderId="0" xfId="0" applyFont="1" applyBorder="1" applyAlignment="1"/>
    <xf numFmtId="0" fontId="32" fillId="2" borderId="26" xfId="0" applyFont="1" applyFill="1" applyBorder="1" applyAlignment="1"/>
    <xf numFmtId="0" fontId="32" fillId="2" borderId="27" xfId="0" applyFont="1" applyFill="1" applyBorder="1" applyAlignment="1"/>
    <xf numFmtId="0" fontId="33" fillId="2" borderId="0" xfId="0" applyFont="1" applyFill="1" applyAlignment="1">
      <alignment horizontal="center" wrapText="1"/>
    </xf>
    <xf numFmtId="0" fontId="49" fillId="2" borderId="0" xfId="0" applyFont="1" applyFill="1" applyAlignment="1">
      <alignment horizontal="center" vertical="center"/>
    </xf>
    <xf numFmtId="0" fontId="49" fillId="0" borderId="0" xfId="0" applyFont="1" applyAlignment="1">
      <alignment horizontal="center" vertical="center"/>
    </xf>
  </cellXfs>
  <cellStyles count="515">
    <cellStyle name="Comma" xfId="1" builtinId="3"/>
    <cellStyle name="Comma 11 2" xfId="2" xr:uid="{00000000-0005-0000-0000-000001000000}"/>
    <cellStyle name="Comma 16" xfId="3" xr:uid="{00000000-0005-0000-0000-000002000000}"/>
    <cellStyle name="Comma 16 2" xfId="4" xr:uid="{00000000-0005-0000-0000-000003000000}"/>
    <cellStyle name="Comma 16 3" xfId="5" xr:uid="{00000000-0005-0000-0000-000004000000}"/>
    <cellStyle name="Comma 2 2" xfId="6" xr:uid="{00000000-0005-0000-0000-000005000000}"/>
    <cellStyle name="Comma 3 2" xfId="7" xr:uid="{00000000-0005-0000-0000-000006000000}"/>
    <cellStyle name="Comma 3 3" xfId="8" xr:uid="{00000000-0005-0000-0000-000007000000}"/>
    <cellStyle name="Comma 4 2" xfId="9" xr:uid="{00000000-0005-0000-0000-000008000000}"/>
    <cellStyle name="Comma 6 2" xfId="10" xr:uid="{00000000-0005-0000-0000-000009000000}"/>
    <cellStyle name="Comma 7" xfId="11" xr:uid="{00000000-0005-0000-0000-00000A000000}"/>
    <cellStyle name="Comma 7 2" xfId="12" xr:uid="{00000000-0005-0000-0000-00000B000000}"/>
    <cellStyle name="Comma 7 3" xfId="13" xr:uid="{00000000-0005-0000-0000-00000C000000}"/>
    <cellStyle name="Hyperlink" xfId="14" builtinId="8"/>
    <cellStyle name="Hyperlink 2" xfId="15" xr:uid="{00000000-0005-0000-0000-00000E000000}"/>
    <cellStyle name="Hyperlink 2 2" xfId="16" xr:uid="{00000000-0005-0000-0000-00000F000000}"/>
    <cellStyle name="Hyperlink 2 3" xfId="17" xr:uid="{00000000-0005-0000-0000-000010000000}"/>
    <cellStyle name="Hyperlink 3 2" xfId="18" xr:uid="{00000000-0005-0000-0000-000011000000}"/>
    <cellStyle name="Hyperlink 3 3" xfId="19" xr:uid="{00000000-0005-0000-0000-000012000000}"/>
    <cellStyle name="Hyperlink 3 4" xfId="20" xr:uid="{00000000-0005-0000-0000-000013000000}"/>
    <cellStyle name="Hyperlink 4" xfId="21" xr:uid="{00000000-0005-0000-0000-000014000000}"/>
    <cellStyle name="Hyperlink 4 2" xfId="22" xr:uid="{00000000-0005-0000-0000-000015000000}"/>
    <cellStyle name="Hyperlink 7" xfId="23" xr:uid="{00000000-0005-0000-0000-000016000000}"/>
    <cellStyle name="Hyperlink 7 2" xfId="24" xr:uid="{00000000-0005-0000-0000-000017000000}"/>
    <cellStyle name="Hyperlink 7 3" xfId="25" xr:uid="{00000000-0005-0000-0000-000018000000}"/>
    <cellStyle name="Hyperlink 8" xfId="26" xr:uid="{00000000-0005-0000-0000-000019000000}"/>
    <cellStyle name="Hyperlink 8 2" xfId="27" xr:uid="{00000000-0005-0000-0000-00001A000000}"/>
    <cellStyle name="Normal" xfId="0" builtinId="0"/>
    <cellStyle name="Normal 10" xfId="28" xr:uid="{00000000-0005-0000-0000-00001C000000}"/>
    <cellStyle name="Normal 10 2" xfId="29" xr:uid="{00000000-0005-0000-0000-00001D000000}"/>
    <cellStyle name="Normal 10 2 2" xfId="30" xr:uid="{00000000-0005-0000-0000-00001E000000}"/>
    <cellStyle name="Normal 10 2 2 2" xfId="31" xr:uid="{00000000-0005-0000-0000-00001F000000}"/>
    <cellStyle name="Normal 10 2 2 3" xfId="32" xr:uid="{00000000-0005-0000-0000-000020000000}"/>
    <cellStyle name="Normal 10 2 3" xfId="33" xr:uid="{00000000-0005-0000-0000-000021000000}"/>
    <cellStyle name="Normal 10 3" xfId="34" xr:uid="{00000000-0005-0000-0000-000022000000}"/>
    <cellStyle name="Normal 10 4" xfId="35" xr:uid="{00000000-0005-0000-0000-000023000000}"/>
    <cellStyle name="Normal 10 5" xfId="36" xr:uid="{00000000-0005-0000-0000-000024000000}"/>
    <cellStyle name="Normal 10 5 2" xfId="37" xr:uid="{00000000-0005-0000-0000-000025000000}"/>
    <cellStyle name="Normal 10 5 3" xfId="38" xr:uid="{00000000-0005-0000-0000-000026000000}"/>
    <cellStyle name="Normal 10 6" xfId="39" xr:uid="{00000000-0005-0000-0000-000027000000}"/>
    <cellStyle name="Normal 10 7" xfId="40" xr:uid="{00000000-0005-0000-0000-000028000000}"/>
    <cellStyle name="Normal 11" xfId="41" xr:uid="{00000000-0005-0000-0000-000029000000}"/>
    <cellStyle name="Normal 11 2" xfId="42" xr:uid="{00000000-0005-0000-0000-00002A000000}"/>
    <cellStyle name="Normal 11 2 2" xfId="43" xr:uid="{00000000-0005-0000-0000-00002B000000}"/>
    <cellStyle name="Normal 11 2 3" xfId="44" xr:uid="{00000000-0005-0000-0000-00002C000000}"/>
    <cellStyle name="Normal 11 3" xfId="45" xr:uid="{00000000-0005-0000-0000-00002D000000}"/>
    <cellStyle name="Normal 11 4" xfId="46" xr:uid="{00000000-0005-0000-0000-00002E000000}"/>
    <cellStyle name="Normal 11 5" xfId="47" xr:uid="{00000000-0005-0000-0000-00002F000000}"/>
    <cellStyle name="Normal 11 5 2" xfId="48" xr:uid="{00000000-0005-0000-0000-000030000000}"/>
    <cellStyle name="Normal 11 5 3" xfId="49" xr:uid="{00000000-0005-0000-0000-000031000000}"/>
    <cellStyle name="Normal 11 6" xfId="50" xr:uid="{00000000-0005-0000-0000-000032000000}"/>
    <cellStyle name="Normal 12" xfId="51" xr:uid="{00000000-0005-0000-0000-000033000000}"/>
    <cellStyle name="Normal 12 10" xfId="52" xr:uid="{00000000-0005-0000-0000-000034000000}"/>
    <cellStyle name="Normal 12 11" xfId="53" xr:uid="{00000000-0005-0000-0000-000035000000}"/>
    <cellStyle name="Normal 12 12" xfId="54" xr:uid="{00000000-0005-0000-0000-000036000000}"/>
    <cellStyle name="Normal 12 13" xfId="55" xr:uid="{00000000-0005-0000-0000-000037000000}"/>
    <cellStyle name="Normal 12 2" xfId="56" xr:uid="{00000000-0005-0000-0000-000038000000}"/>
    <cellStyle name="Normal 12 2 2" xfId="57" xr:uid="{00000000-0005-0000-0000-000039000000}"/>
    <cellStyle name="Normal 12 3" xfId="58" xr:uid="{00000000-0005-0000-0000-00003A000000}"/>
    <cellStyle name="Normal 12 4" xfId="59" xr:uid="{00000000-0005-0000-0000-00003B000000}"/>
    <cellStyle name="Normal 12 5" xfId="60" xr:uid="{00000000-0005-0000-0000-00003C000000}"/>
    <cellStyle name="Normal 12 6" xfId="61" xr:uid="{00000000-0005-0000-0000-00003D000000}"/>
    <cellStyle name="Normal 12 7" xfId="62" xr:uid="{00000000-0005-0000-0000-00003E000000}"/>
    <cellStyle name="Normal 12 8" xfId="63" xr:uid="{00000000-0005-0000-0000-00003F000000}"/>
    <cellStyle name="Normal 12 9" xfId="64" xr:uid="{00000000-0005-0000-0000-000040000000}"/>
    <cellStyle name="Normal 13" xfId="65" xr:uid="{00000000-0005-0000-0000-000041000000}"/>
    <cellStyle name="Normal 13 10" xfId="66" xr:uid="{00000000-0005-0000-0000-000042000000}"/>
    <cellStyle name="Normal 13 11" xfId="67" xr:uid="{00000000-0005-0000-0000-000043000000}"/>
    <cellStyle name="Normal 13 12" xfId="68" xr:uid="{00000000-0005-0000-0000-000044000000}"/>
    <cellStyle name="Normal 13 13" xfId="69" xr:uid="{00000000-0005-0000-0000-000045000000}"/>
    <cellStyle name="Normal 13 2" xfId="70" xr:uid="{00000000-0005-0000-0000-000046000000}"/>
    <cellStyle name="Normal 13 2 2" xfId="71" xr:uid="{00000000-0005-0000-0000-000047000000}"/>
    <cellStyle name="Normal 13 3" xfId="72" xr:uid="{00000000-0005-0000-0000-000048000000}"/>
    <cellStyle name="Normal 13 4" xfId="73" xr:uid="{00000000-0005-0000-0000-000049000000}"/>
    <cellStyle name="Normal 13 5" xfId="74" xr:uid="{00000000-0005-0000-0000-00004A000000}"/>
    <cellStyle name="Normal 13 6" xfId="75" xr:uid="{00000000-0005-0000-0000-00004B000000}"/>
    <cellStyle name="Normal 13 7" xfId="76" xr:uid="{00000000-0005-0000-0000-00004C000000}"/>
    <cellStyle name="Normal 13 8" xfId="77" xr:uid="{00000000-0005-0000-0000-00004D000000}"/>
    <cellStyle name="Normal 13 9" xfId="78" xr:uid="{00000000-0005-0000-0000-00004E000000}"/>
    <cellStyle name="Normal 14" xfId="79" xr:uid="{00000000-0005-0000-0000-00004F000000}"/>
    <cellStyle name="Normal 14 2" xfId="80" xr:uid="{00000000-0005-0000-0000-000050000000}"/>
    <cellStyle name="Normal 14 3" xfId="81" xr:uid="{00000000-0005-0000-0000-000051000000}"/>
    <cellStyle name="Normal 14 4" xfId="82" xr:uid="{00000000-0005-0000-0000-000052000000}"/>
    <cellStyle name="Normal 14 5" xfId="83" xr:uid="{00000000-0005-0000-0000-000053000000}"/>
    <cellStyle name="Normal 14 6" xfId="84" xr:uid="{00000000-0005-0000-0000-000054000000}"/>
    <cellStyle name="Normal 14 7" xfId="85" xr:uid="{00000000-0005-0000-0000-000055000000}"/>
    <cellStyle name="Normal 15" xfId="86" xr:uid="{00000000-0005-0000-0000-000056000000}"/>
    <cellStyle name="Normal 15 2" xfId="87" xr:uid="{00000000-0005-0000-0000-000057000000}"/>
    <cellStyle name="Normal 15 3" xfId="88" xr:uid="{00000000-0005-0000-0000-000058000000}"/>
    <cellStyle name="Normal 15 4" xfId="89" xr:uid="{00000000-0005-0000-0000-000059000000}"/>
    <cellStyle name="Normal 15 5" xfId="90" xr:uid="{00000000-0005-0000-0000-00005A000000}"/>
    <cellStyle name="Normal 16" xfId="91" xr:uid="{00000000-0005-0000-0000-00005B000000}"/>
    <cellStyle name="Normal 16 2" xfId="92" xr:uid="{00000000-0005-0000-0000-00005C000000}"/>
    <cellStyle name="Normal 16 3" xfId="93" xr:uid="{00000000-0005-0000-0000-00005D000000}"/>
    <cellStyle name="Normal 16 4" xfId="94" xr:uid="{00000000-0005-0000-0000-00005E000000}"/>
    <cellStyle name="Normal 16 5" xfId="95" xr:uid="{00000000-0005-0000-0000-00005F000000}"/>
    <cellStyle name="Normal 17" xfId="96" xr:uid="{00000000-0005-0000-0000-000060000000}"/>
    <cellStyle name="Normal 17 2" xfId="97" xr:uid="{00000000-0005-0000-0000-000061000000}"/>
    <cellStyle name="Normal 17 3" xfId="98" xr:uid="{00000000-0005-0000-0000-000062000000}"/>
    <cellStyle name="Normal 17 4" xfId="99" xr:uid="{00000000-0005-0000-0000-000063000000}"/>
    <cellStyle name="Normal 17 5" xfId="100" xr:uid="{00000000-0005-0000-0000-000064000000}"/>
    <cellStyle name="Normal 18" xfId="101" xr:uid="{00000000-0005-0000-0000-000065000000}"/>
    <cellStyle name="Normal 18 2" xfId="102" xr:uid="{00000000-0005-0000-0000-000066000000}"/>
    <cellStyle name="Normal 18 2 2" xfId="103" xr:uid="{00000000-0005-0000-0000-000067000000}"/>
    <cellStyle name="Normal 18 2 3" xfId="104" xr:uid="{00000000-0005-0000-0000-000068000000}"/>
    <cellStyle name="Normal 18 3" xfId="105" xr:uid="{00000000-0005-0000-0000-000069000000}"/>
    <cellStyle name="Normal 18 4" xfId="106" xr:uid="{00000000-0005-0000-0000-00006A000000}"/>
    <cellStyle name="Normal 18 5" xfId="107" xr:uid="{00000000-0005-0000-0000-00006B000000}"/>
    <cellStyle name="Normal 18 6" xfId="108" xr:uid="{00000000-0005-0000-0000-00006C000000}"/>
    <cellStyle name="Normal 18 7" xfId="109" xr:uid="{00000000-0005-0000-0000-00006D000000}"/>
    <cellStyle name="Normal 18 8" xfId="110" xr:uid="{00000000-0005-0000-0000-00006E000000}"/>
    <cellStyle name="Normal 18 9" xfId="111" xr:uid="{00000000-0005-0000-0000-00006F000000}"/>
    <cellStyle name="Normal 19" xfId="112" xr:uid="{00000000-0005-0000-0000-000070000000}"/>
    <cellStyle name="Normal 19 2" xfId="113" xr:uid="{00000000-0005-0000-0000-000071000000}"/>
    <cellStyle name="Normal 19 2 2" xfId="114" xr:uid="{00000000-0005-0000-0000-000072000000}"/>
    <cellStyle name="Normal 19 2 3" xfId="115" xr:uid="{00000000-0005-0000-0000-000073000000}"/>
    <cellStyle name="Normal 19 3" xfId="116" xr:uid="{00000000-0005-0000-0000-000074000000}"/>
    <cellStyle name="Normal 19 4" xfId="117" xr:uid="{00000000-0005-0000-0000-000075000000}"/>
    <cellStyle name="Normal 19 5" xfId="118" xr:uid="{00000000-0005-0000-0000-000076000000}"/>
    <cellStyle name="Normal 19 6" xfId="119" xr:uid="{00000000-0005-0000-0000-000077000000}"/>
    <cellStyle name="Normal 19 7" xfId="120" xr:uid="{00000000-0005-0000-0000-000078000000}"/>
    <cellStyle name="Normal 19 8" xfId="121" xr:uid="{00000000-0005-0000-0000-000079000000}"/>
    <cellStyle name="Normal 2" xfId="122" xr:uid="{00000000-0005-0000-0000-00007A000000}"/>
    <cellStyle name="Normal 2 10" xfId="123" xr:uid="{00000000-0005-0000-0000-00007B000000}"/>
    <cellStyle name="Normal 2 10 10" xfId="124" xr:uid="{00000000-0005-0000-0000-00007C000000}"/>
    <cellStyle name="Normal 2 10 11" xfId="125" xr:uid="{00000000-0005-0000-0000-00007D000000}"/>
    <cellStyle name="Normal 2 10 11 2" xfId="126" xr:uid="{00000000-0005-0000-0000-00007E000000}"/>
    <cellStyle name="Normal 2 10 11 2 2" xfId="127" xr:uid="{00000000-0005-0000-0000-00007F000000}"/>
    <cellStyle name="Normal 2 10 11 2 2 2" xfId="128" xr:uid="{00000000-0005-0000-0000-000080000000}"/>
    <cellStyle name="Normal 2 10 11 2 2 3" xfId="129" xr:uid="{00000000-0005-0000-0000-000081000000}"/>
    <cellStyle name="Normal 2 10 11 3" xfId="130" xr:uid="{00000000-0005-0000-0000-000082000000}"/>
    <cellStyle name="Normal 2 10 11 4" xfId="131" xr:uid="{00000000-0005-0000-0000-000083000000}"/>
    <cellStyle name="Normal 2 10 11 5" xfId="132" xr:uid="{00000000-0005-0000-0000-000084000000}"/>
    <cellStyle name="Normal 2 10 12" xfId="133" xr:uid="{00000000-0005-0000-0000-000085000000}"/>
    <cellStyle name="Normal 2 10 2" xfId="134" xr:uid="{00000000-0005-0000-0000-000086000000}"/>
    <cellStyle name="Normal 2 10 2 2" xfId="135" xr:uid="{00000000-0005-0000-0000-000087000000}"/>
    <cellStyle name="Normal 2 10 3" xfId="136" xr:uid="{00000000-0005-0000-0000-000088000000}"/>
    <cellStyle name="Normal 2 10 3 2" xfId="137" xr:uid="{00000000-0005-0000-0000-000089000000}"/>
    <cellStyle name="Normal 2 10 4" xfId="138" xr:uid="{00000000-0005-0000-0000-00008A000000}"/>
    <cellStyle name="Normal 2 10 4 2" xfId="139" xr:uid="{00000000-0005-0000-0000-00008B000000}"/>
    <cellStyle name="Normal 2 10 5" xfId="140" xr:uid="{00000000-0005-0000-0000-00008C000000}"/>
    <cellStyle name="Normal 2 10 5 2" xfId="141" xr:uid="{00000000-0005-0000-0000-00008D000000}"/>
    <cellStyle name="Normal 2 10 6" xfId="142" xr:uid="{00000000-0005-0000-0000-00008E000000}"/>
    <cellStyle name="Normal 2 10 6 2" xfId="143" xr:uid="{00000000-0005-0000-0000-00008F000000}"/>
    <cellStyle name="Normal 2 10 7" xfId="144" xr:uid="{00000000-0005-0000-0000-000090000000}"/>
    <cellStyle name="Normal 2 10 7 2" xfId="145" xr:uid="{00000000-0005-0000-0000-000091000000}"/>
    <cellStyle name="Normal 2 10 8" xfId="146" xr:uid="{00000000-0005-0000-0000-000092000000}"/>
    <cellStyle name="Normal 2 10 8 2" xfId="147" xr:uid="{00000000-0005-0000-0000-000093000000}"/>
    <cellStyle name="Normal 2 10 9" xfId="148" xr:uid="{00000000-0005-0000-0000-000094000000}"/>
    <cellStyle name="Normal 2 11" xfId="149" xr:uid="{00000000-0005-0000-0000-000095000000}"/>
    <cellStyle name="Normal 2 11 10" xfId="150" xr:uid="{00000000-0005-0000-0000-000096000000}"/>
    <cellStyle name="Normal 2 11 11" xfId="151" xr:uid="{00000000-0005-0000-0000-000097000000}"/>
    <cellStyle name="Normal 2 11 2" xfId="152" xr:uid="{00000000-0005-0000-0000-000098000000}"/>
    <cellStyle name="Normal 2 11 2 2" xfId="153" xr:uid="{00000000-0005-0000-0000-000099000000}"/>
    <cellStyle name="Normal 2 11 3" xfId="154" xr:uid="{00000000-0005-0000-0000-00009A000000}"/>
    <cellStyle name="Normal 2 11 3 2" xfId="155" xr:uid="{00000000-0005-0000-0000-00009B000000}"/>
    <cellStyle name="Normal 2 11 4" xfId="156" xr:uid="{00000000-0005-0000-0000-00009C000000}"/>
    <cellStyle name="Normal 2 11 4 2" xfId="157" xr:uid="{00000000-0005-0000-0000-00009D000000}"/>
    <cellStyle name="Normal 2 11 5" xfId="158" xr:uid="{00000000-0005-0000-0000-00009E000000}"/>
    <cellStyle name="Normal 2 11 5 2" xfId="159" xr:uid="{00000000-0005-0000-0000-00009F000000}"/>
    <cellStyle name="Normal 2 11 6" xfId="160" xr:uid="{00000000-0005-0000-0000-0000A0000000}"/>
    <cellStyle name="Normal 2 11 6 2" xfId="161" xr:uid="{00000000-0005-0000-0000-0000A1000000}"/>
    <cellStyle name="Normal 2 11 7" xfId="162" xr:uid="{00000000-0005-0000-0000-0000A2000000}"/>
    <cellStyle name="Normal 2 11 7 2" xfId="163" xr:uid="{00000000-0005-0000-0000-0000A3000000}"/>
    <cellStyle name="Normal 2 11 8" xfId="164" xr:uid="{00000000-0005-0000-0000-0000A4000000}"/>
    <cellStyle name="Normal 2 11 8 2" xfId="165" xr:uid="{00000000-0005-0000-0000-0000A5000000}"/>
    <cellStyle name="Normal 2 11 9" xfId="166" xr:uid="{00000000-0005-0000-0000-0000A6000000}"/>
    <cellStyle name="Normal 2 12" xfId="167" xr:uid="{00000000-0005-0000-0000-0000A7000000}"/>
    <cellStyle name="Normal 2 13" xfId="168" xr:uid="{00000000-0005-0000-0000-0000A8000000}"/>
    <cellStyle name="Normal 2 14" xfId="169" xr:uid="{00000000-0005-0000-0000-0000A9000000}"/>
    <cellStyle name="Normal 2 15" xfId="170" xr:uid="{00000000-0005-0000-0000-0000AA000000}"/>
    <cellStyle name="Normal 2 16" xfId="171" xr:uid="{00000000-0005-0000-0000-0000AB000000}"/>
    <cellStyle name="Normal 2 17" xfId="172" xr:uid="{00000000-0005-0000-0000-0000AC000000}"/>
    <cellStyle name="Normal 2 17 2" xfId="173" xr:uid="{00000000-0005-0000-0000-0000AD000000}"/>
    <cellStyle name="Normal 2 17 3" xfId="174" xr:uid="{00000000-0005-0000-0000-0000AE000000}"/>
    <cellStyle name="Normal 2 2" xfId="175" xr:uid="{00000000-0005-0000-0000-0000AF000000}"/>
    <cellStyle name="Normal 2 2 10" xfId="176" xr:uid="{00000000-0005-0000-0000-0000B0000000}"/>
    <cellStyle name="Normal 2 2 10 2" xfId="177" xr:uid="{00000000-0005-0000-0000-0000B1000000}"/>
    <cellStyle name="Normal 2 2 11" xfId="178" xr:uid="{00000000-0005-0000-0000-0000B2000000}"/>
    <cellStyle name="Normal 2 2 11 2" xfId="179" xr:uid="{00000000-0005-0000-0000-0000B3000000}"/>
    <cellStyle name="Normal 2 2 12" xfId="180" xr:uid="{00000000-0005-0000-0000-0000B4000000}"/>
    <cellStyle name="Normal 2 2 12 2" xfId="181" xr:uid="{00000000-0005-0000-0000-0000B5000000}"/>
    <cellStyle name="Normal 2 2 12 2 2" xfId="182" xr:uid="{00000000-0005-0000-0000-0000B6000000}"/>
    <cellStyle name="Normal 2 2 12 2 3" xfId="183" xr:uid="{00000000-0005-0000-0000-0000B7000000}"/>
    <cellStyle name="Normal 2 2 12 2 4" xfId="184" xr:uid="{00000000-0005-0000-0000-0000B8000000}"/>
    <cellStyle name="Normal 2 2 12 3" xfId="185" xr:uid="{00000000-0005-0000-0000-0000B9000000}"/>
    <cellStyle name="Normal 2 2 12 4" xfId="186" xr:uid="{00000000-0005-0000-0000-0000BA000000}"/>
    <cellStyle name="Normal 2 2 13" xfId="187" xr:uid="{00000000-0005-0000-0000-0000BB000000}"/>
    <cellStyle name="Normal 2 2 13 2" xfId="188" xr:uid="{00000000-0005-0000-0000-0000BC000000}"/>
    <cellStyle name="Normal 2 2 13 2 2" xfId="189" xr:uid="{00000000-0005-0000-0000-0000BD000000}"/>
    <cellStyle name="Normal 2 2 13 2 3" xfId="190" xr:uid="{00000000-0005-0000-0000-0000BE000000}"/>
    <cellStyle name="Normal 2 2 13 2 4" xfId="191" xr:uid="{00000000-0005-0000-0000-0000BF000000}"/>
    <cellStyle name="Normal 2 2 13 3" xfId="192" xr:uid="{00000000-0005-0000-0000-0000C0000000}"/>
    <cellStyle name="Normal 2 2 13 4" xfId="193" xr:uid="{00000000-0005-0000-0000-0000C1000000}"/>
    <cellStyle name="Normal 2 2 14" xfId="194" xr:uid="{00000000-0005-0000-0000-0000C2000000}"/>
    <cellStyle name="Normal 2 2 14 2" xfId="195" xr:uid="{00000000-0005-0000-0000-0000C3000000}"/>
    <cellStyle name="Normal 2 2 15" xfId="196" xr:uid="{00000000-0005-0000-0000-0000C4000000}"/>
    <cellStyle name="Normal 2 2 15 2" xfId="197" xr:uid="{00000000-0005-0000-0000-0000C5000000}"/>
    <cellStyle name="Normal 2 2 16" xfId="198" xr:uid="{00000000-0005-0000-0000-0000C6000000}"/>
    <cellStyle name="Normal 2 2 16 2" xfId="199" xr:uid="{00000000-0005-0000-0000-0000C7000000}"/>
    <cellStyle name="Normal 2 2 16 3" xfId="200" xr:uid="{00000000-0005-0000-0000-0000C8000000}"/>
    <cellStyle name="Normal 2 2 17" xfId="201" xr:uid="{00000000-0005-0000-0000-0000C9000000}"/>
    <cellStyle name="Normal 2 2 18" xfId="202" xr:uid="{00000000-0005-0000-0000-0000CA000000}"/>
    <cellStyle name="Normal 2 2 19" xfId="203" xr:uid="{00000000-0005-0000-0000-0000CB000000}"/>
    <cellStyle name="Normal 2 2 2" xfId="204" xr:uid="{00000000-0005-0000-0000-0000CC000000}"/>
    <cellStyle name="Normal 2 2 2 2" xfId="205" xr:uid="{00000000-0005-0000-0000-0000CD000000}"/>
    <cellStyle name="Normal 2 2 2 2 2" xfId="206" xr:uid="{00000000-0005-0000-0000-0000CE000000}"/>
    <cellStyle name="Normal 2 2 2 2 3" xfId="207" xr:uid="{00000000-0005-0000-0000-0000CF000000}"/>
    <cellStyle name="Normal 2 2 2 2 3 2" xfId="208" xr:uid="{00000000-0005-0000-0000-0000D0000000}"/>
    <cellStyle name="Normal 2 2 2 2 3 3" xfId="209" xr:uid="{00000000-0005-0000-0000-0000D1000000}"/>
    <cellStyle name="Normal 2 2 2 3" xfId="210" xr:uid="{00000000-0005-0000-0000-0000D2000000}"/>
    <cellStyle name="Normal 2 2 2 3 2" xfId="211" xr:uid="{00000000-0005-0000-0000-0000D3000000}"/>
    <cellStyle name="Normal 2 2 2 3 3" xfId="212" xr:uid="{00000000-0005-0000-0000-0000D4000000}"/>
    <cellStyle name="Normal 2 2 2 3 4" xfId="213" xr:uid="{00000000-0005-0000-0000-0000D5000000}"/>
    <cellStyle name="Normal 2 2 2 4" xfId="214" xr:uid="{00000000-0005-0000-0000-0000D6000000}"/>
    <cellStyle name="Normal 2 2 2 4 2" xfId="215" xr:uid="{00000000-0005-0000-0000-0000D7000000}"/>
    <cellStyle name="Normal 2 2 2 5" xfId="216" xr:uid="{00000000-0005-0000-0000-0000D8000000}"/>
    <cellStyle name="Normal 2 2 2 5 2" xfId="217" xr:uid="{00000000-0005-0000-0000-0000D9000000}"/>
    <cellStyle name="Normal 2 2 2 5 3" xfId="218" xr:uid="{00000000-0005-0000-0000-0000DA000000}"/>
    <cellStyle name="Normal 2 2 2 5 4" xfId="219" xr:uid="{00000000-0005-0000-0000-0000DB000000}"/>
    <cellStyle name="Normal 2 2 2 6" xfId="220" xr:uid="{00000000-0005-0000-0000-0000DC000000}"/>
    <cellStyle name="Normal 2 2 2 6 2" xfId="221" xr:uid="{00000000-0005-0000-0000-0000DD000000}"/>
    <cellStyle name="Normal 2 2 2 7" xfId="222" xr:uid="{00000000-0005-0000-0000-0000DE000000}"/>
    <cellStyle name="Normal 2 2 2 7 2" xfId="223" xr:uid="{00000000-0005-0000-0000-0000DF000000}"/>
    <cellStyle name="Normal 2 2 2 7 3" xfId="224" xr:uid="{00000000-0005-0000-0000-0000E0000000}"/>
    <cellStyle name="Normal 2 2 2 8" xfId="225" xr:uid="{00000000-0005-0000-0000-0000E1000000}"/>
    <cellStyle name="Normal 2 2 20" xfId="226" xr:uid="{00000000-0005-0000-0000-0000E2000000}"/>
    <cellStyle name="Normal 2 2 21" xfId="227" xr:uid="{00000000-0005-0000-0000-0000E3000000}"/>
    <cellStyle name="Normal 2 2 22" xfId="228" xr:uid="{00000000-0005-0000-0000-0000E4000000}"/>
    <cellStyle name="Normal 2 2 3" xfId="229" xr:uid="{00000000-0005-0000-0000-0000E5000000}"/>
    <cellStyle name="Normal 2 2 3 2" xfId="230" xr:uid="{00000000-0005-0000-0000-0000E6000000}"/>
    <cellStyle name="Normal 2 2 4" xfId="231" xr:uid="{00000000-0005-0000-0000-0000E7000000}"/>
    <cellStyle name="Normal 2 2 4 2" xfId="232" xr:uid="{00000000-0005-0000-0000-0000E8000000}"/>
    <cellStyle name="Normal 2 2 5" xfId="233" xr:uid="{00000000-0005-0000-0000-0000E9000000}"/>
    <cellStyle name="Normal 2 2 5 2" xfId="234" xr:uid="{00000000-0005-0000-0000-0000EA000000}"/>
    <cellStyle name="Normal 2 2 6" xfId="235" xr:uid="{00000000-0005-0000-0000-0000EB000000}"/>
    <cellStyle name="Normal 2 2 6 2" xfId="236" xr:uid="{00000000-0005-0000-0000-0000EC000000}"/>
    <cellStyle name="Normal 2 2 7" xfId="237" xr:uid="{00000000-0005-0000-0000-0000ED000000}"/>
    <cellStyle name="Normal 2 2 7 2" xfId="238" xr:uid="{00000000-0005-0000-0000-0000EE000000}"/>
    <cellStyle name="Normal 2 2 8" xfId="239" xr:uid="{00000000-0005-0000-0000-0000EF000000}"/>
    <cellStyle name="Normal 2 2 8 2" xfId="240" xr:uid="{00000000-0005-0000-0000-0000F0000000}"/>
    <cellStyle name="Normal 2 2 9" xfId="241" xr:uid="{00000000-0005-0000-0000-0000F1000000}"/>
    <cellStyle name="Normal 2 2 9 2" xfId="242" xr:uid="{00000000-0005-0000-0000-0000F2000000}"/>
    <cellStyle name="Normal 2 3" xfId="243" xr:uid="{00000000-0005-0000-0000-0000F3000000}"/>
    <cellStyle name="Normal 2 3 10" xfId="244" xr:uid="{00000000-0005-0000-0000-0000F4000000}"/>
    <cellStyle name="Normal 2 3 11" xfId="245" xr:uid="{00000000-0005-0000-0000-0000F5000000}"/>
    <cellStyle name="Normal 2 3 12" xfId="246" xr:uid="{00000000-0005-0000-0000-0000F6000000}"/>
    <cellStyle name="Normal 2 3 13" xfId="247" xr:uid="{00000000-0005-0000-0000-0000F7000000}"/>
    <cellStyle name="Normal 2 3 14" xfId="248" xr:uid="{00000000-0005-0000-0000-0000F8000000}"/>
    <cellStyle name="Normal 2 3 15" xfId="249" xr:uid="{00000000-0005-0000-0000-0000F9000000}"/>
    <cellStyle name="Normal 2 3 2" xfId="250" xr:uid="{00000000-0005-0000-0000-0000FA000000}"/>
    <cellStyle name="Normal 2 3 2 2" xfId="251" xr:uid="{00000000-0005-0000-0000-0000FB000000}"/>
    <cellStyle name="Normal 2 3 2 2 2" xfId="252" xr:uid="{00000000-0005-0000-0000-0000FC000000}"/>
    <cellStyle name="Normal 2 3 2 2 3" xfId="253" xr:uid="{00000000-0005-0000-0000-0000FD000000}"/>
    <cellStyle name="Normal 2 3 2 3" xfId="254" xr:uid="{00000000-0005-0000-0000-0000FE000000}"/>
    <cellStyle name="Normal 2 3 2 4" xfId="255" xr:uid="{00000000-0005-0000-0000-0000FF000000}"/>
    <cellStyle name="Normal 2 3 2 5" xfId="256" xr:uid="{00000000-0005-0000-0000-000000010000}"/>
    <cellStyle name="Normal 2 3 3" xfId="257" xr:uid="{00000000-0005-0000-0000-000001010000}"/>
    <cellStyle name="Normal 2 3 3 2" xfId="258" xr:uid="{00000000-0005-0000-0000-000002010000}"/>
    <cellStyle name="Normal 2 3 3 3" xfId="259" xr:uid="{00000000-0005-0000-0000-000003010000}"/>
    <cellStyle name="Normal 2 3 4" xfId="260" xr:uid="{00000000-0005-0000-0000-000004010000}"/>
    <cellStyle name="Normal 2 3 5" xfId="261" xr:uid="{00000000-0005-0000-0000-000005010000}"/>
    <cellStyle name="Normal 2 3 6" xfId="262" xr:uid="{00000000-0005-0000-0000-000006010000}"/>
    <cellStyle name="Normal 2 3 7" xfId="263" xr:uid="{00000000-0005-0000-0000-000007010000}"/>
    <cellStyle name="Normal 2 3 8" xfId="264" xr:uid="{00000000-0005-0000-0000-000008010000}"/>
    <cellStyle name="Normal 2 3 9" xfId="265" xr:uid="{00000000-0005-0000-0000-000009010000}"/>
    <cellStyle name="Normal 2 4" xfId="266" xr:uid="{00000000-0005-0000-0000-00000A010000}"/>
    <cellStyle name="Normal 2 4 10" xfId="267" xr:uid="{00000000-0005-0000-0000-00000B010000}"/>
    <cellStyle name="Normal 2 4 11" xfId="268" xr:uid="{00000000-0005-0000-0000-00000C010000}"/>
    <cellStyle name="Normal 2 4 12" xfId="269" xr:uid="{00000000-0005-0000-0000-00000D010000}"/>
    <cellStyle name="Normal 2 4 12 2" xfId="270" xr:uid="{00000000-0005-0000-0000-00000E010000}"/>
    <cellStyle name="Normal 2 4 12 3" xfId="271" xr:uid="{00000000-0005-0000-0000-00000F010000}"/>
    <cellStyle name="Normal 2 4 13" xfId="272" xr:uid="{00000000-0005-0000-0000-000010010000}"/>
    <cellStyle name="Normal 2 4 13 2" xfId="273" xr:uid="{00000000-0005-0000-0000-000011010000}"/>
    <cellStyle name="Normal 2 4 13 3" xfId="274" xr:uid="{00000000-0005-0000-0000-000012010000}"/>
    <cellStyle name="Normal 2 4 2" xfId="275" xr:uid="{00000000-0005-0000-0000-000013010000}"/>
    <cellStyle name="Normal 2 4 2 2" xfId="276" xr:uid="{00000000-0005-0000-0000-000014010000}"/>
    <cellStyle name="Normal 2 4 2 2 2" xfId="277" xr:uid="{00000000-0005-0000-0000-000015010000}"/>
    <cellStyle name="Normal 2 4 2 2 3" xfId="278" xr:uid="{00000000-0005-0000-0000-000016010000}"/>
    <cellStyle name="Normal 2 4 2 3" xfId="279" xr:uid="{00000000-0005-0000-0000-000017010000}"/>
    <cellStyle name="Normal 2 4 2 4" xfId="280" xr:uid="{00000000-0005-0000-0000-000018010000}"/>
    <cellStyle name="Normal 2 4 2 5" xfId="281" xr:uid="{00000000-0005-0000-0000-000019010000}"/>
    <cellStyle name="Normal 2 4 3" xfId="282" xr:uid="{00000000-0005-0000-0000-00001A010000}"/>
    <cellStyle name="Normal 2 4 3 2" xfId="283" xr:uid="{00000000-0005-0000-0000-00001B010000}"/>
    <cellStyle name="Normal 2 4 3 3" xfId="284" xr:uid="{00000000-0005-0000-0000-00001C010000}"/>
    <cellStyle name="Normal 2 4 4" xfId="285" xr:uid="{00000000-0005-0000-0000-00001D010000}"/>
    <cellStyle name="Normal 2 4 5" xfId="286" xr:uid="{00000000-0005-0000-0000-00001E010000}"/>
    <cellStyle name="Normal 2 4 6" xfId="287" xr:uid="{00000000-0005-0000-0000-00001F010000}"/>
    <cellStyle name="Normal 2 4 7" xfId="288" xr:uid="{00000000-0005-0000-0000-000020010000}"/>
    <cellStyle name="Normal 2 4 8" xfId="289" xr:uid="{00000000-0005-0000-0000-000021010000}"/>
    <cellStyle name="Normal 2 4 9" xfId="290" xr:uid="{00000000-0005-0000-0000-000022010000}"/>
    <cellStyle name="Normal 2 5" xfId="291" xr:uid="{00000000-0005-0000-0000-000023010000}"/>
    <cellStyle name="Normal 2 5 10" xfId="292" xr:uid="{00000000-0005-0000-0000-000024010000}"/>
    <cellStyle name="Normal 2 5 11" xfId="293" xr:uid="{00000000-0005-0000-0000-000025010000}"/>
    <cellStyle name="Normal 2 5 12" xfId="294" xr:uid="{00000000-0005-0000-0000-000026010000}"/>
    <cellStyle name="Normal 2 5 12 2" xfId="295" xr:uid="{00000000-0005-0000-0000-000027010000}"/>
    <cellStyle name="Normal 2 5 12 3" xfId="296" xr:uid="{00000000-0005-0000-0000-000028010000}"/>
    <cellStyle name="Normal 2 5 2" xfId="297" xr:uid="{00000000-0005-0000-0000-000029010000}"/>
    <cellStyle name="Normal 2 5 2 2" xfId="298" xr:uid="{00000000-0005-0000-0000-00002A010000}"/>
    <cellStyle name="Normal 2 5 3" xfId="299" xr:uid="{00000000-0005-0000-0000-00002B010000}"/>
    <cellStyle name="Normal 2 5 3 2" xfId="300" xr:uid="{00000000-0005-0000-0000-00002C010000}"/>
    <cellStyle name="Normal 2 5 4" xfId="301" xr:uid="{00000000-0005-0000-0000-00002D010000}"/>
    <cellStyle name="Normal 2 5 5" xfId="302" xr:uid="{00000000-0005-0000-0000-00002E010000}"/>
    <cellStyle name="Normal 2 5 6" xfId="303" xr:uid="{00000000-0005-0000-0000-00002F010000}"/>
    <cellStyle name="Normal 2 5 7" xfId="304" xr:uid="{00000000-0005-0000-0000-000030010000}"/>
    <cellStyle name="Normal 2 5 8" xfId="305" xr:uid="{00000000-0005-0000-0000-000031010000}"/>
    <cellStyle name="Normal 2 5 9" xfId="306" xr:uid="{00000000-0005-0000-0000-000032010000}"/>
    <cellStyle name="Normal 2 6" xfId="307" xr:uid="{00000000-0005-0000-0000-000033010000}"/>
    <cellStyle name="Normal 2 6 10" xfId="308" xr:uid="{00000000-0005-0000-0000-000034010000}"/>
    <cellStyle name="Normal 2 6 11" xfId="309" xr:uid="{00000000-0005-0000-0000-000035010000}"/>
    <cellStyle name="Normal 2 6 12" xfId="310" xr:uid="{00000000-0005-0000-0000-000036010000}"/>
    <cellStyle name="Normal 2 6 2" xfId="311" xr:uid="{00000000-0005-0000-0000-000037010000}"/>
    <cellStyle name="Normal 2 6 2 2" xfId="312" xr:uid="{00000000-0005-0000-0000-000038010000}"/>
    <cellStyle name="Normal 2 6 3" xfId="313" xr:uid="{00000000-0005-0000-0000-000039010000}"/>
    <cellStyle name="Normal 2 6 3 2" xfId="314" xr:uid="{00000000-0005-0000-0000-00003A010000}"/>
    <cellStyle name="Normal 2 6 4" xfId="315" xr:uid="{00000000-0005-0000-0000-00003B010000}"/>
    <cellStyle name="Normal 2 6 5" xfId="316" xr:uid="{00000000-0005-0000-0000-00003C010000}"/>
    <cellStyle name="Normal 2 6 6" xfId="317" xr:uid="{00000000-0005-0000-0000-00003D010000}"/>
    <cellStyle name="Normal 2 6 7" xfId="318" xr:uid="{00000000-0005-0000-0000-00003E010000}"/>
    <cellStyle name="Normal 2 6 8" xfId="319" xr:uid="{00000000-0005-0000-0000-00003F010000}"/>
    <cellStyle name="Normal 2 6 9" xfId="320" xr:uid="{00000000-0005-0000-0000-000040010000}"/>
    <cellStyle name="Normal 2 7" xfId="321" xr:uid="{00000000-0005-0000-0000-000041010000}"/>
    <cellStyle name="Normal 2 7 10" xfId="322" xr:uid="{00000000-0005-0000-0000-000042010000}"/>
    <cellStyle name="Normal 2 7 11" xfId="323" xr:uid="{00000000-0005-0000-0000-000043010000}"/>
    <cellStyle name="Normal 2 7 2" xfId="324" xr:uid="{00000000-0005-0000-0000-000044010000}"/>
    <cellStyle name="Normal 2 7 2 2" xfId="325" xr:uid="{00000000-0005-0000-0000-000045010000}"/>
    <cellStyle name="Normal 2 7 2 3" xfId="326" xr:uid="{00000000-0005-0000-0000-000046010000}"/>
    <cellStyle name="Normal 2 7 3" xfId="327" xr:uid="{00000000-0005-0000-0000-000047010000}"/>
    <cellStyle name="Normal 2 7 3 2" xfId="328" xr:uid="{00000000-0005-0000-0000-000048010000}"/>
    <cellStyle name="Normal 2 7 4" xfId="329" xr:uid="{00000000-0005-0000-0000-000049010000}"/>
    <cellStyle name="Normal 2 7 4 2" xfId="330" xr:uid="{00000000-0005-0000-0000-00004A010000}"/>
    <cellStyle name="Normal 2 7 5" xfId="331" xr:uid="{00000000-0005-0000-0000-00004B010000}"/>
    <cellStyle name="Normal 2 7 5 2" xfId="332" xr:uid="{00000000-0005-0000-0000-00004C010000}"/>
    <cellStyle name="Normal 2 7 6" xfId="333" xr:uid="{00000000-0005-0000-0000-00004D010000}"/>
    <cellStyle name="Normal 2 7 6 2" xfId="334" xr:uid="{00000000-0005-0000-0000-00004E010000}"/>
    <cellStyle name="Normal 2 7 7" xfId="335" xr:uid="{00000000-0005-0000-0000-00004F010000}"/>
    <cellStyle name="Normal 2 7 7 2" xfId="336" xr:uid="{00000000-0005-0000-0000-000050010000}"/>
    <cellStyle name="Normal 2 7 8" xfId="337" xr:uid="{00000000-0005-0000-0000-000051010000}"/>
    <cellStyle name="Normal 2 7 8 2" xfId="338" xr:uid="{00000000-0005-0000-0000-000052010000}"/>
    <cellStyle name="Normal 2 7 9" xfId="339" xr:uid="{00000000-0005-0000-0000-000053010000}"/>
    <cellStyle name="Normal 2 8" xfId="340" xr:uid="{00000000-0005-0000-0000-000054010000}"/>
    <cellStyle name="Normal 2 8 10" xfId="341" xr:uid="{00000000-0005-0000-0000-000055010000}"/>
    <cellStyle name="Normal 2 8 11" xfId="342" xr:uid="{00000000-0005-0000-0000-000056010000}"/>
    <cellStyle name="Normal 2 8 2" xfId="343" xr:uid="{00000000-0005-0000-0000-000057010000}"/>
    <cellStyle name="Normal 2 8 2 2" xfId="344" xr:uid="{00000000-0005-0000-0000-000058010000}"/>
    <cellStyle name="Normal 2 8 3" xfId="345" xr:uid="{00000000-0005-0000-0000-000059010000}"/>
    <cellStyle name="Normal 2 8 3 2" xfId="346" xr:uid="{00000000-0005-0000-0000-00005A010000}"/>
    <cellStyle name="Normal 2 8 4" xfId="347" xr:uid="{00000000-0005-0000-0000-00005B010000}"/>
    <cellStyle name="Normal 2 8 4 2" xfId="348" xr:uid="{00000000-0005-0000-0000-00005C010000}"/>
    <cellStyle name="Normal 2 8 5" xfId="349" xr:uid="{00000000-0005-0000-0000-00005D010000}"/>
    <cellStyle name="Normal 2 8 5 2" xfId="350" xr:uid="{00000000-0005-0000-0000-00005E010000}"/>
    <cellStyle name="Normal 2 8 6" xfId="351" xr:uid="{00000000-0005-0000-0000-00005F010000}"/>
    <cellStyle name="Normal 2 8 6 2" xfId="352" xr:uid="{00000000-0005-0000-0000-000060010000}"/>
    <cellStyle name="Normal 2 8 7" xfId="353" xr:uid="{00000000-0005-0000-0000-000061010000}"/>
    <cellStyle name="Normal 2 8 7 2" xfId="354" xr:uid="{00000000-0005-0000-0000-000062010000}"/>
    <cellStyle name="Normal 2 8 8" xfId="355" xr:uid="{00000000-0005-0000-0000-000063010000}"/>
    <cellStyle name="Normal 2 8 8 2" xfId="356" xr:uid="{00000000-0005-0000-0000-000064010000}"/>
    <cellStyle name="Normal 2 8 9" xfId="357" xr:uid="{00000000-0005-0000-0000-000065010000}"/>
    <cellStyle name="Normal 2 9" xfId="358" xr:uid="{00000000-0005-0000-0000-000066010000}"/>
    <cellStyle name="Normal 2 9 10" xfId="359" xr:uid="{00000000-0005-0000-0000-000067010000}"/>
    <cellStyle name="Normal 2 9 11" xfId="360" xr:uid="{00000000-0005-0000-0000-000068010000}"/>
    <cellStyle name="Normal 2 9 2" xfId="361" xr:uid="{00000000-0005-0000-0000-000069010000}"/>
    <cellStyle name="Normal 2 9 2 2" xfId="362" xr:uid="{00000000-0005-0000-0000-00006A010000}"/>
    <cellStyle name="Normal 2 9 3" xfId="363" xr:uid="{00000000-0005-0000-0000-00006B010000}"/>
    <cellStyle name="Normal 2 9 3 2" xfId="364" xr:uid="{00000000-0005-0000-0000-00006C010000}"/>
    <cellStyle name="Normal 2 9 4" xfId="365" xr:uid="{00000000-0005-0000-0000-00006D010000}"/>
    <cellStyle name="Normal 2 9 4 2" xfId="366" xr:uid="{00000000-0005-0000-0000-00006E010000}"/>
    <cellStyle name="Normal 2 9 5" xfId="367" xr:uid="{00000000-0005-0000-0000-00006F010000}"/>
    <cellStyle name="Normal 2 9 5 2" xfId="368" xr:uid="{00000000-0005-0000-0000-000070010000}"/>
    <cellStyle name="Normal 2 9 6" xfId="369" xr:uid="{00000000-0005-0000-0000-000071010000}"/>
    <cellStyle name="Normal 2 9 6 2" xfId="370" xr:uid="{00000000-0005-0000-0000-000072010000}"/>
    <cellStyle name="Normal 2 9 7" xfId="371" xr:uid="{00000000-0005-0000-0000-000073010000}"/>
    <cellStyle name="Normal 2 9 7 2" xfId="372" xr:uid="{00000000-0005-0000-0000-000074010000}"/>
    <cellStyle name="Normal 2 9 8" xfId="373" xr:uid="{00000000-0005-0000-0000-000075010000}"/>
    <cellStyle name="Normal 2 9 8 2" xfId="374" xr:uid="{00000000-0005-0000-0000-000076010000}"/>
    <cellStyle name="Normal 2 9 9" xfId="375" xr:uid="{00000000-0005-0000-0000-000077010000}"/>
    <cellStyle name="Normal 20" xfId="376" xr:uid="{00000000-0005-0000-0000-000078010000}"/>
    <cellStyle name="Normal 20 2" xfId="377" xr:uid="{00000000-0005-0000-0000-000079010000}"/>
    <cellStyle name="Normal 20 3" xfId="378" xr:uid="{00000000-0005-0000-0000-00007A010000}"/>
    <cellStyle name="Normal 21" xfId="379" xr:uid="{00000000-0005-0000-0000-00007B010000}"/>
    <cellStyle name="Normal 21 2" xfId="380" xr:uid="{00000000-0005-0000-0000-00007C010000}"/>
    <cellStyle name="Normal 21 2 2" xfId="381" xr:uid="{00000000-0005-0000-0000-00007D010000}"/>
    <cellStyle name="Normal 21 2 3" xfId="382" xr:uid="{00000000-0005-0000-0000-00007E010000}"/>
    <cellStyle name="Normal 21 3" xfId="383" xr:uid="{00000000-0005-0000-0000-00007F010000}"/>
    <cellStyle name="Normal 21 4" xfId="384" xr:uid="{00000000-0005-0000-0000-000080010000}"/>
    <cellStyle name="Normal 21 5" xfId="385" xr:uid="{00000000-0005-0000-0000-000081010000}"/>
    <cellStyle name="Normal 22" xfId="386" xr:uid="{00000000-0005-0000-0000-000082010000}"/>
    <cellStyle name="Normal 22 2" xfId="387" xr:uid="{00000000-0005-0000-0000-000083010000}"/>
    <cellStyle name="Normal 22 3" xfId="388" xr:uid="{00000000-0005-0000-0000-000084010000}"/>
    <cellStyle name="Normal 23" xfId="389" xr:uid="{00000000-0005-0000-0000-000085010000}"/>
    <cellStyle name="Normal 23 2" xfId="390" xr:uid="{00000000-0005-0000-0000-000086010000}"/>
    <cellStyle name="Normal 23 3" xfId="391" xr:uid="{00000000-0005-0000-0000-000087010000}"/>
    <cellStyle name="Normal 24" xfId="392" xr:uid="{00000000-0005-0000-0000-000088010000}"/>
    <cellStyle name="Normal 24 2" xfId="393" xr:uid="{00000000-0005-0000-0000-000089010000}"/>
    <cellStyle name="Normal 24 3" xfId="394" xr:uid="{00000000-0005-0000-0000-00008A010000}"/>
    <cellStyle name="Normal 25" xfId="395" xr:uid="{00000000-0005-0000-0000-00008B010000}"/>
    <cellStyle name="Normal 25 2" xfId="396" xr:uid="{00000000-0005-0000-0000-00008C010000}"/>
    <cellStyle name="Normal 25 3" xfId="397" xr:uid="{00000000-0005-0000-0000-00008D010000}"/>
    <cellStyle name="Normal 26" xfId="398" xr:uid="{00000000-0005-0000-0000-00008E010000}"/>
    <cellStyle name="Normal 27" xfId="399" xr:uid="{00000000-0005-0000-0000-00008F010000}"/>
    <cellStyle name="Normal 27 2" xfId="400" xr:uid="{00000000-0005-0000-0000-000090010000}"/>
    <cellStyle name="Normal 28" xfId="401" xr:uid="{00000000-0005-0000-0000-000091010000}"/>
    <cellStyle name="Normal 29" xfId="402" xr:uid="{00000000-0005-0000-0000-000092010000}"/>
    <cellStyle name="Normal 3" xfId="403" xr:uid="{00000000-0005-0000-0000-000093010000}"/>
    <cellStyle name="Normal 3 10" xfId="404" xr:uid="{00000000-0005-0000-0000-000094010000}"/>
    <cellStyle name="Normal 3 10 2" xfId="405" xr:uid="{00000000-0005-0000-0000-000095010000}"/>
    <cellStyle name="Normal 3 11" xfId="406" xr:uid="{00000000-0005-0000-0000-000096010000}"/>
    <cellStyle name="Normal 3 12" xfId="407" xr:uid="{00000000-0005-0000-0000-000097010000}"/>
    <cellStyle name="Normal 3 13" xfId="408" xr:uid="{00000000-0005-0000-0000-000098010000}"/>
    <cellStyle name="Normal 3 14" xfId="409" xr:uid="{00000000-0005-0000-0000-000099010000}"/>
    <cellStyle name="Normal 3 15" xfId="410" xr:uid="{00000000-0005-0000-0000-00009A010000}"/>
    <cellStyle name="Normal 3 2" xfId="411" xr:uid="{00000000-0005-0000-0000-00009B010000}"/>
    <cellStyle name="Normal 3 2 2" xfId="412" xr:uid="{00000000-0005-0000-0000-00009C010000}"/>
    <cellStyle name="Normal 3 2 2 2" xfId="413" xr:uid="{00000000-0005-0000-0000-00009D010000}"/>
    <cellStyle name="Normal 3 2 2 3" xfId="414" xr:uid="{00000000-0005-0000-0000-00009E010000}"/>
    <cellStyle name="Normal 3 2 3" xfId="415" xr:uid="{00000000-0005-0000-0000-00009F010000}"/>
    <cellStyle name="Normal 3 2 4" xfId="416" xr:uid="{00000000-0005-0000-0000-0000A0010000}"/>
    <cellStyle name="Normal 3 2 5" xfId="417" xr:uid="{00000000-0005-0000-0000-0000A1010000}"/>
    <cellStyle name="Normal 3 3" xfId="418" xr:uid="{00000000-0005-0000-0000-0000A2010000}"/>
    <cellStyle name="Normal 3 3 2" xfId="419" xr:uid="{00000000-0005-0000-0000-0000A3010000}"/>
    <cellStyle name="Normal 3 3 2 2" xfId="420" xr:uid="{00000000-0005-0000-0000-0000A4010000}"/>
    <cellStyle name="Normal 3 3 2 3" xfId="421" xr:uid="{00000000-0005-0000-0000-0000A5010000}"/>
    <cellStyle name="Normal 3 3 3" xfId="422" xr:uid="{00000000-0005-0000-0000-0000A6010000}"/>
    <cellStyle name="Normal 3 3 4" xfId="423" xr:uid="{00000000-0005-0000-0000-0000A7010000}"/>
    <cellStyle name="Normal 3 4" xfId="424" xr:uid="{00000000-0005-0000-0000-0000A8010000}"/>
    <cellStyle name="Normal 3 5" xfId="425" xr:uid="{00000000-0005-0000-0000-0000A9010000}"/>
    <cellStyle name="Normal 3 6" xfId="426" xr:uid="{00000000-0005-0000-0000-0000AA010000}"/>
    <cellStyle name="Normal 3 7" xfId="427" xr:uid="{00000000-0005-0000-0000-0000AB010000}"/>
    <cellStyle name="Normal 3 7 2" xfId="428" xr:uid="{00000000-0005-0000-0000-0000AC010000}"/>
    <cellStyle name="Normal 3 7 3" xfId="429" xr:uid="{00000000-0005-0000-0000-0000AD010000}"/>
    <cellStyle name="Normal 3 8" xfId="430" xr:uid="{00000000-0005-0000-0000-0000AE010000}"/>
    <cellStyle name="Normal 3 8 2" xfId="431" xr:uid="{00000000-0005-0000-0000-0000AF010000}"/>
    <cellStyle name="Normal 3 8 3" xfId="432" xr:uid="{00000000-0005-0000-0000-0000B0010000}"/>
    <cellStyle name="Normal 3 9" xfId="433" xr:uid="{00000000-0005-0000-0000-0000B1010000}"/>
    <cellStyle name="Normal 3 9 2" xfId="434" xr:uid="{00000000-0005-0000-0000-0000B2010000}"/>
    <cellStyle name="Normal 3 9 3" xfId="435" xr:uid="{00000000-0005-0000-0000-0000B3010000}"/>
    <cellStyle name="Normal 4" xfId="436" xr:uid="{00000000-0005-0000-0000-0000B4010000}"/>
    <cellStyle name="Normal 4 10" xfId="437" xr:uid="{00000000-0005-0000-0000-0000B5010000}"/>
    <cellStyle name="Normal 4 11" xfId="438" xr:uid="{00000000-0005-0000-0000-0000B6010000}"/>
    <cellStyle name="Normal 4 12" xfId="439" xr:uid="{00000000-0005-0000-0000-0000B7010000}"/>
    <cellStyle name="Normal 4 13" xfId="440" xr:uid="{00000000-0005-0000-0000-0000B8010000}"/>
    <cellStyle name="Normal 4 2" xfId="441" xr:uid="{00000000-0005-0000-0000-0000B9010000}"/>
    <cellStyle name="Normal 4 2 2" xfId="442" xr:uid="{00000000-0005-0000-0000-0000BA010000}"/>
    <cellStyle name="Normal 4 2 2 2" xfId="443" xr:uid="{00000000-0005-0000-0000-0000BB010000}"/>
    <cellStyle name="Normal 4 2 2 3" xfId="444" xr:uid="{00000000-0005-0000-0000-0000BC010000}"/>
    <cellStyle name="Normal 4 2 2 3 2" xfId="445" xr:uid="{00000000-0005-0000-0000-0000BD010000}"/>
    <cellStyle name="Normal 4 2 2 3 3" xfId="446" xr:uid="{00000000-0005-0000-0000-0000BE010000}"/>
    <cellStyle name="Normal 4 2 3" xfId="447" xr:uid="{00000000-0005-0000-0000-0000BF010000}"/>
    <cellStyle name="Normal 4 2 4" xfId="448" xr:uid="{00000000-0005-0000-0000-0000C0010000}"/>
    <cellStyle name="Normal 4 2 5" xfId="449" xr:uid="{00000000-0005-0000-0000-0000C1010000}"/>
    <cellStyle name="Normal 4 3" xfId="450" xr:uid="{00000000-0005-0000-0000-0000C2010000}"/>
    <cellStyle name="Normal 4 3 2" xfId="451" xr:uid="{00000000-0005-0000-0000-0000C3010000}"/>
    <cellStyle name="Normal 4 3 3" xfId="452" xr:uid="{00000000-0005-0000-0000-0000C4010000}"/>
    <cellStyle name="Normal 4 4" xfId="453" xr:uid="{00000000-0005-0000-0000-0000C5010000}"/>
    <cellStyle name="Normal 4 5" xfId="454" xr:uid="{00000000-0005-0000-0000-0000C6010000}"/>
    <cellStyle name="Normal 4 5 2" xfId="455" xr:uid="{00000000-0005-0000-0000-0000C7010000}"/>
    <cellStyle name="Normal 4 5 3" xfId="456" xr:uid="{00000000-0005-0000-0000-0000C8010000}"/>
    <cellStyle name="Normal 4 6" xfId="457" xr:uid="{00000000-0005-0000-0000-0000C9010000}"/>
    <cellStyle name="Normal 4 6 2" xfId="458" xr:uid="{00000000-0005-0000-0000-0000CA010000}"/>
    <cellStyle name="Normal 4 6 3" xfId="459" xr:uid="{00000000-0005-0000-0000-0000CB010000}"/>
    <cellStyle name="Normal 4 7" xfId="460" xr:uid="{00000000-0005-0000-0000-0000CC010000}"/>
    <cellStyle name="Normal 4 8" xfId="461" xr:uid="{00000000-0005-0000-0000-0000CD010000}"/>
    <cellStyle name="Normal 4 9" xfId="462" xr:uid="{00000000-0005-0000-0000-0000CE010000}"/>
    <cellStyle name="Normal 5" xfId="463" xr:uid="{00000000-0005-0000-0000-0000CF010000}"/>
    <cellStyle name="Normal 5 2" xfId="464" xr:uid="{00000000-0005-0000-0000-0000D0010000}"/>
    <cellStyle name="Normal 5 3" xfId="465" xr:uid="{00000000-0005-0000-0000-0000D1010000}"/>
    <cellStyle name="Normal 5 3 2" xfId="466" xr:uid="{00000000-0005-0000-0000-0000D2010000}"/>
    <cellStyle name="Normal 5 3 3" xfId="467" xr:uid="{00000000-0005-0000-0000-0000D3010000}"/>
    <cellStyle name="Normal 5 4" xfId="468" xr:uid="{00000000-0005-0000-0000-0000D4010000}"/>
    <cellStyle name="Normal 5 5" xfId="469" xr:uid="{00000000-0005-0000-0000-0000D5010000}"/>
    <cellStyle name="Normal 5 5 2" xfId="470" xr:uid="{00000000-0005-0000-0000-0000D6010000}"/>
    <cellStyle name="Normal 5 5 3" xfId="471" xr:uid="{00000000-0005-0000-0000-0000D7010000}"/>
    <cellStyle name="Normal 5 6" xfId="472" xr:uid="{00000000-0005-0000-0000-0000D8010000}"/>
    <cellStyle name="Normal 6" xfId="473" xr:uid="{00000000-0005-0000-0000-0000D9010000}"/>
    <cellStyle name="Normal 6 2" xfId="474" xr:uid="{00000000-0005-0000-0000-0000DA010000}"/>
    <cellStyle name="Normal 6 3" xfId="475" xr:uid="{00000000-0005-0000-0000-0000DB010000}"/>
    <cellStyle name="Normal 6 4" xfId="476" xr:uid="{00000000-0005-0000-0000-0000DC010000}"/>
    <cellStyle name="Normal 6 5" xfId="477" xr:uid="{00000000-0005-0000-0000-0000DD010000}"/>
    <cellStyle name="Normal 7 2" xfId="478" xr:uid="{00000000-0005-0000-0000-0000DE010000}"/>
    <cellStyle name="Normal 7 2 2" xfId="479" xr:uid="{00000000-0005-0000-0000-0000DF010000}"/>
    <cellStyle name="Normal 7 2 2 2" xfId="480" xr:uid="{00000000-0005-0000-0000-0000E0010000}"/>
    <cellStyle name="Normal 7 2 2 3" xfId="481" xr:uid="{00000000-0005-0000-0000-0000E1010000}"/>
    <cellStyle name="Normal 7 2 3" xfId="482" xr:uid="{00000000-0005-0000-0000-0000E2010000}"/>
    <cellStyle name="Normal 7 2 4" xfId="483" xr:uid="{00000000-0005-0000-0000-0000E3010000}"/>
    <cellStyle name="Normal 7 2 4 2" xfId="484" xr:uid="{00000000-0005-0000-0000-0000E4010000}"/>
    <cellStyle name="Normal 7 2 4 3" xfId="485" xr:uid="{00000000-0005-0000-0000-0000E5010000}"/>
    <cellStyle name="Normal 7 2 5" xfId="486" xr:uid="{00000000-0005-0000-0000-0000E6010000}"/>
    <cellStyle name="Normal 7 3" xfId="487" xr:uid="{00000000-0005-0000-0000-0000E7010000}"/>
    <cellStyle name="Normal 7 4" xfId="488" xr:uid="{00000000-0005-0000-0000-0000E8010000}"/>
    <cellStyle name="Normal 7 4 2" xfId="489" xr:uid="{00000000-0005-0000-0000-0000E9010000}"/>
    <cellStyle name="Normal 7 4 3" xfId="490" xr:uid="{00000000-0005-0000-0000-0000EA010000}"/>
    <cellStyle name="Normal 7 5" xfId="491" xr:uid="{00000000-0005-0000-0000-0000EB010000}"/>
    <cellStyle name="Normal 7 5 2" xfId="492" xr:uid="{00000000-0005-0000-0000-0000EC010000}"/>
    <cellStyle name="Normal 7 5 3" xfId="493" xr:uid="{00000000-0005-0000-0000-0000ED010000}"/>
    <cellStyle name="Normal 7 5 4" xfId="494" xr:uid="{00000000-0005-0000-0000-0000EE010000}"/>
    <cellStyle name="Normal 7 5 5" xfId="495" xr:uid="{00000000-0005-0000-0000-0000EF010000}"/>
    <cellStyle name="Normal 7 6" xfId="496" xr:uid="{00000000-0005-0000-0000-0000F0010000}"/>
    <cellStyle name="Normal 7 7" xfId="497" xr:uid="{00000000-0005-0000-0000-0000F1010000}"/>
    <cellStyle name="Normal 8" xfId="498" xr:uid="{00000000-0005-0000-0000-0000F2010000}"/>
    <cellStyle name="Normal 8 2" xfId="499" xr:uid="{00000000-0005-0000-0000-0000F3010000}"/>
    <cellStyle name="Normal 8 3" xfId="500" xr:uid="{00000000-0005-0000-0000-0000F4010000}"/>
    <cellStyle name="Normal 9" xfId="501" xr:uid="{00000000-0005-0000-0000-0000F5010000}"/>
    <cellStyle name="Normal 9 2" xfId="502" xr:uid="{00000000-0005-0000-0000-0000F6010000}"/>
    <cellStyle name="Normal 9 2 2" xfId="503" xr:uid="{00000000-0005-0000-0000-0000F7010000}"/>
    <cellStyle name="Normal 9 2 3" xfId="504" xr:uid="{00000000-0005-0000-0000-0000F8010000}"/>
    <cellStyle name="Normal 9 3" xfId="505" xr:uid="{00000000-0005-0000-0000-0000F9010000}"/>
    <cellStyle name="Normal 9 4" xfId="506" xr:uid="{00000000-0005-0000-0000-0000FA010000}"/>
    <cellStyle name="Normal 9 5" xfId="507" xr:uid="{00000000-0005-0000-0000-0000FB010000}"/>
    <cellStyle name="Normal 9 5 2" xfId="508" xr:uid="{00000000-0005-0000-0000-0000FC010000}"/>
    <cellStyle name="Normal 9 5 3" xfId="509" xr:uid="{00000000-0005-0000-0000-0000FD010000}"/>
    <cellStyle name="Normal 9 6" xfId="510" xr:uid="{00000000-0005-0000-0000-0000FE010000}"/>
    <cellStyle name="Normal 9 6 2" xfId="511" xr:uid="{00000000-0005-0000-0000-0000FF010000}"/>
    <cellStyle name="Normal 9 6 3" xfId="512" xr:uid="{00000000-0005-0000-0000-000000020000}"/>
    <cellStyle name="Normal_debt" xfId="513" xr:uid="{00000000-0005-0000-0000-000001020000}"/>
    <cellStyle name="Normal_lpform" xfId="514" xr:uid="{00000000-0005-0000-0000-000002020000}"/>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800100</xdr:colOff>
      <xdr:row>37</xdr:row>
      <xdr:rowOff>142875</xdr:rowOff>
    </xdr:to>
    <xdr:pic>
      <xdr:nvPicPr>
        <xdr:cNvPr id="2" name="Picture 1">
          <a:extLst>
            <a:ext uri="{FF2B5EF4-FFF2-40B4-BE49-F238E27FC236}">
              <a16:creationId xmlns:a16="http://schemas.microsoft.com/office/drawing/2014/main" id="{912029E9-323C-4B08-B4FB-E4A89BD09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29300" cy="754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800100</xdr:colOff>
      <xdr:row>37</xdr:row>
      <xdr:rowOff>142875</xdr:rowOff>
    </xdr:to>
    <xdr:pic>
      <xdr:nvPicPr>
        <xdr:cNvPr id="2" name="Picture 1">
          <a:extLst>
            <a:ext uri="{FF2B5EF4-FFF2-40B4-BE49-F238E27FC236}">
              <a16:creationId xmlns:a16="http://schemas.microsoft.com/office/drawing/2014/main" id="{7E762F14-C546-4B95-BD6F-F1EBF8E1F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29300" cy="754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800100</xdr:colOff>
      <xdr:row>37</xdr:row>
      <xdr:rowOff>142875</xdr:rowOff>
    </xdr:to>
    <xdr:pic>
      <xdr:nvPicPr>
        <xdr:cNvPr id="2" name="Picture 1">
          <a:extLst>
            <a:ext uri="{FF2B5EF4-FFF2-40B4-BE49-F238E27FC236}">
              <a16:creationId xmlns:a16="http://schemas.microsoft.com/office/drawing/2014/main" id="{72D5DFD2-6891-4295-A60E-B1E3131AE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29300" cy="754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800100</xdr:colOff>
      <xdr:row>37</xdr:row>
      <xdr:rowOff>142875</xdr:rowOff>
    </xdr:to>
    <xdr:pic>
      <xdr:nvPicPr>
        <xdr:cNvPr id="2" name="Picture 1">
          <a:extLst>
            <a:ext uri="{FF2B5EF4-FFF2-40B4-BE49-F238E27FC236}">
              <a16:creationId xmlns:a16="http://schemas.microsoft.com/office/drawing/2014/main" id="{44EA9CA6-7588-4143-8F76-FA65CE74DD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29300" cy="754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megan.schulz@ks.gov"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rkough@st-tel.net"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1"/>
  <sheetViews>
    <sheetView topLeftCell="A34" zoomScaleNormal="100" workbookViewId="0">
      <selection activeCell="M28" sqref="M28"/>
    </sheetView>
  </sheetViews>
  <sheetFormatPr defaultColWidth="8.796875" defaultRowHeight="15.75" x14ac:dyDescent="0.25"/>
  <cols>
    <col min="1" max="1" width="81.59765625" style="68" customWidth="1"/>
    <col min="2" max="16384" width="8.796875" style="68"/>
  </cols>
  <sheetData>
    <row r="1" spans="1:1" x14ac:dyDescent="0.25">
      <c r="A1" s="295" t="s">
        <v>801</v>
      </c>
    </row>
    <row r="3" spans="1:1" ht="34.5" customHeight="1" x14ac:dyDescent="0.25">
      <c r="A3" s="673" t="s">
        <v>978</v>
      </c>
    </row>
    <row r="4" spans="1:1" x14ac:dyDescent="0.25">
      <c r="A4" s="297"/>
    </row>
    <row r="5" spans="1:1" ht="52.5" customHeight="1" x14ac:dyDescent="0.25">
      <c r="A5" s="294" t="s">
        <v>262</v>
      </c>
    </row>
    <row r="6" spans="1:1" x14ac:dyDescent="0.25">
      <c r="A6" s="294"/>
    </row>
    <row r="7" spans="1:1" ht="34.5" customHeight="1" x14ac:dyDescent="0.25">
      <c r="A7" s="294" t="s">
        <v>727</v>
      </c>
    </row>
    <row r="8" spans="1:1" x14ac:dyDescent="0.25">
      <c r="A8" s="294"/>
    </row>
    <row r="9" spans="1:1" x14ac:dyDescent="0.25">
      <c r="A9" s="294" t="s">
        <v>144</v>
      </c>
    </row>
    <row r="12" spans="1:1" x14ac:dyDescent="0.25">
      <c r="A12" s="295" t="s">
        <v>185</v>
      </c>
    </row>
    <row r="13" spans="1:1" x14ac:dyDescent="0.25">
      <c r="A13" s="295"/>
    </row>
    <row r="14" spans="1:1" ht="18.75" customHeight="1" x14ac:dyDescent="0.25">
      <c r="A14" s="297" t="s">
        <v>187</v>
      </c>
    </row>
    <row r="16" spans="1:1" ht="39" customHeight="1" x14ac:dyDescent="0.25">
      <c r="A16" s="298" t="s">
        <v>289</v>
      </c>
    </row>
    <row r="17" spans="1:1" ht="9.75" customHeight="1" x14ac:dyDescent="0.25">
      <c r="A17" s="298"/>
    </row>
    <row r="20" spans="1:1" x14ac:dyDescent="0.25">
      <c r="A20" s="295" t="s">
        <v>145</v>
      </c>
    </row>
    <row r="22" spans="1:1" ht="34.5" customHeight="1" x14ac:dyDescent="0.25">
      <c r="A22" s="294" t="s">
        <v>188</v>
      </c>
    </row>
    <row r="23" spans="1:1" ht="9.75" customHeight="1" x14ac:dyDescent="0.25">
      <c r="A23" s="294"/>
    </row>
    <row r="24" spans="1:1" x14ac:dyDescent="0.25">
      <c r="A24" s="299" t="s">
        <v>146</v>
      </c>
    </row>
    <row r="25" spans="1:1" x14ac:dyDescent="0.25">
      <c r="A25" s="294"/>
    </row>
    <row r="26" spans="1:1" ht="17.25" customHeight="1" x14ac:dyDescent="0.25">
      <c r="A26" s="300" t="s">
        <v>147</v>
      </c>
    </row>
    <row r="27" spans="1:1" ht="17.25" customHeight="1" x14ac:dyDescent="0.25">
      <c r="A27" s="301"/>
    </row>
    <row r="28" spans="1:1" ht="87.75" customHeight="1" x14ac:dyDescent="0.25">
      <c r="A28" s="302" t="s">
        <v>166</v>
      </c>
    </row>
    <row r="30" spans="1:1" x14ac:dyDescent="0.25">
      <c r="A30" s="303" t="s">
        <v>148</v>
      </c>
    </row>
    <row r="32" spans="1:1" x14ac:dyDescent="0.25">
      <c r="A32" s="108" t="s">
        <v>186</v>
      </c>
    </row>
    <row r="34" spans="1:1" x14ac:dyDescent="0.25">
      <c r="A34" s="294" t="s">
        <v>149</v>
      </c>
    </row>
    <row r="37" spans="1:1" x14ac:dyDescent="0.25">
      <c r="A37" s="295" t="s">
        <v>150</v>
      </c>
    </row>
    <row r="39" spans="1:1" ht="68.25" customHeight="1" x14ac:dyDescent="0.25">
      <c r="A39" s="294" t="s">
        <v>768</v>
      </c>
    </row>
    <row r="40" spans="1:1" ht="32.25" customHeight="1" x14ac:dyDescent="0.25">
      <c r="A40" s="663" t="s">
        <v>728</v>
      </c>
    </row>
    <row r="41" spans="1:1" ht="51.75" customHeight="1" x14ac:dyDescent="0.25">
      <c r="A41" s="664" t="s">
        <v>729</v>
      </c>
    </row>
    <row r="42" spans="1:1" ht="88.5" customHeight="1" x14ac:dyDescent="0.25">
      <c r="A42" s="664" t="s">
        <v>731</v>
      </c>
    </row>
    <row r="43" spans="1:1" ht="10.5" customHeight="1" x14ac:dyDescent="0.25">
      <c r="A43" s="294"/>
    </row>
    <row r="44" spans="1:1" ht="65.25" customHeight="1" x14ac:dyDescent="0.25">
      <c r="A44" s="294" t="s">
        <v>631</v>
      </c>
    </row>
    <row r="45" spans="1:1" ht="59.25" customHeight="1" x14ac:dyDescent="0.25">
      <c r="A45" s="294" t="s">
        <v>151</v>
      </c>
    </row>
    <row r="46" spans="1:1" ht="84.75" customHeight="1" x14ac:dyDescent="0.25">
      <c r="A46" s="294" t="s">
        <v>222</v>
      </c>
    </row>
    <row r="47" spans="1:1" ht="12" customHeight="1" x14ac:dyDescent="0.25">
      <c r="A47" s="294"/>
    </row>
    <row r="48" spans="1:1" ht="67.5" customHeight="1" x14ac:dyDescent="0.25">
      <c r="A48" s="665" t="s">
        <v>732</v>
      </c>
    </row>
    <row r="49" spans="1:1" ht="69.95" customHeight="1" x14ac:dyDescent="0.25">
      <c r="A49" s="322" t="s">
        <v>517</v>
      </c>
    </row>
    <row r="50" spans="1:1" ht="54" customHeight="1" x14ac:dyDescent="0.25">
      <c r="A50" s="666" t="s">
        <v>733</v>
      </c>
    </row>
    <row r="51" spans="1:1" ht="12" customHeight="1" x14ac:dyDescent="0.25">
      <c r="A51" s="294"/>
    </row>
    <row r="52" spans="1:1" ht="68.25" customHeight="1" x14ac:dyDescent="0.25">
      <c r="A52" s="294" t="s">
        <v>518</v>
      </c>
    </row>
    <row r="53" spans="1:1" ht="74.25" customHeight="1" x14ac:dyDescent="0.25">
      <c r="A53" s="663" t="s">
        <v>772</v>
      </c>
    </row>
    <row r="54" spans="1:1" ht="45" customHeight="1" x14ac:dyDescent="0.25">
      <c r="A54" s="294" t="s">
        <v>734</v>
      </c>
    </row>
    <row r="55" spans="1:1" ht="72" customHeight="1" x14ac:dyDescent="0.25">
      <c r="A55" s="663" t="s">
        <v>790</v>
      </c>
    </row>
    <row r="56" spans="1:1" ht="15.75" customHeight="1" x14ac:dyDescent="0.25"/>
    <row r="57" spans="1:1" ht="60" customHeight="1" x14ac:dyDescent="0.25">
      <c r="A57" s="663" t="s">
        <v>773</v>
      </c>
    </row>
    <row r="58" spans="1:1" ht="120" customHeight="1" x14ac:dyDescent="0.25">
      <c r="A58" s="663" t="s">
        <v>775</v>
      </c>
    </row>
    <row r="59" spans="1:1" ht="41.25" customHeight="1" x14ac:dyDescent="0.25">
      <c r="A59" s="663" t="s">
        <v>774</v>
      </c>
    </row>
    <row r="60" spans="1:1" x14ac:dyDescent="0.25">
      <c r="A60" s="294"/>
    </row>
    <row r="61" spans="1:1" ht="68.25" customHeight="1" x14ac:dyDescent="0.25">
      <c r="A61" s="663" t="s">
        <v>735</v>
      </c>
    </row>
    <row r="62" spans="1:1" x14ac:dyDescent="0.25">
      <c r="A62" s="294"/>
    </row>
    <row r="63" spans="1:1" ht="40.5" customHeight="1" x14ac:dyDescent="0.25">
      <c r="A63" s="294" t="s">
        <v>519</v>
      </c>
    </row>
    <row r="64" spans="1:1" ht="34.5" customHeight="1" x14ac:dyDescent="0.25">
      <c r="A64" s="294" t="s">
        <v>526</v>
      </c>
    </row>
    <row r="65" spans="1:1" ht="77.25" customHeight="1" x14ac:dyDescent="0.25">
      <c r="A65" s="294" t="s">
        <v>527</v>
      </c>
    </row>
    <row r="66" spans="1:1" ht="41.25" customHeight="1" x14ac:dyDescent="0.25">
      <c r="A66" s="294" t="s">
        <v>524</v>
      </c>
    </row>
    <row r="67" spans="1:1" ht="41.25" customHeight="1" x14ac:dyDescent="0.25">
      <c r="A67" s="294" t="s">
        <v>525</v>
      </c>
    </row>
    <row r="68" spans="1:1" ht="9" customHeight="1" x14ac:dyDescent="0.25">
      <c r="A68" s="294"/>
    </row>
    <row r="69" spans="1:1" ht="58.5" customHeight="1" x14ac:dyDescent="0.25">
      <c r="A69" s="294" t="s">
        <v>520</v>
      </c>
    </row>
    <row r="70" spans="1:1" ht="9.75" customHeight="1" x14ac:dyDescent="0.25"/>
    <row r="71" spans="1:1" s="294" customFormat="1" ht="69" customHeight="1" x14ac:dyDescent="0.25">
      <c r="A71" s="294" t="s">
        <v>521</v>
      </c>
    </row>
    <row r="72" spans="1:1" ht="14.25" customHeight="1" x14ac:dyDescent="0.25"/>
    <row r="73" spans="1:1" ht="121.5" customHeight="1" x14ac:dyDescent="0.25">
      <c r="A73" s="663" t="s">
        <v>736</v>
      </c>
    </row>
    <row r="74" spans="1:1" ht="12" customHeight="1" x14ac:dyDescent="0.25">
      <c r="A74" s="663"/>
    </row>
    <row r="75" spans="1:1" ht="70.5" customHeight="1" x14ac:dyDescent="0.25">
      <c r="A75" s="294" t="s">
        <v>737</v>
      </c>
    </row>
    <row r="76" spans="1:1" ht="60.75" customHeight="1" x14ac:dyDescent="0.25">
      <c r="A76" s="663" t="s">
        <v>738</v>
      </c>
    </row>
    <row r="77" spans="1:1" ht="90.75" customHeight="1" x14ac:dyDescent="0.25">
      <c r="A77" s="481" t="s">
        <v>739</v>
      </c>
    </row>
    <row r="78" spans="1:1" ht="60.75" customHeight="1" x14ac:dyDescent="0.25">
      <c r="A78" s="481" t="s">
        <v>740</v>
      </c>
    </row>
    <row r="79" spans="1:1" ht="60.75" customHeight="1" x14ac:dyDescent="0.25">
      <c r="A79" s="481" t="s">
        <v>741</v>
      </c>
    </row>
    <row r="80" spans="1:1" ht="60" customHeight="1" x14ac:dyDescent="0.25">
      <c r="A80" s="294" t="s">
        <v>744</v>
      </c>
    </row>
    <row r="81" spans="1:1" ht="117.75" customHeight="1" x14ac:dyDescent="0.25">
      <c r="A81" s="294" t="s">
        <v>742</v>
      </c>
    </row>
    <row r="82" spans="1:1" ht="59.25" customHeight="1" x14ac:dyDescent="0.25">
      <c r="A82" s="294" t="s">
        <v>743</v>
      </c>
    </row>
    <row r="83" spans="1:1" ht="84.75" customHeight="1" x14ac:dyDescent="0.25">
      <c r="A83" s="294" t="s">
        <v>745</v>
      </c>
    </row>
    <row r="84" spans="1:1" ht="102.75" customHeight="1" x14ac:dyDescent="0.25">
      <c r="A84" s="294" t="s">
        <v>746</v>
      </c>
    </row>
    <row r="85" spans="1:1" ht="102.75" customHeight="1" x14ac:dyDescent="0.25">
      <c r="A85" s="304" t="s">
        <v>747</v>
      </c>
    </row>
    <row r="86" spans="1:1" ht="54" customHeight="1" x14ac:dyDescent="0.25">
      <c r="A86" s="296" t="s">
        <v>748</v>
      </c>
    </row>
    <row r="87" spans="1:1" ht="115.5" customHeight="1" x14ac:dyDescent="0.25">
      <c r="A87" s="294" t="s">
        <v>769</v>
      </c>
    </row>
    <row r="88" spans="1:1" ht="78" customHeight="1" x14ac:dyDescent="0.25">
      <c r="A88" s="304" t="s">
        <v>749</v>
      </c>
    </row>
    <row r="89" spans="1:1" ht="124.5" customHeight="1" x14ac:dyDescent="0.25">
      <c r="A89" s="304" t="s">
        <v>770</v>
      </c>
    </row>
    <row r="90" spans="1:1" ht="138" customHeight="1" x14ac:dyDescent="0.25">
      <c r="A90" s="294" t="s">
        <v>750</v>
      </c>
    </row>
    <row r="91" spans="1:1" ht="147" customHeight="1" x14ac:dyDescent="0.25">
      <c r="A91" s="294" t="s">
        <v>751</v>
      </c>
    </row>
    <row r="92" spans="1:1" ht="101.25" customHeight="1" x14ac:dyDescent="0.25">
      <c r="A92" s="294" t="s">
        <v>752</v>
      </c>
    </row>
    <row r="94" spans="1:1" ht="102.75" customHeight="1" x14ac:dyDescent="0.25">
      <c r="A94" s="294" t="s">
        <v>753</v>
      </c>
    </row>
    <row r="95" spans="1:1" ht="89.25" customHeight="1" x14ac:dyDescent="0.25">
      <c r="A95" s="304" t="s">
        <v>754</v>
      </c>
    </row>
    <row r="96" spans="1:1" ht="57" customHeight="1" x14ac:dyDescent="0.25">
      <c r="A96" s="304" t="s">
        <v>755</v>
      </c>
    </row>
    <row r="97" spans="1:1" ht="20.25" customHeight="1" x14ac:dyDescent="0.25">
      <c r="A97" s="294" t="s">
        <v>756</v>
      </c>
    </row>
    <row r="99" spans="1:1" ht="53.25" customHeight="1" x14ac:dyDescent="0.25">
      <c r="A99" s="294" t="s">
        <v>757</v>
      </c>
    </row>
    <row r="100" spans="1:1" ht="21" customHeight="1" x14ac:dyDescent="0.25">
      <c r="A100" s="294" t="s">
        <v>758</v>
      </c>
    </row>
    <row r="101" spans="1:1" ht="39.75" customHeight="1" x14ac:dyDescent="0.25">
      <c r="A101" s="481" t="s">
        <v>759</v>
      </c>
    </row>
    <row r="102" spans="1:1" ht="103.5" customHeight="1" x14ac:dyDescent="0.25">
      <c r="A102" s="481" t="s">
        <v>760</v>
      </c>
    </row>
    <row r="103" spans="1:1" ht="114" customHeight="1" x14ac:dyDescent="0.25">
      <c r="A103" s="481" t="s">
        <v>761</v>
      </c>
    </row>
    <row r="104" spans="1:1" ht="74.25" customHeight="1" x14ac:dyDescent="0.25">
      <c r="A104" s="667" t="s">
        <v>763</v>
      </c>
    </row>
    <row r="105" spans="1:1" ht="51.75" customHeight="1" x14ac:dyDescent="0.25">
      <c r="A105" s="294" t="s">
        <v>762</v>
      </c>
    </row>
    <row r="106" spans="1:1" ht="14.25" customHeight="1" x14ac:dyDescent="0.25"/>
    <row r="107" spans="1:1" ht="69.75" customHeight="1" x14ac:dyDescent="0.25">
      <c r="A107" s="294" t="s">
        <v>764</v>
      </c>
    </row>
    <row r="109" spans="1:1" ht="54" customHeight="1" x14ac:dyDescent="0.25">
      <c r="A109" s="481" t="s">
        <v>765</v>
      </c>
    </row>
    <row r="110" spans="1:1" ht="85.5" customHeight="1" x14ac:dyDescent="0.25">
      <c r="A110" s="481" t="s">
        <v>766</v>
      </c>
    </row>
    <row r="111" spans="1:1" ht="99" customHeight="1" x14ac:dyDescent="0.25">
      <c r="A111" s="481" t="s">
        <v>767</v>
      </c>
    </row>
  </sheetData>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F32"/>
  <sheetViews>
    <sheetView workbookViewId="0">
      <selection activeCell="K9" sqref="K9"/>
    </sheetView>
  </sheetViews>
  <sheetFormatPr defaultColWidth="8.796875" defaultRowHeight="15.75" x14ac:dyDescent="0.25"/>
  <cols>
    <col min="1" max="2" width="16" style="5" customWidth="1"/>
    <col min="3" max="6" width="11.5" style="5" customWidth="1"/>
    <col min="7" max="16384" width="8.796875" style="5"/>
  </cols>
  <sheetData>
    <row r="1" spans="1:6" x14ac:dyDescent="0.25">
      <c r="A1" s="2"/>
      <c r="B1" s="3"/>
      <c r="C1" s="3"/>
      <c r="D1" s="3"/>
      <c r="E1" s="41"/>
      <c r="F1" s="3">
        <f>inputPrYr!D6</f>
        <v>2020</v>
      </c>
    </row>
    <row r="2" spans="1:6" x14ac:dyDescent="0.25">
      <c r="A2" s="75" t="str">
        <f>inputPrYr!D3</f>
        <v>ROVOHL TOWNSHIP</v>
      </c>
      <c r="B2" s="75"/>
      <c r="C2" s="3"/>
      <c r="D2" s="3"/>
      <c r="E2" s="41"/>
      <c r="F2" s="3"/>
    </row>
    <row r="3" spans="1:6" x14ac:dyDescent="0.25">
      <c r="A3" s="2"/>
      <c r="B3" s="75"/>
      <c r="C3" s="3"/>
      <c r="D3" s="3"/>
      <c r="E3" s="41"/>
      <c r="F3" s="3"/>
    </row>
    <row r="4" spans="1:6" x14ac:dyDescent="0.25">
      <c r="A4" s="2"/>
      <c r="B4" s="3"/>
      <c r="C4" s="3"/>
      <c r="D4" s="3"/>
      <c r="E4" s="41"/>
      <c r="F4" s="3"/>
    </row>
    <row r="5" spans="1:6" ht="15" customHeight="1" x14ac:dyDescent="0.25">
      <c r="A5" s="863" t="s">
        <v>135</v>
      </c>
      <c r="B5" s="863"/>
      <c r="C5" s="863"/>
      <c r="D5" s="863"/>
      <c r="E5" s="863"/>
      <c r="F5" s="863"/>
    </row>
    <row r="6" spans="1:6" ht="14.25" customHeight="1" x14ac:dyDescent="0.25">
      <c r="A6" s="112"/>
      <c r="B6" s="200"/>
      <c r="C6" s="200"/>
      <c r="D6" s="200"/>
      <c r="E6" s="200"/>
      <c r="F6" s="200"/>
    </row>
    <row r="7" spans="1:6" ht="15" customHeight="1" x14ac:dyDescent="0.25">
      <c r="A7" s="201" t="s">
        <v>243</v>
      </c>
      <c r="B7" s="201" t="s">
        <v>529</v>
      </c>
      <c r="C7" s="202" t="s">
        <v>28</v>
      </c>
      <c r="D7" s="202" t="s">
        <v>136</v>
      </c>
      <c r="E7" s="201" t="s">
        <v>137</v>
      </c>
      <c r="F7" s="201" t="s">
        <v>138</v>
      </c>
    </row>
    <row r="8" spans="1:6" ht="15" customHeight="1" x14ac:dyDescent="0.25">
      <c r="A8" s="203" t="s">
        <v>530</v>
      </c>
      <c r="B8" s="203" t="s">
        <v>531</v>
      </c>
      <c r="C8" s="204" t="s">
        <v>139</v>
      </c>
      <c r="D8" s="204" t="s">
        <v>139</v>
      </c>
      <c r="E8" s="204" t="s">
        <v>139</v>
      </c>
      <c r="F8" s="204" t="s">
        <v>140</v>
      </c>
    </row>
    <row r="9" spans="1:6" s="207" customFormat="1" ht="15" customHeight="1" thickBot="1" x14ac:dyDescent="0.3">
      <c r="A9" s="205" t="s">
        <v>141</v>
      </c>
      <c r="B9" s="206" t="s">
        <v>142</v>
      </c>
      <c r="C9" s="206">
        <f>F1-2</f>
        <v>2018</v>
      </c>
      <c r="D9" s="206">
        <f>F1-1</f>
        <v>2019</v>
      </c>
      <c r="E9" s="206">
        <f>F1</f>
        <v>2020</v>
      </c>
      <c r="F9" s="206" t="s">
        <v>230</v>
      </c>
    </row>
    <row r="10" spans="1:6" ht="15" customHeight="1" thickTop="1" x14ac:dyDescent="0.25">
      <c r="A10" s="208"/>
      <c r="B10" s="208"/>
      <c r="C10" s="209"/>
      <c r="D10" s="209"/>
      <c r="E10" s="209"/>
      <c r="F10" s="208"/>
    </row>
    <row r="11" spans="1:6" ht="15" customHeight="1" x14ac:dyDescent="0.25">
      <c r="A11" s="61" t="s">
        <v>209</v>
      </c>
      <c r="B11" s="61" t="s">
        <v>247</v>
      </c>
      <c r="C11" s="210">
        <f>gen!$C$44</f>
        <v>0</v>
      </c>
      <c r="D11" s="210">
        <f>gen!$D$44</f>
        <v>0</v>
      </c>
      <c r="E11" s="210">
        <f>gen!$E$44</f>
        <v>0</v>
      </c>
      <c r="F11" s="61" t="str">
        <f>IF(C11+D11+E11&gt;0,"80-1406b","")</f>
        <v/>
      </c>
    </row>
    <row r="12" spans="1:6" ht="15" customHeight="1" x14ac:dyDescent="0.25">
      <c r="A12" s="61" t="s">
        <v>209</v>
      </c>
      <c r="B12" s="61" t="s">
        <v>247</v>
      </c>
      <c r="C12" s="210">
        <f>gen!$C$46</f>
        <v>24000</v>
      </c>
      <c r="D12" s="210">
        <f>gen!$D$46</f>
        <v>30000</v>
      </c>
      <c r="E12" s="210">
        <f>gen!$E$46</f>
        <v>30000</v>
      </c>
      <c r="F12" s="61" t="str">
        <f>IF(C12+D12+E12&gt;0,"80-122","")</f>
        <v>80-122</v>
      </c>
    </row>
    <row r="13" spans="1:6" ht="15" customHeight="1" x14ac:dyDescent="0.25">
      <c r="A13" s="61" t="s">
        <v>234</v>
      </c>
      <c r="B13" s="61" t="s">
        <v>247</v>
      </c>
      <c r="C13" s="210">
        <f>road!$C$39</f>
        <v>0</v>
      </c>
      <c r="D13" s="210">
        <f>road!$D$39</f>
        <v>0</v>
      </c>
      <c r="E13" s="210">
        <f>road!$E$39</f>
        <v>0</v>
      </c>
      <c r="F13" s="61" t="str">
        <f>IF(C13+D13+E13&gt;0,"68-141g","")</f>
        <v/>
      </c>
    </row>
    <row r="14" spans="1:6" ht="15" customHeight="1" x14ac:dyDescent="0.25">
      <c r="A14" s="211"/>
      <c r="B14" s="211"/>
      <c r="C14" s="212"/>
      <c r="D14" s="212"/>
      <c r="E14" s="212"/>
      <c r="F14" s="211"/>
    </row>
    <row r="15" spans="1:6" ht="15" customHeight="1" x14ac:dyDescent="0.25">
      <c r="A15" s="211"/>
      <c r="B15" s="211"/>
      <c r="C15" s="212"/>
      <c r="D15" s="212"/>
      <c r="E15" s="212"/>
      <c r="F15" s="211"/>
    </row>
    <row r="16" spans="1:6" ht="15" customHeight="1" x14ac:dyDescent="0.25">
      <c r="A16" s="211"/>
      <c r="B16" s="211"/>
      <c r="C16" s="212"/>
      <c r="D16" s="212"/>
      <c r="E16" s="212"/>
      <c r="F16" s="211"/>
    </row>
    <row r="17" spans="1:6" ht="15" customHeight="1" x14ac:dyDescent="0.25">
      <c r="A17" s="211"/>
      <c r="B17" s="211"/>
      <c r="C17" s="212"/>
      <c r="D17" s="212"/>
      <c r="E17" s="212"/>
      <c r="F17" s="211"/>
    </row>
    <row r="18" spans="1:6" ht="15" customHeight="1" x14ac:dyDescent="0.25">
      <c r="A18" s="211"/>
      <c r="B18" s="211"/>
      <c r="C18" s="212"/>
      <c r="D18" s="212"/>
      <c r="E18" s="212"/>
      <c r="F18" s="211"/>
    </row>
    <row r="19" spans="1:6" ht="15" customHeight="1" x14ac:dyDescent="0.25">
      <c r="A19" s="211"/>
      <c r="B19" s="213"/>
      <c r="C19" s="212"/>
      <c r="D19" s="212"/>
      <c r="E19" s="212"/>
      <c r="F19" s="211"/>
    </row>
    <row r="20" spans="1:6" ht="15" customHeight="1" x14ac:dyDescent="0.25">
      <c r="A20" s="211"/>
      <c r="B20" s="211"/>
      <c r="C20" s="212"/>
      <c r="D20" s="212"/>
      <c r="E20" s="212"/>
      <c r="F20" s="211"/>
    </row>
    <row r="21" spans="1:6" ht="15" customHeight="1" x14ac:dyDescent="0.25">
      <c r="A21" s="211"/>
      <c r="B21" s="211"/>
      <c r="C21" s="212"/>
      <c r="D21" s="212"/>
      <c r="E21" s="212"/>
      <c r="F21" s="211"/>
    </row>
    <row r="22" spans="1:6" ht="15" customHeight="1" x14ac:dyDescent="0.25">
      <c r="A22" s="211"/>
      <c r="B22" s="211"/>
      <c r="C22" s="212"/>
      <c r="D22" s="212"/>
      <c r="E22" s="212"/>
      <c r="F22" s="211"/>
    </row>
    <row r="23" spans="1:6" ht="15" customHeight="1" x14ac:dyDescent="0.25">
      <c r="A23" s="211"/>
      <c r="B23" s="211"/>
      <c r="C23" s="212"/>
      <c r="D23" s="212"/>
      <c r="E23" s="212"/>
      <c r="F23" s="211"/>
    </row>
    <row r="24" spans="1:6" ht="15" customHeight="1" x14ac:dyDescent="0.25">
      <c r="A24" s="211"/>
      <c r="B24" s="211"/>
      <c r="C24" s="212"/>
      <c r="D24" s="212"/>
      <c r="E24" s="212"/>
      <c r="F24" s="211"/>
    </row>
    <row r="25" spans="1:6" ht="15" customHeight="1" x14ac:dyDescent="0.25">
      <c r="A25" s="211"/>
      <c r="B25" s="211"/>
      <c r="C25" s="212"/>
      <c r="D25" s="212"/>
      <c r="E25" s="212"/>
      <c r="F25" s="211"/>
    </row>
    <row r="26" spans="1:6" ht="15" customHeight="1" x14ac:dyDescent="0.25">
      <c r="A26" s="211"/>
      <c r="B26" s="211"/>
      <c r="C26" s="212"/>
      <c r="D26" s="212"/>
      <c r="E26" s="212"/>
      <c r="F26" s="211"/>
    </row>
    <row r="27" spans="1:6" x14ac:dyDescent="0.25">
      <c r="A27" s="116"/>
      <c r="B27" s="214" t="s">
        <v>235</v>
      </c>
      <c r="C27" s="215">
        <f>SUM(C10:C26)</f>
        <v>24000</v>
      </c>
      <c r="D27" s="215">
        <f>SUM(D10:D26)</f>
        <v>30000</v>
      </c>
      <c r="E27" s="215">
        <f>SUM(E10:E26)</f>
        <v>30000</v>
      </c>
      <c r="F27" s="116"/>
    </row>
    <row r="28" spans="1:6" x14ac:dyDescent="0.25">
      <c r="A28" s="116"/>
      <c r="B28" s="214" t="s">
        <v>528</v>
      </c>
      <c r="C28" s="116"/>
      <c r="D28" s="211"/>
      <c r="E28" s="211"/>
      <c r="F28" s="116"/>
    </row>
    <row r="29" spans="1:6" x14ac:dyDescent="0.25">
      <c r="A29" s="116"/>
      <c r="B29" s="166" t="s">
        <v>143</v>
      </c>
      <c r="C29" s="216">
        <f>C27</f>
        <v>24000</v>
      </c>
      <c r="D29" s="216">
        <f>SUM(D27-D28)</f>
        <v>30000</v>
      </c>
      <c r="E29" s="216">
        <f>SUM(E27-E28)</f>
        <v>30000</v>
      </c>
      <c r="F29" s="116"/>
    </row>
    <row r="30" spans="1:6" x14ac:dyDescent="0.25">
      <c r="A30" s="116"/>
      <c r="B30" s="3"/>
      <c r="C30" s="3"/>
      <c r="D30" s="3"/>
      <c r="E30" s="3"/>
      <c r="F30" s="116"/>
    </row>
    <row r="31" spans="1:6" x14ac:dyDescent="0.25">
      <c r="A31" s="116"/>
      <c r="B31" s="3"/>
      <c r="C31" s="3"/>
      <c r="D31" s="3"/>
      <c r="E31" s="3"/>
      <c r="F31" s="116"/>
    </row>
    <row r="32" spans="1:6" x14ac:dyDescent="0.25">
      <c r="A32" s="331" t="s">
        <v>532</v>
      </c>
      <c r="B32" s="332" t="str">
        <f>CONCATENATE("Adjustments are required only if the transfer is being made in ",D9," and/or ",E9," from a non-budgeted fund.")</f>
        <v>Adjustments are required only if the transfer is being made in 2019 and/or 2020 from a non-budgeted fund.</v>
      </c>
      <c r="C32" s="3"/>
      <c r="D32" s="3"/>
      <c r="E32" s="3"/>
      <c r="F32" s="116"/>
    </row>
  </sheetData>
  <sheetProtection sheet="1"/>
  <mergeCells count="1">
    <mergeCell ref="A5:F5"/>
  </mergeCells>
  <phoneticPr fontId="10"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5"/>
  <sheetViews>
    <sheetView topLeftCell="A16" zoomScaleNormal="100" workbookViewId="0">
      <selection activeCell="G80" sqref="G80"/>
    </sheetView>
  </sheetViews>
  <sheetFormatPr defaultColWidth="62.3984375" defaultRowHeight="15.75" x14ac:dyDescent="0.25"/>
  <cols>
    <col min="1" max="16384" width="62.3984375" style="1"/>
  </cols>
  <sheetData>
    <row r="1" spans="1:1" ht="18.75" x14ac:dyDescent="0.25">
      <c r="A1" s="199" t="s">
        <v>260</v>
      </c>
    </row>
    <row r="2" spans="1:1" x14ac:dyDescent="0.25">
      <c r="A2" s="68"/>
    </row>
    <row r="3" spans="1:1" ht="51" customHeight="1" x14ac:dyDescent="0.25">
      <c r="A3" s="347" t="s">
        <v>620</v>
      </c>
    </row>
    <row r="4" spans="1:1" ht="17.25" customHeight="1" x14ac:dyDescent="0.2">
      <c r="A4" s="347"/>
    </row>
    <row r="5" spans="1:1" x14ac:dyDescent="0.25">
      <c r="A5" s="68"/>
    </row>
    <row r="6" spans="1:1" ht="52.5" customHeight="1" x14ac:dyDescent="0.25">
      <c r="A6" s="151" t="s">
        <v>290</v>
      </c>
    </row>
    <row r="7" spans="1:1" x14ac:dyDescent="0.25">
      <c r="A7" s="68"/>
    </row>
    <row r="8" spans="1:1" x14ac:dyDescent="0.25">
      <c r="A8" s="68"/>
    </row>
    <row r="9" spans="1:1" ht="70.5" customHeight="1" x14ac:dyDescent="0.25">
      <c r="A9" s="151" t="s">
        <v>291</v>
      </c>
    </row>
    <row r="10" spans="1:1" x14ac:dyDescent="0.25">
      <c r="A10" s="152"/>
    </row>
    <row r="11" spans="1:1" x14ac:dyDescent="0.25">
      <c r="A11" s="152"/>
    </row>
    <row r="12" spans="1:1" ht="63" x14ac:dyDescent="0.25">
      <c r="A12" s="429" t="s">
        <v>621</v>
      </c>
    </row>
    <row r="13" spans="1:1" x14ac:dyDescent="0.25">
      <c r="A13" s="152"/>
    </row>
    <row r="14" spans="1:1" x14ac:dyDescent="0.25">
      <c r="A14" s="152"/>
    </row>
    <row r="15" spans="1:1" ht="63" x14ac:dyDescent="0.25">
      <c r="A15" s="429" t="s">
        <v>622</v>
      </c>
    </row>
    <row r="16" spans="1:1" x14ac:dyDescent="0.25">
      <c r="A16" s="152"/>
    </row>
    <row r="17" spans="1:1" x14ac:dyDescent="0.25">
      <c r="A17" s="68"/>
    </row>
    <row r="18" spans="1:1" ht="56.25" customHeight="1" x14ac:dyDescent="0.25">
      <c r="A18" s="151" t="s">
        <v>292</v>
      </c>
    </row>
    <row r="19" spans="1:1" x14ac:dyDescent="0.25">
      <c r="A19" s="152"/>
    </row>
    <row r="20" spans="1:1" x14ac:dyDescent="0.25">
      <c r="A20" s="152"/>
    </row>
    <row r="21" spans="1:1" ht="87.75" customHeight="1" x14ac:dyDescent="0.25">
      <c r="A21" s="151" t="s">
        <v>293</v>
      </c>
    </row>
    <row r="22" spans="1:1" x14ac:dyDescent="0.25">
      <c r="A22" s="152"/>
    </row>
    <row r="23" spans="1:1" x14ac:dyDescent="0.25">
      <c r="A23" s="68"/>
    </row>
    <row r="24" spans="1:1" ht="54.75" customHeight="1" x14ac:dyDescent="0.25">
      <c r="A24" s="151" t="s">
        <v>294</v>
      </c>
    </row>
    <row r="25" spans="1:1" x14ac:dyDescent="0.25">
      <c r="A25" s="68"/>
    </row>
    <row r="26" spans="1:1" ht="15.75" customHeight="1" x14ac:dyDescent="0.25">
      <c r="A26" s="68"/>
    </row>
    <row r="27" spans="1:1" ht="69" customHeight="1" x14ac:dyDescent="0.25">
      <c r="A27" s="151" t="s">
        <v>295</v>
      </c>
    </row>
    <row r="28" spans="1:1" ht="15.75" customHeight="1" x14ac:dyDescent="0.25">
      <c r="A28" s="151"/>
    </row>
    <row r="29" spans="1:1" ht="15.75" customHeight="1" x14ac:dyDescent="0.25">
      <c r="A29" s="151"/>
    </row>
    <row r="30" spans="1:1" ht="87" customHeight="1" x14ac:dyDescent="0.25">
      <c r="A30" s="151" t="s">
        <v>641</v>
      </c>
    </row>
    <row r="31" spans="1:1" x14ac:dyDescent="0.25">
      <c r="A31" s="68"/>
    </row>
    <row r="32" spans="1:1" x14ac:dyDescent="0.25">
      <c r="A32" s="196"/>
    </row>
    <row r="33" spans="1:1" ht="47.25" customHeight="1" x14ac:dyDescent="0.25">
      <c r="A33" s="197" t="s">
        <v>296</v>
      </c>
    </row>
    <row r="34" spans="1:1" x14ac:dyDescent="0.25">
      <c r="A34" s="198"/>
    </row>
    <row r="35" spans="1:1" x14ac:dyDescent="0.25">
      <c r="A35" s="196"/>
    </row>
  </sheetData>
  <sheetProtection sheet="1"/>
  <pageMargins left="0.7" right="0.7" top="0.75" bottom="0.75" header="0.3" footer="0.3"/>
  <pageSetup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B1:Y39"/>
  <sheetViews>
    <sheetView zoomScale="75" workbookViewId="0">
      <selection activeCell="B25" sqref="B25"/>
    </sheetView>
  </sheetViews>
  <sheetFormatPr defaultColWidth="8.796875" defaultRowHeight="15.75" x14ac:dyDescent="0.25"/>
  <cols>
    <col min="1" max="1" width="8.796875" style="155"/>
    <col min="2" max="2" width="18.69921875" style="155" customWidth="1"/>
    <col min="3" max="3" width="8.796875" style="155"/>
    <col min="4" max="4" width="7.8984375" style="155" customWidth="1"/>
    <col min="5" max="5" width="8.796875" style="155"/>
    <col min="6" max="6" width="16.19921875" style="155" customWidth="1"/>
    <col min="7" max="16384" width="8.796875" style="155"/>
  </cols>
  <sheetData>
    <row r="1" spans="2:12" x14ac:dyDescent="0.25">
      <c r="B1" s="153" t="str">
        <f>inputPrYr!$D$3</f>
        <v>ROVOHL TOWNSHIP</v>
      </c>
      <c r="C1" s="154"/>
      <c r="D1" s="154"/>
      <c r="E1" s="154"/>
      <c r="F1" s="154"/>
      <c r="G1" s="154"/>
      <c r="H1" s="154"/>
      <c r="I1" s="154"/>
      <c r="J1" s="3"/>
      <c r="K1" s="3"/>
      <c r="L1" s="4">
        <f>inputPrYr!D6</f>
        <v>2020</v>
      </c>
    </row>
    <row r="2" spans="2:12" x14ac:dyDescent="0.25">
      <c r="B2" s="153" t="str">
        <f>inputPrYr!$D$4</f>
        <v>THOMAS COUNTY</v>
      </c>
      <c r="C2" s="154"/>
      <c r="D2" s="154"/>
      <c r="E2" s="154"/>
      <c r="F2" s="154"/>
      <c r="G2" s="154"/>
      <c r="H2" s="154"/>
      <c r="I2" s="154"/>
      <c r="J2" s="3"/>
      <c r="K2" s="3"/>
      <c r="L2" s="41"/>
    </row>
    <row r="3" spans="2:12" x14ac:dyDescent="0.25">
      <c r="B3" s="156" t="s">
        <v>69</v>
      </c>
      <c r="C3" s="157"/>
      <c r="D3" s="157"/>
      <c r="E3" s="132"/>
      <c r="F3" s="157"/>
      <c r="G3" s="157"/>
      <c r="H3" s="157"/>
      <c r="I3" s="157"/>
      <c r="J3" s="157"/>
      <c r="K3" s="157"/>
      <c r="L3" s="157"/>
    </row>
    <row r="4" spans="2:12" x14ac:dyDescent="0.25">
      <c r="B4" s="154"/>
      <c r="C4" s="154"/>
      <c r="D4" s="154"/>
      <c r="E4" s="154"/>
      <c r="F4" s="154"/>
      <c r="G4" s="154"/>
      <c r="H4" s="154"/>
      <c r="I4" s="154"/>
      <c r="J4" s="154"/>
      <c r="K4" s="154"/>
      <c r="L4" s="154"/>
    </row>
    <row r="5" spans="2:12" x14ac:dyDescent="0.25">
      <c r="B5" s="158" t="s">
        <v>704</v>
      </c>
      <c r="C5" s="158" t="s">
        <v>49</v>
      </c>
      <c r="D5" s="158" t="s">
        <v>56</v>
      </c>
      <c r="E5" s="158"/>
      <c r="F5" s="158" t="s">
        <v>4</v>
      </c>
      <c r="G5" s="159"/>
      <c r="H5" s="160"/>
      <c r="I5" s="159" t="s">
        <v>50</v>
      </c>
      <c r="J5" s="160"/>
      <c r="K5" s="159" t="s">
        <v>50</v>
      </c>
      <c r="L5" s="160"/>
    </row>
    <row r="6" spans="2:12" x14ac:dyDescent="0.25">
      <c r="B6" s="161" t="s">
        <v>51</v>
      </c>
      <c r="C6" s="161" t="s">
        <v>51</v>
      </c>
      <c r="D6" s="161" t="s">
        <v>3</v>
      </c>
      <c r="E6" s="161" t="s">
        <v>4</v>
      </c>
      <c r="F6" s="161" t="s">
        <v>106</v>
      </c>
      <c r="G6" s="162" t="s">
        <v>52</v>
      </c>
      <c r="H6" s="163"/>
      <c r="I6" s="162">
        <f>L1-1</f>
        <v>2019</v>
      </c>
      <c r="J6" s="163"/>
      <c r="K6" s="162">
        <f>L1</f>
        <v>2020</v>
      </c>
      <c r="L6" s="163"/>
    </row>
    <row r="7" spans="2:12" x14ac:dyDescent="0.25">
      <c r="B7" s="164" t="s">
        <v>705</v>
      </c>
      <c r="C7" s="164" t="s">
        <v>53</v>
      </c>
      <c r="D7" s="164" t="s">
        <v>25</v>
      </c>
      <c r="E7" s="164" t="s">
        <v>54</v>
      </c>
      <c r="F7" s="165" t="str">
        <f>CONCATENATE("Jan 1,",L1-1,"")</f>
        <v>Jan 1,2019</v>
      </c>
      <c r="G7" s="166" t="s">
        <v>56</v>
      </c>
      <c r="H7" s="166" t="s">
        <v>57</v>
      </c>
      <c r="I7" s="166" t="s">
        <v>56</v>
      </c>
      <c r="J7" s="166" t="s">
        <v>57</v>
      </c>
      <c r="K7" s="166" t="s">
        <v>56</v>
      </c>
      <c r="L7" s="166" t="s">
        <v>57</v>
      </c>
    </row>
    <row r="8" spans="2:12" x14ac:dyDescent="0.25">
      <c r="B8" s="167" t="s">
        <v>46</v>
      </c>
      <c r="C8" s="168"/>
      <c r="D8" s="167"/>
      <c r="E8" s="167"/>
      <c r="F8" s="167"/>
      <c r="G8" s="169"/>
      <c r="H8" s="169"/>
      <c r="I8" s="167"/>
      <c r="J8" s="167"/>
      <c r="K8" s="167"/>
      <c r="L8" s="170"/>
    </row>
    <row r="9" spans="2:12" x14ac:dyDescent="0.25">
      <c r="B9" s="171"/>
      <c r="C9" s="333"/>
      <c r="D9" s="173"/>
      <c r="E9" s="23"/>
      <c r="F9" s="174"/>
      <c r="G9" s="175"/>
      <c r="H9" s="175"/>
      <c r="I9" s="174"/>
      <c r="J9" s="174"/>
      <c r="K9" s="174"/>
      <c r="L9" s="174"/>
    </row>
    <row r="10" spans="2:12" x14ac:dyDescent="0.25">
      <c r="B10" s="171"/>
      <c r="C10" s="333"/>
      <c r="D10" s="173"/>
      <c r="E10" s="23"/>
      <c r="F10" s="174"/>
      <c r="G10" s="175"/>
      <c r="H10" s="175"/>
      <c r="I10" s="174"/>
      <c r="J10" s="174"/>
      <c r="K10" s="174"/>
      <c r="L10" s="174"/>
    </row>
    <row r="11" spans="2:12" x14ac:dyDescent="0.25">
      <c r="B11" s="61" t="s">
        <v>123</v>
      </c>
      <c r="C11" s="176"/>
      <c r="D11" s="177"/>
      <c r="E11" s="21"/>
      <c r="F11" s="145">
        <f>SUM(F9:F10)</f>
        <v>0</v>
      </c>
      <c r="G11" s="178"/>
      <c r="H11" s="178"/>
      <c r="I11" s="145">
        <f>SUM(I9:I10)</f>
        <v>0</v>
      </c>
      <c r="J11" s="145">
        <f>SUM(J9:J10)</f>
        <v>0</v>
      </c>
      <c r="K11" s="145">
        <f>SUM(K9:K10)</f>
        <v>0</v>
      </c>
      <c r="L11" s="145">
        <f>SUM(L9:L10)</f>
        <v>0</v>
      </c>
    </row>
    <row r="12" spans="2:12" x14ac:dyDescent="0.25">
      <c r="B12" s="61" t="s">
        <v>17</v>
      </c>
      <c r="C12" s="176"/>
      <c r="D12" s="177"/>
      <c r="E12" s="21"/>
      <c r="F12" s="72"/>
      <c r="G12" s="178"/>
      <c r="H12" s="178"/>
      <c r="I12" s="72"/>
      <c r="J12" s="72"/>
      <c r="K12" s="72"/>
      <c r="L12" s="72"/>
    </row>
    <row r="13" spans="2:12" x14ac:dyDescent="0.25">
      <c r="B13" s="171"/>
      <c r="C13" s="333"/>
      <c r="D13" s="173"/>
      <c r="E13" s="23"/>
      <c r="F13" s="174"/>
      <c r="G13" s="175"/>
      <c r="H13" s="175"/>
      <c r="I13" s="174"/>
      <c r="J13" s="174"/>
      <c r="K13" s="174"/>
      <c r="L13" s="174"/>
    </row>
    <row r="14" spans="2:12" x14ac:dyDescent="0.25">
      <c r="B14" s="171"/>
      <c r="C14" s="333"/>
      <c r="D14" s="173"/>
      <c r="E14" s="23"/>
      <c r="F14" s="174"/>
      <c r="G14" s="175"/>
      <c r="H14" s="175"/>
      <c r="I14" s="174"/>
      <c r="J14" s="174"/>
      <c r="K14" s="174"/>
      <c r="L14" s="174"/>
    </row>
    <row r="15" spans="2:12" x14ac:dyDescent="0.25">
      <c r="B15" s="61" t="s">
        <v>124</v>
      </c>
      <c r="C15" s="176"/>
      <c r="D15" s="177"/>
      <c r="E15" s="21"/>
      <c r="F15" s="145">
        <f>SUM(F13:F14)</f>
        <v>0</v>
      </c>
      <c r="G15" s="178"/>
      <c r="H15" s="178"/>
      <c r="I15" s="145">
        <f>SUM(I13:I14)</f>
        <v>0</v>
      </c>
      <c r="J15" s="145">
        <f>SUM(J13:J14)</f>
        <v>0</v>
      </c>
      <c r="K15" s="145">
        <f>SUM(K13:K14)</f>
        <v>0</v>
      </c>
      <c r="L15" s="145">
        <f>SUM(L13:L14)</f>
        <v>0</v>
      </c>
    </row>
    <row r="16" spans="2:12" x14ac:dyDescent="0.25">
      <c r="B16" s="179" t="s">
        <v>706</v>
      </c>
      <c r="C16" s="620"/>
      <c r="D16" s="621"/>
      <c r="E16" s="622"/>
      <c r="F16" s="181">
        <f>SUM(F11+F15)</f>
        <v>0</v>
      </c>
      <c r="G16" s="620"/>
      <c r="H16" s="623"/>
      <c r="I16" s="181">
        <f>SUM(I11+I15)</f>
        <v>0</v>
      </c>
      <c r="J16" s="181">
        <f>SUM(J11+J15)</f>
        <v>0</v>
      </c>
      <c r="K16" s="181">
        <f>SUM(K11+K15)</f>
        <v>0</v>
      </c>
      <c r="L16" s="181">
        <f>SUM(L11+L15)</f>
        <v>0</v>
      </c>
    </row>
    <row r="17" spans="2:25" x14ac:dyDescent="0.25">
      <c r="B17" s="3"/>
      <c r="C17" s="3"/>
      <c r="D17" s="8"/>
      <c r="E17" s="8"/>
      <c r="F17" s="8"/>
      <c r="G17" s="8"/>
      <c r="H17" s="8"/>
      <c r="I17" s="8"/>
      <c r="J17" s="8"/>
      <c r="K17" s="8"/>
      <c r="L17" s="8"/>
      <c r="M17" s="68"/>
      <c r="N17" s="68"/>
      <c r="O17" s="68"/>
      <c r="P17" s="68"/>
      <c r="Q17" s="68"/>
      <c r="R17" s="68"/>
      <c r="S17" s="68"/>
      <c r="T17" s="68"/>
      <c r="U17" s="68"/>
      <c r="V17" s="68"/>
      <c r="W17" s="68"/>
      <c r="X17" s="68"/>
      <c r="Y17" s="68"/>
    </row>
    <row r="18" spans="2:25" s="184" customFormat="1" x14ac:dyDescent="0.25">
      <c r="B18" s="886" t="s">
        <v>68</v>
      </c>
      <c r="C18" s="840"/>
      <c r="D18" s="840"/>
      <c r="E18" s="840"/>
      <c r="F18" s="840"/>
      <c r="G18" s="840"/>
      <c r="H18" s="840"/>
      <c r="I18" s="840"/>
      <c r="J18" s="182"/>
      <c r="K18" s="182"/>
      <c r="L18" s="183"/>
    </row>
    <row r="19" spans="2:25" s="184" customFormat="1" x14ac:dyDescent="0.25">
      <c r="B19" s="8"/>
      <c r="C19" s="185"/>
      <c r="D19" s="185"/>
      <c r="E19" s="185"/>
      <c r="F19" s="185"/>
      <c r="G19" s="185"/>
      <c r="H19" s="185"/>
      <c r="I19" s="185"/>
      <c r="J19" s="186"/>
      <c r="K19" s="186"/>
      <c r="L19" s="183"/>
    </row>
    <row r="20" spans="2:25" s="184" customFormat="1" x14ac:dyDescent="0.25">
      <c r="B20" s="142"/>
      <c r="C20" s="142"/>
      <c r="D20" s="158" t="s">
        <v>55</v>
      </c>
      <c r="E20" s="142"/>
      <c r="F20" s="158" t="s">
        <v>235</v>
      </c>
      <c r="G20" s="142"/>
      <c r="H20" s="142"/>
      <c r="I20" s="142"/>
      <c r="J20" s="187"/>
      <c r="K20" s="188"/>
      <c r="L20" s="183"/>
    </row>
    <row r="21" spans="2:25" s="184" customFormat="1" x14ac:dyDescent="0.25">
      <c r="B21" s="189"/>
      <c r="C21" s="161"/>
      <c r="D21" s="161" t="s">
        <v>51</v>
      </c>
      <c r="E21" s="161" t="s">
        <v>56</v>
      </c>
      <c r="F21" s="161" t="s">
        <v>4</v>
      </c>
      <c r="G21" s="161" t="s">
        <v>57</v>
      </c>
      <c r="H21" s="161" t="s">
        <v>58</v>
      </c>
      <c r="I21" s="161" t="s">
        <v>58</v>
      </c>
      <c r="J21" s="183"/>
      <c r="K21" s="183"/>
      <c r="L21" s="183"/>
    </row>
    <row r="22" spans="2:25" s="184" customFormat="1" x14ac:dyDescent="0.25">
      <c r="B22" s="161" t="s">
        <v>707</v>
      </c>
      <c r="C22" s="161" t="s">
        <v>59</v>
      </c>
      <c r="D22" s="161" t="s">
        <v>60</v>
      </c>
      <c r="E22" s="161" t="s">
        <v>3</v>
      </c>
      <c r="F22" s="161" t="s">
        <v>61</v>
      </c>
      <c r="G22" s="161" t="s">
        <v>99</v>
      </c>
      <c r="H22" s="161" t="s">
        <v>62</v>
      </c>
      <c r="I22" s="161" t="s">
        <v>62</v>
      </c>
      <c r="J22" s="183"/>
      <c r="K22" s="183"/>
      <c r="L22" s="183"/>
    </row>
    <row r="23" spans="2:25" s="184" customFormat="1" x14ac:dyDescent="0.25">
      <c r="B23" s="164" t="s">
        <v>708</v>
      </c>
      <c r="C23" s="164" t="s">
        <v>49</v>
      </c>
      <c r="D23" s="190" t="s">
        <v>63</v>
      </c>
      <c r="E23" s="164" t="s">
        <v>25</v>
      </c>
      <c r="F23" s="190" t="s">
        <v>107</v>
      </c>
      <c r="G23" s="165" t="str">
        <f>CONCATENATE("Jan 1,",L1-1,"")</f>
        <v>Jan 1,2019</v>
      </c>
      <c r="H23" s="164">
        <f>L1-1</f>
        <v>2019</v>
      </c>
      <c r="I23" s="164">
        <f>L1</f>
        <v>2020</v>
      </c>
      <c r="J23" s="183"/>
      <c r="K23" s="183"/>
      <c r="L23" s="183"/>
    </row>
    <row r="24" spans="2:25" s="184" customFormat="1" x14ac:dyDescent="0.25">
      <c r="B24" s="171" t="s">
        <v>993</v>
      </c>
      <c r="C24" s="172">
        <v>43573</v>
      </c>
      <c r="D24" s="191">
        <v>84</v>
      </c>
      <c r="E24" s="173">
        <v>4.6500000000000004</v>
      </c>
      <c r="F24" s="23">
        <v>312107</v>
      </c>
      <c r="G24" s="23">
        <v>0</v>
      </c>
      <c r="H24" s="23">
        <v>39453</v>
      </c>
      <c r="I24" s="23">
        <v>39453</v>
      </c>
      <c r="J24" s="183"/>
      <c r="K24" s="183"/>
      <c r="L24" s="183"/>
    </row>
    <row r="25" spans="2:25" s="184" customFormat="1" x14ac:dyDescent="0.25">
      <c r="B25" s="171" t="s">
        <v>994</v>
      </c>
      <c r="C25" s="172">
        <v>42781</v>
      </c>
      <c r="D25" s="191">
        <v>60</v>
      </c>
      <c r="E25" s="173">
        <v>3.75</v>
      </c>
      <c r="F25" s="23">
        <v>12180</v>
      </c>
      <c r="G25" s="23">
        <v>9930</v>
      </c>
      <c r="H25" s="23">
        <v>2717</v>
      </c>
      <c r="I25" s="23">
        <v>2717</v>
      </c>
      <c r="J25" s="183"/>
      <c r="K25" s="183"/>
      <c r="L25" s="183"/>
    </row>
    <row r="26" spans="2:25" s="184" customFormat="1" x14ac:dyDescent="0.25">
      <c r="B26" s="171" t="s">
        <v>995</v>
      </c>
      <c r="C26" s="172">
        <v>42894</v>
      </c>
      <c r="D26" s="191">
        <v>60</v>
      </c>
      <c r="E26" s="173">
        <v>3.75</v>
      </c>
      <c r="F26" s="23">
        <v>20525</v>
      </c>
      <c r="G26" s="23">
        <v>13689</v>
      </c>
      <c r="H26" s="23">
        <v>3743</v>
      </c>
      <c r="I26" s="23">
        <v>3743</v>
      </c>
      <c r="J26" s="183"/>
      <c r="K26" s="183"/>
      <c r="L26" s="183"/>
    </row>
    <row r="27" spans="2:25" s="184" customFormat="1" x14ac:dyDescent="0.25">
      <c r="B27" s="171"/>
      <c r="C27" s="172"/>
      <c r="D27" s="191"/>
      <c r="E27" s="173"/>
      <c r="F27" s="23"/>
      <c r="G27" s="23"/>
      <c r="H27" s="23"/>
      <c r="I27" s="23"/>
      <c r="J27" s="183"/>
      <c r="K27" s="183"/>
      <c r="L27" s="183"/>
    </row>
    <row r="28" spans="2:25" s="184" customFormat="1" x14ac:dyDescent="0.25">
      <c r="B28" s="171"/>
      <c r="C28" s="172"/>
      <c r="D28" s="191"/>
      <c r="E28" s="173"/>
      <c r="F28" s="23"/>
      <c r="G28" s="23"/>
      <c r="H28" s="23"/>
      <c r="I28" s="23"/>
      <c r="J28" s="183"/>
      <c r="K28" s="183"/>
      <c r="L28" s="183"/>
    </row>
    <row r="29" spans="2:25" s="184" customFormat="1" x14ac:dyDescent="0.25">
      <c r="B29" s="171"/>
      <c r="C29" s="172"/>
      <c r="D29" s="191"/>
      <c r="E29" s="173"/>
      <c r="F29" s="23"/>
      <c r="G29" s="23"/>
      <c r="H29" s="23"/>
      <c r="I29" s="23"/>
      <c r="J29" s="183"/>
      <c r="K29" s="183"/>
      <c r="L29" s="183"/>
    </row>
    <row r="30" spans="2:25" s="184" customFormat="1" x14ac:dyDescent="0.25">
      <c r="B30" s="171"/>
      <c r="C30" s="172"/>
      <c r="D30" s="191"/>
      <c r="E30" s="173"/>
      <c r="F30" s="23"/>
      <c r="G30" s="23"/>
      <c r="H30" s="23"/>
      <c r="I30" s="23"/>
      <c r="J30" s="183"/>
      <c r="K30" s="183"/>
      <c r="L30" s="183"/>
    </row>
    <row r="31" spans="2:25" s="184" customFormat="1" x14ac:dyDescent="0.25">
      <c r="B31" s="171"/>
      <c r="C31" s="172"/>
      <c r="D31" s="191"/>
      <c r="E31" s="173"/>
      <c r="F31" s="23"/>
      <c r="G31" s="23"/>
      <c r="H31" s="23"/>
      <c r="I31" s="23"/>
      <c r="J31" s="183"/>
      <c r="K31" s="183"/>
      <c r="L31" s="183"/>
    </row>
    <row r="32" spans="2:25" s="184" customFormat="1" x14ac:dyDescent="0.25">
      <c r="B32" s="171"/>
      <c r="C32" s="172"/>
      <c r="D32" s="191"/>
      <c r="E32" s="173"/>
      <c r="F32" s="23"/>
      <c r="G32" s="23"/>
      <c r="H32" s="23"/>
      <c r="I32" s="23"/>
      <c r="J32" s="183"/>
      <c r="K32" s="183"/>
      <c r="L32" s="183"/>
    </row>
    <row r="33" spans="2:12" s="184" customFormat="1" x14ac:dyDescent="0.25">
      <c r="B33" s="171"/>
      <c r="C33" s="172"/>
      <c r="D33" s="191"/>
      <c r="E33" s="173"/>
      <c r="F33" s="23"/>
      <c r="G33" s="23"/>
      <c r="H33" s="23"/>
      <c r="I33" s="23"/>
      <c r="J33" s="183"/>
      <c r="K33" s="183"/>
      <c r="L33" s="183"/>
    </row>
    <row r="34" spans="2:12" s="184" customFormat="1" x14ac:dyDescent="0.25">
      <c r="B34" s="171"/>
      <c r="C34" s="172"/>
      <c r="D34" s="191"/>
      <c r="E34" s="173"/>
      <c r="F34" s="23"/>
      <c r="G34" s="23"/>
      <c r="H34" s="23"/>
      <c r="I34" s="23"/>
      <c r="J34" s="183"/>
      <c r="K34" s="183"/>
      <c r="L34" s="183"/>
    </row>
    <row r="35" spans="2:12" s="184" customFormat="1" x14ac:dyDescent="0.25">
      <c r="B35" s="171"/>
      <c r="C35" s="172"/>
      <c r="D35" s="191"/>
      <c r="E35" s="173"/>
      <c r="F35" s="23"/>
      <c r="G35" s="23"/>
      <c r="H35" s="23"/>
      <c r="I35" s="23"/>
      <c r="J35" s="183"/>
      <c r="K35" s="183"/>
      <c r="L35" s="183"/>
    </row>
    <row r="36" spans="2:12" x14ac:dyDescent="0.25">
      <c r="B36" s="625"/>
      <c r="C36" s="180"/>
      <c r="D36" s="180"/>
      <c r="E36" s="192"/>
      <c r="F36" s="624" t="s">
        <v>235</v>
      </c>
      <c r="G36" s="181">
        <f>SUM(G24:G35)</f>
        <v>23619</v>
      </c>
      <c r="H36" s="181">
        <f>SUM(H24:H35)</f>
        <v>45913</v>
      </c>
      <c r="I36" s="181">
        <f>SUM(I24:I35)</f>
        <v>45913</v>
      </c>
      <c r="J36" s="154"/>
      <c r="K36" s="154"/>
      <c r="L36" s="193"/>
    </row>
    <row r="37" spans="2:12" x14ac:dyDescent="0.25">
      <c r="B37" s="154"/>
      <c r="C37" s="154"/>
      <c r="D37" s="154"/>
      <c r="E37" s="154"/>
      <c r="F37" s="154"/>
      <c r="G37" s="154"/>
      <c r="H37" s="154"/>
      <c r="I37" s="154"/>
      <c r="J37" s="154"/>
      <c r="K37" s="154"/>
      <c r="L37" s="154"/>
    </row>
    <row r="38" spans="2:12" x14ac:dyDescent="0.25">
      <c r="B38" s="194" t="s">
        <v>206</v>
      </c>
      <c r="C38" s="194"/>
      <c r="D38" s="194"/>
      <c r="E38" s="194"/>
      <c r="F38" s="194"/>
      <c r="G38" s="194"/>
      <c r="H38" s="194"/>
      <c r="I38" s="154"/>
      <c r="J38" s="154"/>
      <c r="K38" s="154"/>
      <c r="L38" s="154"/>
    </row>
    <row r="39" spans="2:12" x14ac:dyDescent="0.25">
      <c r="B39" s="195"/>
    </row>
  </sheetData>
  <sheetProtection sheet="1"/>
  <mergeCells count="1">
    <mergeCell ref="B18:I18"/>
  </mergeCells>
  <phoneticPr fontId="0" type="noConversion"/>
  <pageMargins left="0.5" right="0.5" top="1" bottom="0.5" header="0.5" footer="0.5"/>
  <pageSetup scale="81" orientation="landscape" blackAndWhite="1" r:id="rId1"/>
  <headerFooter alignWithMargins="0">
    <oddHeader xml:space="preserve">&amp;RState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B1:I108"/>
  <sheetViews>
    <sheetView zoomScaleNormal="100" workbookViewId="0">
      <selection activeCell="K16" sqref="K16"/>
    </sheetView>
  </sheetViews>
  <sheetFormatPr defaultColWidth="8.796875" defaultRowHeight="15" x14ac:dyDescent="0.2"/>
  <cols>
    <col min="1" max="1" width="2.296875" style="495" customWidth="1"/>
    <col min="2" max="4" width="8.796875" style="495"/>
    <col min="5" max="5" width="8.69921875" style="495" customWidth="1"/>
    <col min="6" max="6" width="8.796875" style="495"/>
    <col min="7" max="7" width="8.69921875" style="495" customWidth="1"/>
    <col min="8" max="16384" width="8.796875" style="495"/>
  </cols>
  <sheetData>
    <row r="1" spans="2:9" ht="15.75" x14ac:dyDescent="0.25">
      <c r="B1" s="494"/>
      <c r="C1" s="494"/>
      <c r="D1" s="494"/>
      <c r="E1" s="494"/>
      <c r="F1" s="494"/>
      <c r="G1" s="494"/>
      <c r="H1" s="494"/>
      <c r="I1" s="494"/>
    </row>
    <row r="2" spans="2:9" ht="15.75" x14ac:dyDescent="0.2">
      <c r="B2" s="889" t="s">
        <v>643</v>
      </c>
      <c r="C2" s="889"/>
      <c r="D2" s="889"/>
      <c r="E2" s="889"/>
      <c r="F2" s="889"/>
      <c r="G2" s="889"/>
      <c r="H2" s="889"/>
      <c r="I2" s="889"/>
    </row>
    <row r="3" spans="2:9" ht="15.75" x14ac:dyDescent="0.2">
      <c r="B3" s="889" t="s">
        <v>644</v>
      </c>
      <c r="C3" s="889"/>
      <c r="D3" s="889"/>
      <c r="E3" s="889"/>
      <c r="F3" s="889"/>
      <c r="G3" s="889"/>
      <c r="H3" s="889"/>
      <c r="I3" s="889"/>
    </row>
    <row r="4" spans="2:9" ht="15.75" x14ac:dyDescent="0.2">
      <c r="B4" s="496"/>
      <c r="C4" s="496"/>
      <c r="D4" s="496"/>
      <c r="E4" s="496"/>
      <c r="F4" s="496"/>
      <c r="G4" s="496"/>
      <c r="H4" s="496"/>
      <c r="I4" s="496"/>
    </row>
    <row r="5" spans="2:9" ht="15.75" x14ac:dyDescent="0.2">
      <c r="B5" s="890" t="str">
        <f>CONCATENATE("Budgeted Year: ",inputPrYr!D6,"")</f>
        <v>Budgeted Year: 2020</v>
      </c>
      <c r="C5" s="890"/>
      <c r="D5" s="890"/>
      <c r="E5" s="890"/>
      <c r="F5" s="890"/>
      <c r="G5" s="890"/>
      <c r="H5" s="890"/>
      <c r="I5" s="890"/>
    </row>
    <row r="6" spans="2:9" ht="15.75" x14ac:dyDescent="0.2">
      <c r="B6" s="497"/>
      <c r="C6" s="496"/>
      <c r="D6" s="496"/>
      <c r="E6" s="496"/>
      <c r="F6" s="496"/>
      <c r="G6" s="496"/>
      <c r="H6" s="496"/>
      <c r="I6" s="496"/>
    </row>
    <row r="7" spans="2:9" ht="15.75" x14ac:dyDescent="0.2">
      <c r="B7" s="497" t="str">
        <f>CONCATENATE("Library found in: ",inputPrYr!D3,"")</f>
        <v>Library found in: ROVOHL TOWNSHIP</v>
      </c>
      <c r="C7" s="496"/>
      <c r="D7" s="496"/>
      <c r="E7" s="496"/>
      <c r="F7" s="496"/>
      <c r="G7" s="496"/>
      <c r="H7" s="496"/>
      <c r="I7" s="496"/>
    </row>
    <row r="8" spans="2:9" ht="15.75" x14ac:dyDescent="0.2">
      <c r="B8" s="497" t="str">
        <f>inputPrYr!D4</f>
        <v>THOMAS COUNTY</v>
      </c>
      <c r="C8" s="496"/>
      <c r="D8" s="496"/>
      <c r="E8" s="496"/>
      <c r="F8" s="496"/>
      <c r="G8" s="496"/>
      <c r="H8" s="496"/>
      <c r="I8" s="496"/>
    </row>
    <row r="9" spans="2:9" ht="15.75" x14ac:dyDescent="0.2">
      <c r="B9" s="496"/>
      <c r="C9" s="496"/>
      <c r="D9" s="496"/>
      <c r="E9" s="496"/>
      <c r="F9" s="496"/>
      <c r="G9" s="496"/>
      <c r="H9" s="496"/>
      <c r="I9" s="496"/>
    </row>
    <row r="10" spans="2:9" ht="39" customHeight="1" x14ac:dyDescent="0.2">
      <c r="B10" s="891" t="s">
        <v>645</v>
      </c>
      <c r="C10" s="891"/>
      <c r="D10" s="891"/>
      <c r="E10" s="891"/>
      <c r="F10" s="891"/>
      <c r="G10" s="891"/>
      <c r="H10" s="891"/>
      <c r="I10" s="891"/>
    </row>
    <row r="11" spans="2:9" ht="15.75" x14ac:dyDescent="0.2">
      <c r="B11" s="496"/>
      <c r="C11" s="496"/>
      <c r="D11" s="496"/>
      <c r="E11" s="496"/>
      <c r="F11" s="496"/>
      <c r="G11" s="496"/>
      <c r="H11" s="496"/>
      <c r="I11" s="496"/>
    </row>
    <row r="12" spans="2:9" ht="15.75" x14ac:dyDescent="0.2">
      <c r="B12" s="498" t="s">
        <v>646</v>
      </c>
      <c r="C12" s="496"/>
      <c r="D12" s="496"/>
      <c r="E12" s="496"/>
      <c r="F12" s="496"/>
      <c r="G12" s="496"/>
      <c r="H12" s="496"/>
      <c r="I12" s="496"/>
    </row>
    <row r="13" spans="2:9" ht="15.75" x14ac:dyDescent="0.2">
      <c r="B13" s="496"/>
      <c r="C13" s="496"/>
      <c r="D13" s="496"/>
      <c r="E13" s="499" t="s">
        <v>8</v>
      </c>
      <c r="F13" s="496"/>
      <c r="G13" s="499" t="s">
        <v>647</v>
      </c>
      <c r="H13" s="496"/>
      <c r="I13" s="496"/>
    </row>
    <row r="14" spans="2:9" ht="15.75" x14ac:dyDescent="0.2">
      <c r="B14" s="496"/>
      <c r="C14" s="496"/>
      <c r="D14" s="496"/>
      <c r="E14" s="500">
        <f>inputPrYr!D6-1</f>
        <v>2019</v>
      </c>
      <c r="F14" s="496"/>
      <c r="G14" s="500">
        <f>inputPrYr!D6</f>
        <v>2020</v>
      </c>
      <c r="H14" s="496"/>
      <c r="I14" s="496"/>
    </row>
    <row r="15" spans="2:9" ht="15.75" x14ac:dyDescent="0.2">
      <c r="B15" s="497" t="str">
        <f>'DebtSvs-Library'!B47</f>
        <v>Ad Valorem Tax</v>
      </c>
      <c r="C15" s="496"/>
      <c r="D15" s="496"/>
      <c r="E15" s="501">
        <f>'DebtSvs-Library'!D47</f>
        <v>0</v>
      </c>
      <c r="F15" s="496"/>
      <c r="G15" s="501">
        <f>'DebtSvs-Library'!E80</f>
        <v>0</v>
      </c>
      <c r="H15" s="496"/>
      <c r="I15" s="496"/>
    </row>
    <row r="16" spans="2:9" ht="15.75" x14ac:dyDescent="0.2">
      <c r="B16" s="497" t="str">
        <f>'DebtSvs-Library'!B48</f>
        <v>Delinquent Tax</v>
      </c>
      <c r="C16" s="496"/>
      <c r="D16" s="496"/>
      <c r="E16" s="501">
        <f>'DebtSvs-Library'!D48</f>
        <v>0</v>
      </c>
      <c r="F16" s="496"/>
      <c r="G16" s="501">
        <f>'DebtSvs-Library'!E48</f>
        <v>0</v>
      </c>
      <c r="H16" s="496"/>
      <c r="I16" s="496"/>
    </row>
    <row r="17" spans="2:9" ht="15.75" x14ac:dyDescent="0.2">
      <c r="B17" s="497" t="str">
        <f>'DebtSvs-Library'!B49</f>
        <v>Motor Vehicle Tax</v>
      </c>
      <c r="C17" s="496"/>
      <c r="D17" s="496"/>
      <c r="E17" s="501">
        <f>'DebtSvs-Library'!D49</f>
        <v>0</v>
      </c>
      <c r="F17" s="496"/>
      <c r="G17" s="501">
        <f>'DebtSvs-Library'!E49</f>
        <v>0</v>
      </c>
      <c r="H17" s="496"/>
      <c r="I17" s="496"/>
    </row>
    <row r="18" spans="2:9" ht="15.75" x14ac:dyDescent="0.2">
      <c r="B18" s="497" t="str">
        <f>'DebtSvs-Library'!B50</f>
        <v>Recreational Vehicle Tax</v>
      </c>
      <c r="C18" s="496"/>
      <c r="D18" s="496"/>
      <c r="E18" s="501">
        <f>'DebtSvs-Library'!D50</f>
        <v>0</v>
      </c>
      <c r="F18" s="496"/>
      <c r="G18" s="501">
        <f>'DebtSvs-Library'!E50</f>
        <v>0</v>
      </c>
      <c r="H18" s="496"/>
      <c r="I18" s="496"/>
    </row>
    <row r="19" spans="2:9" ht="15.75" x14ac:dyDescent="0.2">
      <c r="B19" s="497" t="str">
        <f>'DebtSvs-Library'!B51</f>
        <v>16/20M Vehicle Tax</v>
      </c>
      <c r="C19" s="496"/>
      <c r="D19" s="496"/>
      <c r="E19" s="501">
        <f>'DebtSvs-Library'!D51</f>
        <v>0</v>
      </c>
      <c r="F19" s="496"/>
      <c r="G19" s="501">
        <f>'DebtSvs-Library'!E51</f>
        <v>0</v>
      </c>
      <c r="H19" s="496"/>
      <c r="I19" s="496"/>
    </row>
    <row r="20" spans="2:9" ht="15.75" x14ac:dyDescent="0.2">
      <c r="B20" s="496" t="s">
        <v>127</v>
      </c>
      <c r="C20" s="496"/>
      <c r="D20" s="496"/>
      <c r="E20" s="501">
        <v>0</v>
      </c>
      <c r="F20" s="496"/>
      <c r="G20" s="501">
        <v>0</v>
      </c>
      <c r="H20" s="496"/>
      <c r="I20" s="496"/>
    </row>
    <row r="21" spans="2:9" ht="15.75" x14ac:dyDescent="0.2">
      <c r="B21" s="496"/>
      <c r="C21" s="496"/>
      <c r="D21" s="496"/>
      <c r="E21" s="501">
        <v>0</v>
      </c>
      <c r="F21" s="496"/>
      <c r="G21" s="501">
        <v>0</v>
      </c>
      <c r="H21" s="496"/>
      <c r="I21" s="496"/>
    </row>
    <row r="22" spans="2:9" ht="15.75" x14ac:dyDescent="0.2">
      <c r="B22" s="496" t="s">
        <v>648</v>
      </c>
      <c r="C22" s="496"/>
      <c r="D22" s="496"/>
      <c r="E22" s="502">
        <f>SUM(E15:E21)</f>
        <v>0</v>
      </c>
      <c r="F22" s="496"/>
      <c r="G22" s="502">
        <f>SUM(G15:G21)</f>
        <v>0</v>
      </c>
      <c r="H22" s="496"/>
      <c r="I22" s="496"/>
    </row>
    <row r="23" spans="2:9" ht="15.75" x14ac:dyDescent="0.2">
      <c r="B23" s="496" t="s">
        <v>649</v>
      </c>
      <c r="C23" s="496"/>
      <c r="D23" s="496"/>
      <c r="E23" s="503">
        <f>G22-E22</f>
        <v>0</v>
      </c>
      <c r="F23" s="496"/>
      <c r="G23" s="504"/>
      <c r="H23" s="496"/>
      <c r="I23" s="496"/>
    </row>
    <row r="24" spans="2:9" ht="15.75" x14ac:dyDescent="0.2">
      <c r="B24" s="496" t="s">
        <v>650</v>
      </c>
      <c r="C24" s="496"/>
      <c r="D24" s="505" t="str">
        <f>IF((G22-E22)&gt;=0,"Qualify","Not Qualify")</f>
        <v>Qualify</v>
      </c>
      <c r="E24" s="496"/>
      <c r="F24" s="496"/>
      <c r="G24" s="496"/>
      <c r="H24" s="496"/>
      <c r="I24" s="496"/>
    </row>
    <row r="25" spans="2:9" ht="15.75" x14ac:dyDescent="0.2">
      <c r="B25" s="496"/>
      <c r="C25" s="496"/>
      <c r="D25" s="496"/>
      <c r="E25" s="496"/>
      <c r="F25" s="496"/>
      <c r="G25" s="496"/>
      <c r="H25" s="496"/>
      <c r="I25" s="496"/>
    </row>
    <row r="26" spans="2:9" ht="15.75" x14ac:dyDescent="0.2">
      <c r="B26" s="498" t="s">
        <v>651</v>
      </c>
      <c r="C26" s="496"/>
      <c r="D26" s="496"/>
      <c r="E26" s="496"/>
      <c r="F26" s="496"/>
      <c r="G26" s="496"/>
      <c r="H26" s="496"/>
      <c r="I26" s="496"/>
    </row>
    <row r="27" spans="2:9" ht="15.75" x14ac:dyDescent="0.2">
      <c r="B27" s="496" t="s">
        <v>652</v>
      </c>
      <c r="C27" s="496"/>
      <c r="D27" s="496"/>
      <c r="E27" s="501">
        <f>summ!E37</f>
        <v>6209630</v>
      </c>
      <c r="F27" s="496"/>
      <c r="G27" s="501">
        <f>summ!G37</f>
        <v>8878826</v>
      </c>
      <c r="H27" s="496"/>
      <c r="I27" s="496"/>
    </row>
    <row r="28" spans="2:9" ht="15.75" x14ac:dyDescent="0.2">
      <c r="B28" s="496" t="s">
        <v>653</v>
      </c>
      <c r="C28" s="496"/>
      <c r="D28" s="496"/>
      <c r="E28" s="506" t="str">
        <f>IF(G27-E27&gt;=0,"No","Yes")</f>
        <v>No</v>
      </c>
      <c r="F28" s="496"/>
      <c r="G28" s="496"/>
      <c r="H28" s="496"/>
      <c r="I28" s="496"/>
    </row>
    <row r="29" spans="2:9" ht="15.75" x14ac:dyDescent="0.2">
      <c r="B29" s="496" t="s">
        <v>654</v>
      </c>
      <c r="C29" s="496"/>
      <c r="D29" s="496"/>
      <c r="E29" s="507" t="str">
        <f>summ!F20</f>
        <v xml:space="preserve">  </v>
      </c>
      <c r="F29" s="496"/>
      <c r="G29" s="507" t="str">
        <f>summ!I20</f>
        <v xml:space="preserve"> </v>
      </c>
      <c r="H29" s="496"/>
      <c r="I29" s="496"/>
    </row>
    <row r="30" spans="2:9" ht="15.75" x14ac:dyDescent="0.2">
      <c r="B30" s="496" t="s">
        <v>655</v>
      </c>
      <c r="C30" s="496"/>
      <c r="D30" s="496"/>
      <c r="E30" s="508" t="e">
        <f>G29-E29</f>
        <v>#VALUE!</v>
      </c>
      <c r="F30" s="496"/>
      <c r="G30" s="496"/>
      <c r="H30" s="496"/>
      <c r="I30" s="496"/>
    </row>
    <row r="31" spans="2:9" ht="15.75" x14ac:dyDescent="0.2">
      <c r="B31" s="496" t="s">
        <v>650</v>
      </c>
      <c r="C31" s="496"/>
      <c r="D31" s="509" t="e">
        <f>IF(E30&gt;=0,"Qualify","Not Qualify")</f>
        <v>#VALUE!</v>
      </c>
      <c r="E31" s="496"/>
      <c r="F31" s="496"/>
      <c r="G31" s="496"/>
      <c r="H31" s="496"/>
      <c r="I31" s="496"/>
    </row>
    <row r="32" spans="2:9" ht="15.75" x14ac:dyDescent="0.2">
      <c r="B32" s="496"/>
      <c r="C32" s="496"/>
      <c r="D32" s="496"/>
      <c r="E32" s="496"/>
      <c r="F32" s="496"/>
      <c r="G32" s="496"/>
      <c r="H32" s="496"/>
      <c r="I32" s="496"/>
    </row>
    <row r="33" spans="2:9" ht="15.75" x14ac:dyDescent="0.2">
      <c r="B33" s="496" t="s">
        <v>656</v>
      </c>
      <c r="C33" s="496"/>
      <c r="D33" s="496"/>
      <c r="E33" s="496"/>
      <c r="F33" s="510" t="str">
        <f>IF(D24="Not Qualify",IF(D31="Not Qualify",IF(D31="Not Qualify","Not Qualify","Qualify"),"Qualify"),"Qualify")</f>
        <v>Qualify</v>
      </c>
      <c r="G33" s="496"/>
      <c r="H33" s="496"/>
      <c r="I33" s="496"/>
    </row>
    <row r="34" spans="2:9" ht="15.75" x14ac:dyDescent="0.2">
      <c r="B34" s="496"/>
      <c r="C34" s="496"/>
      <c r="D34" s="496"/>
      <c r="E34" s="496"/>
      <c r="F34" s="496"/>
      <c r="G34" s="496"/>
      <c r="H34" s="496"/>
      <c r="I34" s="496"/>
    </row>
    <row r="35" spans="2:9" ht="15.75" x14ac:dyDescent="0.2">
      <c r="B35" s="496"/>
      <c r="C35" s="496"/>
      <c r="D35" s="496"/>
      <c r="E35" s="496"/>
      <c r="F35" s="496"/>
      <c r="G35" s="496"/>
      <c r="H35" s="496"/>
      <c r="I35" s="496"/>
    </row>
    <row r="36" spans="2:9" ht="37.5" customHeight="1" x14ac:dyDescent="0.2">
      <c r="B36" s="891" t="s">
        <v>657</v>
      </c>
      <c r="C36" s="891"/>
      <c r="D36" s="891"/>
      <c r="E36" s="891"/>
      <c r="F36" s="891"/>
      <c r="G36" s="891"/>
      <c r="H36" s="891"/>
      <c r="I36" s="891"/>
    </row>
    <row r="37" spans="2:9" ht="15.75" x14ac:dyDescent="0.2">
      <c r="B37" s="496"/>
      <c r="C37" s="496"/>
      <c r="D37" s="496"/>
      <c r="E37" s="496"/>
      <c r="F37" s="496"/>
      <c r="G37" s="496"/>
      <c r="H37" s="496"/>
      <c r="I37" s="496"/>
    </row>
    <row r="38" spans="2:9" ht="15.75" x14ac:dyDescent="0.2">
      <c r="B38" s="496"/>
      <c r="C38" s="496"/>
      <c r="D38" s="496"/>
      <c r="E38" s="496"/>
      <c r="F38" s="496"/>
      <c r="G38" s="496"/>
      <c r="H38" s="496"/>
      <c r="I38" s="496"/>
    </row>
    <row r="39" spans="2:9" ht="15.75" x14ac:dyDescent="0.2">
      <c r="B39" s="496"/>
      <c r="C39" s="496"/>
      <c r="D39" s="496"/>
      <c r="E39" s="496"/>
      <c r="F39" s="496"/>
      <c r="G39" s="496"/>
      <c r="H39" s="496"/>
      <c r="I39" s="496"/>
    </row>
    <row r="40" spans="2:9" ht="15.75" x14ac:dyDescent="0.2">
      <c r="B40" s="496"/>
      <c r="C40" s="496"/>
      <c r="D40" s="496"/>
      <c r="E40" s="511" t="s">
        <v>658</v>
      </c>
      <c r="F40" s="512">
        <v>6</v>
      </c>
      <c r="G40" s="496"/>
      <c r="H40" s="496"/>
      <c r="I40" s="496"/>
    </row>
    <row r="41" spans="2:9" ht="15.75" x14ac:dyDescent="0.2">
      <c r="B41" s="496"/>
      <c r="C41" s="496"/>
      <c r="D41" s="496"/>
      <c r="E41" s="496"/>
      <c r="F41" s="496"/>
      <c r="G41" s="496"/>
      <c r="H41" s="496"/>
      <c r="I41" s="496"/>
    </row>
    <row r="42" spans="2:9" ht="15.75" x14ac:dyDescent="0.2">
      <c r="B42" s="496"/>
      <c r="C42" s="496"/>
      <c r="D42" s="496"/>
      <c r="E42" s="496"/>
      <c r="F42" s="496"/>
      <c r="G42" s="496"/>
      <c r="H42" s="496"/>
      <c r="I42" s="496"/>
    </row>
    <row r="43" spans="2:9" ht="15.75" x14ac:dyDescent="0.25">
      <c r="B43" s="887" t="s">
        <v>659</v>
      </c>
      <c r="C43" s="888"/>
      <c r="D43" s="888"/>
      <c r="E43" s="888"/>
      <c r="F43" s="888"/>
      <c r="G43" s="888"/>
      <c r="H43" s="888"/>
      <c r="I43" s="888"/>
    </row>
    <row r="44" spans="2:9" ht="15.75" x14ac:dyDescent="0.2">
      <c r="B44" s="496"/>
      <c r="C44" s="496"/>
      <c r="D44" s="496"/>
      <c r="E44" s="496"/>
      <c r="F44" s="496"/>
      <c r="G44" s="496"/>
      <c r="H44" s="496"/>
      <c r="I44" s="496"/>
    </row>
    <row r="45" spans="2:9" ht="15.75" x14ac:dyDescent="0.25">
      <c r="B45" s="513" t="s">
        <v>660</v>
      </c>
      <c r="C45" s="496"/>
      <c r="D45" s="496"/>
      <c r="E45" s="496"/>
      <c r="F45" s="496"/>
      <c r="G45" s="496"/>
      <c r="H45" s="496"/>
      <c r="I45" s="496"/>
    </row>
    <row r="46" spans="2:9" ht="15.75" x14ac:dyDescent="0.25">
      <c r="B46" s="513" t="str">
        <f>CONCATENATE("sources in your ",G14," library fund is not equal to or greater than the amount from the same")</f>
        <v>sources in your 2020 library fund is not equal to or greater than the amount from the same</v>
      </c>
      <c r="C46" s="496"/>
      <c r="D46" s="496"/>
      <c r="E46" s="496"/>
      <c r="F46" s="496"/>
      <c r="G46" s="496"/>
      <c r="H46" s="496"/>
      <c r="I46" s="496"/>
    </row>
    <row r="47" spans="2:9" ht="15.75" x14ac:dyDescent="0.25">
      <c r="B47" s="513" t="str">
        <f>CONCATENATE("sources in ",E14,".")</f>
        <v>sources in 2019.</v>
      </c>
      <c r="C47" s="494"/>
      <c r="D47" s="494"/>
      <c r="E47" s="494"/>
      <c r="F47" s="494"/>
      <c r="G47" s="494"/>
      <c r="H47" s="494"/>
      <c r="I47" s="494"/>
    </row>
    <row r="48" spans="2:9" ht="15.75" x14ac:dyDescent="0.25">
      <c r="B48" s="494"/>
      <c r="C48" s="494"/>
      <c r="D48" s="494"/>
      <c r="E48" s="494"/>
      <c r="F48" s="494"/>
      <c r="G48" s="494"/>
      <c r="H48" s="494"/>
      <c r="I48" s="494"/>
    </row>
    <row r="49" spans="2:9" ht="15.75" x14ac:dyDescent="0.25">
      <c r="B49" s="513" t="s">
        <v>661</v>
      </c>
      <c r="C49" s="513"/>
      <c r="D49" s="514"/>
      <c r="E49" s="514"/>
      <c r="F49" s="514"/>
      <c r="G49" s="514"/>
      <c r="H49" s="514"/>
      <c r="I49" s="514"/>
    </row>
    <row r="50" spans="2:9" ht="15.75" x14ac:dyDescent="0.25">
      <c r="B50" s="513" t="s">
        <v>662</v>
      </c>
      <c r="C50" s="513"/>
      <c r="D50" s="514"/>
      <c r="E50" s="514"/>
      <c r="F50" s="514"/>
      <c r="G50" s="514"/>
      <c r="H50" s="514"/>
      <c r="I50" s="514"/>
    </row>
    <row r="51" spans="2:9" ht="15.75" x14ac:dyDescent="0.25">
      <c r="B51" s="513" t="s">
        <v>663</v>
      </c>
      <c r="C51" s="513"/>
      <c r="D51" s="514"/>
      <c r="E51" s="514"/>
      <c r="F51" s="514"/>
      <c r="G51" s="514"/>
      <c r="H51" s="514"/>
      <c r="I51" s="514"/>
    </row>
    <row r="52" spans="2:9" x14ac:dyDescent="0.2">
      <c r="B52" s="514"/>
      <c r="C52" s="514"/>
      <c r="D52" s="514"/>
      <c r="E52" s="514"/>
      <c r="F52" s="514"/>
      <c r="G52" s="514"/>
      <c r="H52" s="514"/>
      <c r="I52" s="514"/>
    </row>
    <row r="53" spans="2:9" ht="15.75" x14ac:dyDescent="0.25">
      <c r="B53" s="515" t="s">
        <v>664</v>
      </c>
      <c r="C53" s="514"/>
      <c r="D53" s="514"/>
      <c r="E53" s="514"/>
      <c r="F53" s="514"/>
      <c r="G53" s="514"/>
      <c r="H53" s="514"/>
      <c r="I53" s="514"/>
    </row>
    <row r="54" spans="2:9" x14ac:dyDescent="0.2">
      <c r="B54" s="514"/>
      <c r="C54" s="514"/>
      <c r="D54" s="514"/>
      <c r="E54" s="514"/>
      <c r="F54" s="514"/>
      <c r="G54" s="514"/>
      <c r="H54" s="514"/>
      <c r="I54" s="514"/>
    </row>
    <row r="55" spans="2:9" ht="15.75" x14ac:dyDescent="0.25">
      <c r="B55" s="513" t="s">
        <v>665</v>
      </c>
      <c r="C55" s="514"/>
      <c r="D55" s="514"/>
      <c r="E55" s="514"/>
      <c r="F55" s="514"/>
      <c r="G55" s="514"/>
      <c r="H55" s="514"/>
      <c r="I55" s="514"/>
    </row>
    <row r="56" spans="2:9" ht="15.75" x14ac:dyDescent="0.25">
      <c r="B56" s="513" t="s">
        <v>666</v>
      </c>
      <c r="C56" s="514"/>
      <c r="D56" s="514"/>
      <c r="E56" s="514"/>
      <c r="F56" s="514"/>
      <c r="G56" s="514"/>
      <c r="H56" s="514"/>
      <c r="I56" s="514"/>
    </row>
    <row r="57" spans="2:9" x14ac:dyDescent="0.2">
      <c r="B57" s="514"/>
      <c r="C57" s="514"/>
      <c r="D57" s="514"/>
      <c r="E57" s="514"/>
      <c r="F57" s="514"/>
      <c r="G57" s="514"/>
      <c r="H57" s="514"/>
      <c r="I57" s="514"/>
    </row>
    <row r="58" spans="2:9" ht="15.75" x14ac:dyDescent="0.25">
      <c r="B58" s="515" t="s">
        <v>667</v>
      </c>
      <c r="C58" s="513"/>
      <c r="D58" s="513"/>
      <c r="E58" s="513"/>
      <c r="F58" s="513"/>
      <c r="G58" s="514"/>
      <c r="H58" s="514"/>
      <c r="I58" s="514"/>
    </row>
    <row r="59" spans="2:9" ht="15.75" x14ac:dyDescent="0.25">
      <c r="B59" s="513"/>
      <c r="C59" s="513"/>
      <c r="D59" s="513"/>
      <c r="E59" s="513"/>
      <c r="F59" s="513"/>
      <c r="G59" s="514"/>
      <c r="H59" s="514"/>
      <c r="I59" s="514"/>
    </row>
    <row r="60" spans="2:9" ht="15.75" x14ac:dyDescent="0.25">
      <c r="B60" s="513" t="s">
        <v>668</v>
      </c>
      <c r="C60" s="513"/>
      <c r="D60" s="513"/>
      <c r="E60" s="513"/>
      <c r="F60" s="513"/>
      <c r="G60" s="514"/>
      <c r="H60" s="514"/>
      <c r="I60" s="514"/>
    </row>
    <row r="61" spans="2:9" ht="15.75" x14ac:dyDescent="0.25">
      <c r="B61" s="513" t="s">
        <v>669</v>
      </c>
      <c r="C61" s="513"/>
      <c r="D61" s="513"/>
      <c r="E61" s="513"/>
      <c r="F61" s="513"/>
      <c r="G61" s="514"/>
      <c r="H61" s="514"/>
      <c r="I61" s="514"/>
    </row>
    <row r="62" spans="2:9" ht="15.75" x14ac:dyDescent="0.25">
      <c r="B62" s="513" t="s">
        <v>670</v>
      </c>
      <c r="C62" s="513"/>
      <c r="D62" s="513"/>
      <c r="E62" s="513"/>
      <c r="F62" s="513"/>
      <c r="G62" s="514"/>
      <c r="H62" s="514"/>
      <c r="I62" s="514"/>
    </row>
    <row r="63" spans="2:9" ht="15.75" x14ac:dyDescent="0.25">
      <c r="B63" s="513" t="s">
        <v>671</v>
      </c>
      <c r="C63" s="513"/>
      <c r="D63" s="513"/>
      <c r="E63" s="513"/>
      <c r="F63" s="513"/>
      <c r="G63" s="514"/>
      <c r="H63" s="514"/>
      <c r="I63" s="514"/>
    </row>
    <row r="64" spans="2:9" x14ac:dyDescent="0.2">
      <c r="B64" s="516"/>
      <c r="C64" s="516"/>
      <c r="D64" s="516"/>
      <c r="E64" s="516"/>
      <c r="F64" s="516"/>
      <c r="G64" s="514"/>
      <c r="H64" s="514"/>
      <c r="I64" s="514"/>
    </row>
    <row r="65" spans="2:9" ht="15.75" x14ac:dyDescent="0.25">
      <c r="B65" s="513" t="s">
        <v>672</v>
      </c>
      <c r="C65" s="516"/>
      <c r="D65" s="516"/>
      <c r="E65" s="516"/>
      <c r="F65" s="516"/>
      <c r="G65" s="514"/>
      <c r="H65" s="514"/>
      <c r="I65" s="514"/>
    </row>
    <row r="66" spans="2:9" ht="15.75" x14ac:dyDescent="0.25">
      <c r="B66" s="513" t="s">
        <v>673</v>
      </c>
      <c r="C66" s="516"/>
      <c r="D66" s="516"/>
      <c r="E66" s="516"/>
      <c r="F66" s="516"/>
      <c r="G66" s="514"/>
      <c r="H66" s="514"/>
      <c r="I66" s="514"/>
    </row>
    <row r="67" spans="2:9" x14ac:dyDescent="0.2">
      <c r="B67" s="516"/>
      <c r="C67" s="516"/>
      <c r="D67" s="516"/>
      <c r="E67" s="516"/>
      <c r="F67" s="516"/>
      <c r="G67" s="514"/>
      <c r="H67" s="514"/>
      <c r="I67" s="514"/>
    </row>
    <row r="68" spans="2:9" ht="15.75" x14ac:dyDescent="0.25">
      <c r="B68" s="513" t="s">
        <v>674</v>
      </c>
      <c r="C68" s="516"/>
      <c r="D68" s="516"/>
      <c r="E68" s="516"/>
      <c r="F68" s="516"/>
      <c r="G68" s="514"/>
      <c r="H68" s="514"/>
      <c r="I68" s="514"/>
    </row>
    <row r="69" spans="2:9" ht="15.75" x14ac:dyDescent="0.25">
      <c r="B69" s="513" t="s">
        <v>675</v>
      </c>
      <c r="C69" s="516"/>
      <c r="D69" s="516"/>
      <c r="E69" s="516"/>
      <c r="F69" s="516"/>
      <c r="G69" s="514"/>
      <c r="H69" s="514"/>
      <c r="I69" s="514"/>
    </row>
    <row r="70" spans="2:9" x14ac:dyDescent="0.2">
      <c r="B70" s="516"/>
      <c r="C70" s="516"/>
      <c r="D70" s="516"/>
      <c r="E70" s="516"/>
      <c r="F70" s="516"/>
      <c r="G70" s="514"/>
      <c r="H70" s="514"/>
      <c r="I70" s="514"/>
    </row>
    <row r="71" spans="2:9" ht="15.75" x14ac:dyDescent="0.25">
      <c r="B71" s="515" t="s">
        <v>676</v>
      </c>
      <c r="C71" s="516"/>
      <c r="D71" s="516"/>
      <c r="E71" s="516"/>
      <c r="F71" s="516"/>
      <c r="G71" s="514"/>
      <c r="H71" s="514"/>
      <c r="I71" s="514"/>
    </row>
    <row r="72" spans="2:9" x14ac:dyDescent="0.2">
      <c r="B72" s="516"/>
      <c r="C72" s="516"/>
      <c r="D72" s="516"/>
      <c r="E72" s="516"/>
      <c r="F72" s="516"/>
      <c r="G72" s="514"/>
      <c r="H72" s="514"/>
      <c r="I72" s="514"/>
    </row>
    <row r="73" spans="2:9" ht="15.75" x14ac:dyDescent="0.25">
      <c r="B73" s="513" t="s">
        <v>677</v>
      </c>
      <c r="C73" s="516"/>
      <c r="D73" s="516"/>
      <c r="E73" s="516"/>
      <c r="F73" s="516"/>
      <c r="G73" s="514"/>
      <c r="H73" s="514"/>
      <c r="I73" s="514"/>
    </row>
    <row r="74" spans="2:9" ht="15.75" x14ac:dyDescent="0.25">
      <c r="B74" s="513" t="s">
        <v>678</v>
      </c>
      <c r="C74" s="516"/>
      <c r="D74" s="516"/>
      <c r="E74" s="516"/>
      <c r="F74" s="516"/>
      <c r="G74" s="514"/>
      <c r="H74" s="514"/>
      <c r="I74" s="514"/>
    </row>
    <row r="75" spans="2:9" x14ac:dyDescent="0.2">
      <c r="B75" s="516"/>
      <c r="C75" s="516"/>
      <c r="D75" s="516"/>
      <c r="E75" s="516"/>
      <c r="F75" s="516"/>
      <c r="G75" s="514"/>
      <c r="H75" s="514"/>
      <c r="I75" s="514"/>
    </row>
    <row r="76" spans="2:9" ht="15.75" x14ac:dyDescent="0.25">
      <c r="B76" s="515" t="s">
        <v>679</v>
      </c>
      <c r="C76" s="516"/>
      <c r="D76" s="516"/>
      <c r="E76" s="516"/>
      <c r="F76" s="516"/>
      <c r="G76" s="514"/>
      <c r="H76" s="514"/>
      <c r="I76" s="514"/>
    </row>
    <row r="77" spans="2:9" x14ac:dyDescent="0.2">
      <c r="B77" s="516"/>
      <c r="C77" s="516"/>
      <c r="D77" s="516"/>
      <c r="E77" s="516"/>
      <c r="F77" s="516"/>
      <c r="G77" s="514"/>
      <c r="H77" s="514"/>
      <c r="I77" s="514"/>
    </row>
    <row r="78" spans="2:9" ht="15.75" x14ac:dyDescent="0.25">
      <c r="B78" s="513" t="str">
        <f>CONCATENATE("If the ",G14," municipal budget has not been published and has not been submitted to the County")</f>
        <v>If the 2020 municipal budget has not been published and has not been submitted to the County</v>
      </c>
      <c r="C78" s="516"/>
      <c r="D78" s="516"/>
      <c r="E78" s="516"/>
      <c r="F78" s="516"/>
      <c r="G78" s="514"/>
      <c r="H78" s="514"/>
      <c r="I78" s="514"/>
    </row>
    <row r="79" spans="2:9" ht="15.75" x14ac:dyDescent="0.25">
      <c r="B79" s="513" t="s">
        <v>680</v>
      </c>
      <c r="C79" s="516"/>
      <c r="D79" s="516"/>
      <c r="E79" s="516"/>
      <c r="F79" s="516"/>
      <c r="G79" s="514"/>
      <c r="H79" s="514"/>
      <c r="I79" s="514"/>
    </row>
    <row r="80" spans="2:9" x14ac:dyDescent="0.2">
      <c r="B80" s="516"/>
      <c r="C80" s="516"/>
      <c r="D80" s="516"/>
      <c r="E80" s="516"/>
      <c r="F80" s="516"/>
      <c r="G80" s="514"/>
      <c r="H80" s="514"/>
      <c r="I80" s="514"/>
    </row>
    <row r="81" spans="2:9" ht="15.75" x14ac:dyDescent="0.25">
      <c r="B81" s="515" t="s">
        <v>320</v>
      </c>
      <c r="C81" s="516"/>
      <c r="D81" s="516"/>
      <c r="E81" s="516"/>
      <c r="F81" s="516"/>
      <c r="G81" s="514"/>
      <c r="H81" s="514"/>
      <c r="I81" s="514"/>
    </row>
    <row r="82" spans="2:9" x14ac:dyDescent="0.2">
      <c r="B82" s="516"/>
      <c r="C82" s="516"/>
      <c r="D82" s="516"/>
      <c r="E82" s="516"/>
      <c r="F82" s="516"/>
      <c r="G82" s="514"/>
      <c r="H82" s="514"/>
      <c r="I82" s="514"/>
    </row>
    <row r="83" spans="2:9" ht="15.75" x14ac:dyDescent="0.25">
      <c r="B83" s="513" t="s">
        <v>681</v>
      </c>
      <c r="C83" s="516"/>
      <c r="D83" s="516"/>
      <c r="E83" s="516"/>
      <c r="F83" s="516"/>
      <c r="G83" s="514"/>
      <c r="H83" s="514"/>
      <c r="I83" s="514"/>
    </row>
    <row r="84" spans="2:9" ht="15.75" x14ac:dyDescent="0.25">
      <c r="B84" s="513" t="str">
        <f>CONCATENATE("Budget Year ",G14," is equal to or greater than that for Current Year Estimate ",E14,".")</f>
        <v>Budget Year 2020 is equal to or greater than that for Current Year Estimate 2019.</v>
      </c>
      <c r="C84" s="516"/>
      <c r="D84" s="516"/>
      <c r="E84" s="516"/>
      <c r="F84" s="516"/>
      <c r="G84" s="514"/>
      <c r="H84" s="514"/>
      <c r="I84" s="514"/>
    </row>
    <row r="85" spans="2:9" x14ac:dyDescent="0.2">
      <c r="B85" s="516"/>
      <c r="C85" s="516"/>
      <c r="D85" s="516"/>
      <c r="E85" s="516"/>
      <c r="F85" s="516"/>
      <c r="G85" s="514"/>
      <c r="H85" s="514"/>
      <c r="I85" s="514"/>
    </row>
    <row r="86" spans="2:9" ht="15.75" x14ac:dyDescent="0.25">
      <c r="B86" s="513" t="s">
        <v>682</v>
      </c>
      <c r="C86" s="516"/>
      <c r="D86" s="516"/>
      <c r="E86" s="516"/>
      <c r="F86" s="516"/>
      <c r="G86" s="514"/>
      <c r="H86" s="514"/>
      <c r="I86" s="514"/>
    </row>
    <row r="87" spans="2:9" ht="15.75" x14ac:dyDescent="0.25">
      <c r="B87" s="513" t="s">
        <v>683</v>
      </c>
      <c r="C87" s="516"/>
      <c r="D87" s="516"/>
      <c r="E87" s="516"/>
      <c r="F87" s="516"/>
      <c r="G87" s="514"/>
      <c r="H87" s="514"/>
      <c r="I87" s="514"/>
    </row>
    <row r="88" spans="2:9" ht="15.75" x14ac:dyDescent="0.25">
      <c r="B88" s="513" t="s">
        <v>684</v>
      </c>
      <c r="C88" s="516"/>
      <c r="D88" s="516"/>
      <c r="E88" s="516"/>
      <c r="F88" s="516"/>
      <c r="G88" s="514"/>
      <c r="H88" s="514"/>
      <c r="I88" s="514"/>
    </row>
    <row r="89" spans="2:9" ht="15.75" x14ac:dyDescent="0.25">
      <c r="B89" s="513" t="str">
        <f>CONCATENATE("purpose for the previous (",E14,") year.")</f>
        <v>purpose for the previous (2019) year.</v>
      </c>
      <c r="C89" s="516"/>
      <c r="D89" s="516"/>
      <c r="E89" s="516"/>
      <c r="F89" s="516"/>
      <c r="G89" s="514"/>
      <c r="H89" s="514"/>
      <c r="I89" s="514"/>
    </row>
    <row r="90" spans="2:9" x14ac:dyDescent="0.2">
      <c r="B90" s="516"/>
      <c r="C90" s="516"/>
      <c r="D90" s="516"/>
      <c r="E90" s="516"/>
      <c r="F90" s="516"/>
      <c r="G90" s="514"/>
      <c r="H90" s="514"/>
      <c r="I90" s="514"/>
    </row>
    <row r="91" spans="2:9" ht="15.75" x14ac:dyDescent="0.25">
      <c r="B91" s="513" t="str">
        <f>CONCATENATE("Next, look to see if delinquent tax for ",G14," is budgeted. Often this line is budgeted at $0 or left")</f>
        <v>Next, look to see if delinquent tax for 2020 is budgeted. Often this line is budgeted at $0 or left</v>
      </c>
      <c r="C91" s="516"/>
      <c r="D91" s="516"/>
      <c r="E91" s="516"/>
      <c r="F91" s="516"/>
      <c r="G91" s="514"/>
      <c r="H91" s="514"/>
      <c r="I91" s="514"/>
    </row>
    <row r="92" spans="2:9" ht="15.75" x14ac:dyDescent="0.25">
      <c r="B92" s="513" t="s">
        <v>685</v>
      </c>
      <c r="C92" s="516"/>
      <c r="D92" s="516"/>
      <c r="E92" s="516"/>
      <c r="F92" s="516"/>
      <c r="G92" s="514"/>
      <c r="H92" s="514"/>
      <c r="I92" s="514"/>
    </row>
    <row r="93" spans="2:9" ht="15.75" x14ac:dyDescent="0.25">
      <c r="B93" s="513" t="s">
        <v>686</v>
      </c>
      <c r="C93" s="516"/>
      <c r="D93" s="516"/>
      <c r="E93" s="516"/>
      <c r="F93" s="516"/>
      <c r="G93" s="514"/>
      <c r="H93" s="514"/>
      <c r="I93" s="514"/>
    </row>
    <row r="94" spans="2:9" ht="15.75" x14ac:dyDescent="0.25">
      <c r="B94" s="513" t="s">
        <v>687</v>
      </c>
      <c r="C94" s="516"/>
      <c r="D94" s="516"/>
      <c r="E94" s="516"/>
      <c r="F94" s="516"/>
      <c r="G94" s="514"/>
      <c r="H94" s="514"/>
      <c r="I94" s="514"/>
    </row>
    <row r="95" spans="2:9" x14ac:dyDescent="0.2">
      <c r="B95" s="516"/>
      <c r="C95" s="516"/>
      <c r="D95" s="516"/>
      <c r="E95" s="516"/>
      <c r="F95" s="516"/>
      <c r="G95" s="514"/>
      <c r="H95" s="514"/>
      <c r="I95" s="514"/>
    </row>
    <row r="96" spans="2:9" ht="15.75" x14ac:dyDescent="0.25">
      <c r="B96" s="515" t="s">
        <v>688</v>
      </c>
      <c r="C96" s="516"/>
      <c r="D96" s="516"/>
      <c r="E96" s="516"/>
      <c r="F96" s="516"/>
      <c r="G96" s="514"/>
      <c r="H96" s="514"/>
      <c r="I96" s="514"/>
    </row>
    <row r="97" spans="2:9" x14ac:dyDescent="0.2">
      <c r="B97" s="516"/>
      <c r="C97" s="516"/>
      <c r="D97" s="516"/>
      <c r="E97" s="516"/>
      <c r="F97" s="516"/>
      <c r="G97" s="514"/>
      <c r="H97" s="514"/>
      <c r="I97" s="514"/>
    </row>
    <row r="98" spans="2:9" ht="15.75" x14ac:dyDescent="0.25">
      <c r="B98" s="513" t="s">
        <v>689</v>
      </c>
      <c r="C98" s="516"/>
      <c r="D98" s="516"/>
      <c r="E98" s="516"/>
      <c r="F98" s="516"/>
      <c r="G98" s="514"/>
      <c r="H98" s="514"/>
      <c r="I98" s="514"/>
    </row>
    <row r="99" spans="2:9" ht="15.75" x14ac:dyDescent="0.25">
      <c r="B99" s="513" t="s">
        <v>690</v>
      </c>
      <c r="C99" s="516"/>
      <c r="D99" s="516"/>
      <c r="E99" s="516"/>
      <c r="F99" s="516"/>
      <c r="G99" s="514"/>
      <c r="H99" s="514"/>
      <c r="I99" s="514"/>
    </row>
    <row r="100" spans="2:9" x14ac:dyDescent="0.2">
      <c r="B100" s="516"/>
      <c r="C100" s="516"/>
      <c r="D100" s="516"/>
      <c r="E100" s="516"/>
      <c r="F100" s="516"/>
      <c r="G100" s="514"/>
      <c r="H100" s="514"/>
      <c r="I100" s="514"/>
    </row>
    <row r="101" spans="2:9" ht="15.75" x14ac:dyDescent="0.25">
      <c r="B101" s="513" t="s">
        <v>691</v>
      </c>
      <c r="C101" s="516"/>
      <c r="D101" s="516"/>
      <c r="E101" s="516"/>
      <c r="F101" s="516"/>
      <c r="G101" s="514"/>
      <c r="H101" s="514"/>
      <c r="I101" s="514"/>
    </row>
    <row r="102" spans="2:9" ht="15.75" x14ac:dyDescent="0.25">
      <c r="B102" s="513" t="s">
        <v>692</v>
      </c>
      <c r="C102" s="516"/>
      <c r="D102" s="516"/>
      <c r="E102" s="516"/>
      <c r="F102" s="516"/>
      <c r="G102" s="514"/>
      <c r="H102" s="514"/>
      <c r="I102" s="514"/>
    </row>
    <row r="103" spans="2:9" ht="15.75" x14ac:dyDescent="0.25">
      <c r="B103" s="513" t="s">
        <v>693</v>
      </c>
      <c r="C103" s="516"/>
      <c r="D103" s="516"/>
      <c r="E103" s="516"/>
      <c r="F103" s="516"/>
      <c r="G103" s="514"/>
      <c r="H103" s="514"/>
      <c r="I103" s="514"/>
    </row>
    <row r="104" spans="2:9" ht="15.75" x14ac:dyDescent="0.25">
      <c r="B104" s="513" t="s">
        <v>694</v>
      </c>
      <c r="C104" s="516"/>
      <c r="D104" s="516"/>
      <c r="E104" s="516"/>
      <c r="F104" s="516"/>
      <c r="G104" s="514"/>
      <c r="H104" s="514"/>
      <c r="I104" s="514"/>
    </row>
    <row r="105" spans="2:9" ht="15.75" x14ac:dyDescent="0.25">
      <c r="B105" s="731" t="s">
        <v>968</v>
      </c>
      <c r="C105" s="670"/>
      <c r="D105" s="670"/>
      <c r="E105" s="670"/>
      <c r="F105" s="670"/>
      <c r="G105" s="514"/>
      <c r="H105" s="514"/>
      <c r="I105" s="514"/>
    </row>
    <row r="108" spans="2:9" x14ac:dyDescent="0.2">
      <c r="G108" s="517"/>
    </row>
  </sheetData>
  <sheetProtection sheet="1"/>
  <mergeCells count="6">
    <mergeCell ref="B43:I43"/>
    <mergeCell ref="B2:I2"/>
    <mergeCell ref="B3:I3"/>
    <mergeCell ref="B5:I5"/>
    <mergeCell ref="B10:I10"/>
    <mergeCell ref="B36:I36"/>
  </mergeCells>
  <hyperlinks>
    <hyperlink ref="B105" r:id="rId1" xr:uid="{00000000-0004-0000-0B00-000000000000}"/>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B1:K76"/>
  <sheetViews>
    <sheetView workbookViewId="0">
      <selection activeCell="F46" sqref="F46"/>
    </sheetView>
  </sheetViews>
  <sheetFormatPr defaultColWidth="8.796875" defaultRowHeight="15.75" x14ac:dyDescent="0.2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ol min="9" max="9" width="3.3984375" style="5" customWidth="1"/>
    <col min="10" max="10" width="10.3984375" style="5" customWidth="1"/>
    <col min="11" max="16384" width="8.796875" style="5"/>
  </cols>
  <sheetData>
    <row r="1" spans="2:5" x14ac:dyDescent="0.25">
      <c r="B1" s="2" t="str">
        <f>inputPrYr!D3</f>
        <v>ROVOHL TOWNSHIP</v>
      </c>
      <c r="C1" s="3"/>
      <c r="D1" s="3"/>
      <c r="E1" s="4">
        <f>inputPrYr!D6</f>
        <v>2020</v>
      </c>
    </row>
    <row r="2" spans="2:5" x14ac:dyDescent="0.25">
      <c r="B2" s="6"/>
      <c r="C2" s="3"/>
      <c r="D2" s="3"/>
      <c r="E2" s="7"/>
    </row>
    <row r="3" spans="2:5" x14ac:dyDescent="0.25">
      <c r="B3" s="480" t="s">
        <v>630</v>
      </c>
      <c r="C3" s="9"/>
      <c r="D3" s="9"/>
      <c r="E3" s="10"/>
    </row>
    <row r="4" spans="2:5" x14ac:dyDescent="0.25">
      <c r="B4" s="11" t="s">
        <v>6</v>
      </c>
      <c r="C4" s="340" t="s">
        <v>7</v>
      </c>
      <c r="D4" s="343" t="s">
        <v>8</v>
      </c>
      <c r="E4" s="12" t="s">
        <v>9</v>
      </c>
    </row>
    <row r="5" spans="2:5" x14ac:dyDescent="0.25">
      <c r="B5" s="349" t="str">
        <f>inputPrYr!B19</f>
        <v>General</v>
      </c>
      <c r="C5" s="341" t="str">
        <f>CONCATENATE("Actual for ",$E$1-2,"")</f>
        <v>Actual for 2018</v>
      </c>
      <c r="D5" s="341" t="str">
        <f>CONCATENATE("Estimate for ",$E$1-1,"")</f>
        <v>Estimate for 2019</v>
      </c>
      <c r="E5" s="15" t="str">
        <f>CONCATENATE("Year for ",$E$1,"")</f>
        <v>Year for 2020</v>
      </c>
    </row>
    <row r="6" spans="2:5" x14ac:dyDescent="0.25">
      <c r="B6" s="16" t="s">
        <v>102</v>
      </c>
      <c r="C6" s="18">
        <v>66318</v>
      </c>
      <c r="D6" s="342">
        <f>C51</f>
        <v>79699</v>
      </c>
      <c r="E6" s="21">
        <f>D51</f>
        <v>31140</v>
      </c>
    </row>
    <row r="7" spans="2:5" x14ac:dyDescent="0.25">
      <c r="B7" s="16" t="s">
        <v>104</v>
      </c>
      <c r="C7" s="342"/>
      <c r="D7" s="342"/>
      <c r="E7" s="22"/>
    </row>
    <row r="8" spans="2:5" x14ac:dyDescent="0.25">
      <c r="B8" s="16" t="s">
        <v>12</v>
      </c>
      <c r="C8" s="18">
        <v>88170</v>
      </c>
      <c r="D8" s="342">
        <f>IF(inputPrYr!H18&gt;0,inputPrYr!G19,inputPrYr!E19)</f>
        <v>123381</v>
      </c>
      <c r="E8" s="22" t="s">
        <v>249</v>
      </c>
    </row>
    <row r="9" spans="2:5" x14ac:dyDescent="0.25">
      <c r="B9" s="16" t="s">
        <v>13</v>
      </c>
      <c r="C9" s="18">
        <v>890</v>
      </c>
      <c r="D9" s="18"/>
      <c r="E9" s="23"/>
    </row>
    <row r="10" spans="2:5" x14ac:dyDescent="0.25">
      <c r="B10" s="16" t="s">
        <v>14</v>
      </c>
      <c r="C10" s="18">
        <v>4634</v>
      </c>
      <c r="D10" s="18">
        <v>4000</v>
      </c>
      <c r="E10" s="21">
        <f>mvalloc!D11</f>
        <v>4430</v>
      </c>
    </row>
    <row r="11" spans="2:5" x14ac:dyDescent="0.25">
      <c r="B11" s="16" t="s">
        <v>15</v>
      </c>
      <c r="C11" s="18">
        <v>117</v>
      </c>
      <c r="D11" s="18">
        <v>110</v>
      </c>
      <c r="E11" s="21">
        <f>mvalloc!E11</f>
        <v>119</v>
      </c>
    </row>
    <row r="12" spans="2:5" x14ac:dyDescent="0.25">
      <c r="B12" s="24" t="s">
        <v>64</v>
      </c>
      <c r="C12" s="18">
        <v>664</v>
      </c>
      <c r="D12" s="18">
        <v>650</v>
      </c>
      <c r="E12" s="21">
        <f>mvalloc!F11</f>
        <v>1007</v>
      </c>
    </row>
    <row r="13" spans="2:5" x14ac:dyDescent="0.25">
      <c r="B13" s="754" t="s">
        <v>817</v>
      </c>
      <c r="C13" s="18">
        <v>124</v>
      </c>
      <c r="D13" s="18">
        <v>100</v>
      </c>
      <c r="E13" s="21">
        <f>mvalloc!G11</f>
        <v>113</v>
      </c>
    </row>
    <row r="14" spans="2:5" x14ac:dyDescent="0.25">
      <c r="B14" s="754" t="s">
        <v>818</v>
      </c>
      <c r="C14" s="18"/>
      <c r="D14" s="18"/>
      <c r="E14" s="21">
        <f>mvalloc!H11</f>
        <v>0</v>
      </c>
    </row>
    <row r="15" spans="2:5" x14ac:dyDescent="0.25">
      <c r="B15" s="24" t="s">
        <v>127</v>
      </c>
      <c r="C15" s="18"/>
      <c r="D15" s="18"/>
      <c r="E15" s="21">
        <f>inputOth!E37</f>
        <v>0</v>
      </c>
    </row>
    <row r="16" spans="2:5" x14ac:dyDescent="0.25">
      <c r="B16" s="16" t="s">
        <v>16</v>
      </c>
      <c r="C16" s="18"/>
      <c r="D16" s="18"/>
      <c r="E16" s="21">
        <f>inputOth!E12</f>
        <v>0</v>
      </c>
    </row>
    <row r="17" spans="2:10" x14ac:dyDescent="0.25">
      <c r="B17" s="26" t="s">
        <v>989</v>
      </c>
      <c r="C17" s="18">
        <v>16000</v>
      </c>
      <c r="D17" s="18"/>
      <c r="E17" s="25"/>
    </row>
    <row r="18" spans="2:10" x14ac:dyDescent="0.25">
      <c r="B18" s="26" t="s">
        <v>990</v>
      </c>
      <c r="C18" s="18">
        <v>5522</v>
      </c>
      <c r="D18" s="18">
        <v>5000</v>
      </c>
      <c r="E18" s="23">
        <v>5000</v>
      </c>
    </row>
    <row r="19" spans="2:10" x14ac:dyDescent="0.25">
      <c r="B19" s="26"/>
      <c r="C19" s="18"/>
      <c r="D19" s="18"/>
      <c r="E19" s="23"/>
    </row>
    <row r="20" spans="2:10" x14ac:dyDescent="0.25">
      <c r="B20" s="27"/>
      <c r="C20" s="18"/>
      <c r="D20" s="18"/>
      <c r="E20" s="23"/>
    </row>
    <row r="21" spans="2:10" x14ac:dyDescent="0.25">
      <c r="B21" s="27"/>
      <c r="C21" s="18"/>
      <c r="D21" s="18"/>
      <c r="E21" s="23"/>
    </row>
    <row r="22" spans="2:10" x14ac:dyDescent="0.25">
      <c r="B22" s="27"/>
      <c r="C22" s="18"/>
      <c r="D22" s="18"/>
      <c r="E22" s="23"/>
    </row>
    <row r="23" spans="2:10" x14ac:dyDescent="0.25">
      <c r="B23" s="26"/>
      <c r="C23" s="18"/>
      <c r="D23" s="18"/>
      <c r="E23" s="23"/>
    </row>
    <row r="24" spans="2:10" x14ac:dyDescent="0.25">
      <c r="B24" s="27" t="s">
        <v>18</v>
      </c>
      <c r="C24" s="18">
        <v>33</v>
      </c>
      <c r="D24" s="18"/>
      <c r="E24" s="23"/>
    </row>
    <row r="25" spans="2:10" x14ac:dyDescent="0.25">
      <c r="B25" s="24" t="s">
        <v>178</v>
      </c>
      <c r="C25" s="18">
        <v>-973</v>
      </c>
      <c r="D25" s="18"/>
      <c r="E25" s="35">
        <f>nhood!E6*-1</f>
        <v>0</v>
      </c>
    </row>
    <row r="26" spans="2:10" x14ac:dyDescent="0.25">
      <c r="B26" s="28" t="s">
        <v>176</v>
      </c>
      <c r="C26" s="18"/>
      <c r="D26" s="18"/>
      <c r="E26" s="23"/>
    </row>
    <row r="27" spans="2:10" x14ac:dyDescent="0.25">
      <c r="B27" s="28" t="s">
        <v>177</v>
      </c>
      <c r="C27" s="339" t="str">
        <f>IF(C28*0.1&lt;C26,"Exceed 10% Rule","")</f>
        <v/>
      </c>
      <c r="D27" s="339" t="str">
        <f>IF(D28*0.1&lt;D26,"Exceed 10% Rule","")</f>
        <v/>
      </c>
      <c r="E27" s="34" t="str">
        <f>IF(E28*0.1+E57&lt;E26,"Exceed 10% Rule","")</f>
        <v/>
      </c>
    </row>
    <row r="28" spans="2:10" x14ac:dyDescent="0.25">
      <c r="B28" s="30" t="s">
        <v>19</v>
      </c>
      <c r="C28" s="344">
        <f>SUM(C8:C26)</f>
        <v>115181</v>
      </c>
      <c r="D28" s="344">
        <f>SUM(D8:D26)</f>
        <v>133241</v>
      </c>
      <c r="E28" s="31">
        <f>SUM(E8:E26)</f>
        <v>10669</v>
      </c>
    </row>
    <row r="29" spans="2:10" x14ac:dyDescent="0.25">
      <c r="B29" s="32" t="s">
        <v>20</v>
      </c>
      <c r="C29" s="344">
        <f>C28+C6</f>
        <v>181499</v>
      </c>
      <c r="D29" s="344">
        <f>D28+D6</f>
        <v>212940</v>
      </c>
      <c r="E29" s="31">
        <f>E28+E6</f>
        <v>41809</v>
      </c>
    </row>
    <row r="30" spans="2:10" x14ac:dyDescent="0.25">
      <c r="B30" s="16" t="s">
        <v>21</v>
      </c>
      <c r="C30" s="342"/>
      <c r="D30" s="342"/>
      <c r="E30" s="21"/>
    </row>
    <row r="31" spans="2:10" x14ac:dyDescent="0.25">
      <c r="B31" s="26"/>
      <c r="C31" s="18"/>
      <c r="D31" s="18"/>
      <c r="E31" s="23"/>
      <c r="G31" s="898" t="str">
        <f>CONCATENATE("Desired Carryover Into ",E1+1,"")</f>
        <v>Desired Carryover Into 2021</v>
      </c>
      <c r="H31" s="899"/>
      <c r="I31" s="899"/>
      <c r="J31" s="900"/>
    </row>
    <row r="32" spans="2:10" x14ac:dyDescent="0.25">
      <c r="B32" s="27" t="s">
        <v>94</v>
      </c>
      <c r="C32" s="18">
        <v>1662</v>
      </c>
      <c r="D32" s="18">
        <v>2500</v>
      </c>
      <c r="E32" s="23">
        <v>3000</v>
      </c>
      <c r="G32" s="443"/>
      <c r="H32" s="8"/>
      <c r="I32" s="435"/>
      <c r="J32" s="444"/>
    </row>
    <row r="33" spans="2:11" x14ac:dyDescent="0.25">
      <c r="B33" s="27" t="s">
        <v>109</v>
      </c>
      <c r="C33" s="18">
        <v>20793</v>
      </c>
      <c r="D33" s="18">
        <v>30000</v>
      </c>
      <c r="E33" s="23">
        <v>35000</v>
      </c>
      <c r="G33" s="445" t="s">
        <v>624</v>
      </c>
      <c r="H33" s="435"/>
      <c r="I33" s="435"/>
      <c r="J33" s="446">
        <v>0</v>
      </c>
    </row>
    <row r="34" spans="2:11" x14ac:dyDescent="0.25">
      <c r="B34" s="27" t="s">
        <v>991</v>
      </c>
      <c r="C34" s="18">
        <v>10239</v>
      </c>
      <c r="D34" s="18">
        <v>12000</v>
      </c>
      <c r="E34" s="23">
        <v>15000</v>
      </c>
      <c r="G34" s="443" t="s">
        <v>625</v>
      </c>
      <c r="H34" s="8"/>
      <c r="I34" s="8"/>
      <c r="J34" s="631" t="str">
        <f>IF(J33=0,"",ROUND((J33+E57-G46)/inputOth!E7*1000,3)-G51)</f>
        <v/>
      </c>
    </row>
    <row r="35" spans="2:11" x14ac:dyDescent="0.25">
      <c r="B35" s="27" t="s">
        <v>234</v>
      </c>
      <c r="C35" s="18">
        <v>4827</v>
      </c>
      <c r="D35" s="18">
        <v>20000</v>
      </c>
      <c r="E35" s="23">
        <v>40000</v>
      </c>
      <c r="G35" s="632" t="str">
        <f>CONCATENATE("",E1," Tot Exp/Non-Appr Must Be:")</f>
        <v>2020 Tot Exp/Non-Appr Must Be:</v>
      </c>
      <c r="H35" s="518"/>
      <c r="I35" s="627"/>
      <c r="J35" s="633">
        <f>IF(J33&gt;0,IF(E54&lt;E24,IF(J33=G46,E54,((J33-G46)*(1-D56))+E24),E54+(J33-G46)),0)</f>
        <v>0</v>
      </c>
    </row>
    <row r="36" spans="2:11" x14ac:dyDescent="0.25">
      <c r="B36" s="26" t="s">
        <v>96</v>
      </c>
      <c r="C36" s="18">
        <v>9863</v>
      </c>
      <c r="D36" s="18">
        <v>50000</v>
      </c>
      <c r="E36" s="23">
        <v>50000</v>
      </c>
      <c r="G36" s="634" t="s">
        <v>698</v>
      </c>
      <c r="H36" s="635"/>
      <c r="I36" s="635"/>
      <c r="J36" s="636">
        <f>IF(J33&gt;0,J35-E54,0)</f>
        <v>0</v>
      </c>
    </row>
    <row r="37" spans="2:11" x14ac:dyDescent="0.25">
      <c r="B37" s="26" t="s">
        <v>992</v>
      </c>
      <c r="C37" s="18">
        <v>19880</v>
      </c>
      <c r="D37" s="18">
        <v>25000</v>
      </c>
      <c r="E37" s="23">
        <v>26000</v>
      </c>
    </row>
    <row r="38" spans="2:11" x14ac:dyDescent="0.25">
      <c r="B38" s="27" t="s">
        <v>111</v>
      </c>
      <c r="C38" s="18">
        <v>8706</v>
      </c>
      <c r="D38" s="18">
        <v>10000</v>
      </c>
      <c r="E38" s="23">
        <v>12000</v>
      </c>
      <c r="G38" s="898" t="str">
        <f>CONCATENATE("Projected Carryover Into ",E1+1,"")</f>
        <v>Projected Carryover Into 2021</v>
      </c>
      <c r="H38" s="899"/>
      <c r="I38" s="899"/>
      <c r="J38" s="900"/>
    </row>
    <row r="39" spans="2:11" x14ac:dyDescent="0.25">
      <c r="B39" s="27" t="s">
        <v>17</v>
      </c>
      <c r="C39" s="18">
        <v>1830</v>
      </c>
      <c r="D39" s="18">
        <v>2300</v>
      </c>
      <c r="E39" s="23">
        <v>2800</v>
      </c>
      <c r="G39" s="431"/>
      <c r="H39" s="8"/>
      <c r="I39" s="8"/>
      <c r="J39" s="235"/>
    </row>
    <row r="40" spans="2:11" x14ac:dyDescent="0.25">
      <c r="B40" s="26"/>
      <c r="C40" s="18"/>
      <c r="D40" s="18"/>
      <c r="E40" s="23"/>
      <c r="G40" s="432">
        <f>D51</f>
        <v>31140</v>
      </c>
      <c r="H40" s="433" t="str">
        <f>CONCATENATE("",E1-1," Ending Cash Balance (est.)")</f>
        <v>2019 Ending Cash Balance (est.)</v>
      </c>
      <c r="I40" s="434"/>
      <c r="J40" s="235"/>
    </row>
    <row r="41" spans="2:11" x14ac:dyDescent="0.25">
      <c r="B41" s="27"/>
      <c r="C41" s="18"/>
      <c r="D41" s="18"/>
      <c r="E41" s="23"/>
      <c r="G41" s="432">
        <f>E28</f>
        <v>10669</v>
      </c>
      <c r="H41" s="435" t="str">
        <f>CONCATENATE("",E1," Non-AV Receipts (est.)")</f>
        <v>2020 Non-AV Receipts (est.)</v>
      </c>
      <c r="I41" s="434"/>
      <c r="J41" s="235"/>
    </row>
    <row r="42" spans="2:11" x14ac:dyDescent="0.25">
      <c r="B42" s="26"/>
      <c r="C42" s="18"/>
      <c r="D42" s="18"/>
      <c r="E42" s="23"/>
      <c r="G42" s="436">
        <f>IF(D56&gt;0,E55,E57)</f>
        <v>171991</v>
      </c>
      <c r="H42" s="435" t="str">
        <f>CONCATENATE("",E1," Ad Valorem Tax (est.)")</f>
        <v>2020 Ad Valorem Tax (est.)</v>
      </c>
      <c r="I42" s="434"/>
      <c r="J42" s="235"/>
    </row>
    <row r="43" spans="2:11" x14ac:dyDescent="0.2">
      <c r="B43" s="24" t="str">
        <f>CONCATENATE("Cash Forward (",E1," column)")</f>
        <v>Cash Forward (2020 column)</v>
      </c>
      <c r="C43" s="18"/>
      <c r="D43" s="18"/>
      <c r="E43" s="23"/>
      <c r="G43" s="432">
        <f>SUM(G40:G42)</f>
        <v>213800</v>
      </c>
      <c r="H43" s="435" t="str">
        <f>CONCATENATE("Total ",E1," Resources Available")</f>
        <v>Total 2020 Resources Available</v>
      </c>
      <c r="I43" s="434"/>
      <c r="J43" s="235"/>
      <c r="K43" s="637" t="str">
        <f>IF(G42=E57,"","Note: Does not include Delinquent Taxes")</f>
        <v>Note: Does not include Delinquent Taxes</v>
      </c>
    </row>
    <row r="44" spans="2:11" x14ac:dyDescent="0.25">
      <c r="B44" s="24" t="s">
        <v>228</v>
      </c>
      <c r="C44" s="18"/>
      <c r="D44" s="18"/>
      <c r="E44" s="23"/>
      <c r="G44" s="437"/>
      <c r="H44" s="435"/>
      <c r="I44" s="435"/>
      <c r="J44" s="235"/>
    </row>
    <row r="45" spans="2:11" x14ac:dyDescent="0.25">
      <c r="B45" s="24" t="s">
        <v>225</v>
      </c>
      <c r="C45" s="338" t="str">
        <f>IF(AND($C$44&gt;0,$C$8&gt;0),"Not Authorized","")</f>
        <v/>
      </c>
      <c r="D45" s="338" t="str">
        <f>IF(AND($D$44&gt;0,$D$8&gt;0),"Not Authorized","")</f>
        <v/>
      </c>
      <c r="E45" s="33" t="str">
        <f>IF(AND(cert!E21&gt;0,$E$44&gt;0),"Not Authorized","")</f>
        <v/>
      </c>
      <c r="G45" s="436">
        <f>ROUND(C50*0.05+C50,0)</f>
        <v>106890</v>
      </c>
      <c r="H45" s="435" t="str">
        <f>CONCATENATE("Less ",E1-2," Expenditures + 5%")</f>
        <v>Less 2018 Expenditures + 5%</v>
      </c>
      <c r="I45" s="434"/>
      <c r="J45" s="235"/>
    </row>
    <row r="46" spans="2:11" x14ac:dyDescent="0.25">
      <c r="B46" s="16" t="s">
        <v>229</v>
      </c>
      <c r="C46" s="18">
        <v>24000</v>
      </c>
      <c r="D46" s="18">
        <v>30000</v>
      </c>
      <c r="E46" s="23">
        <v>30000</v>
      </c>
      <c r="G46" s="438">
        <f>G43-G45</f>
        <v>106910</v>
      </c>
      <c r="H46" s="439" t="str">
        <f>CONCATENATE("Projected ",E1+1," Carryover (est.)")</f>
        <v>Projected 2021 Carryover (est.)</v>
      </c>
      <c r="I46" s="440"/>
      <c r="J46" s="441"/>
    </row>
    <row r="47" spans="2:11" x14ac:dyDescent="0.25">
      <c r="B47" s="16" t="s">
        <v>633</v>
      </c>
      <c r="C47" s="339" t="str">
        <f>IF(C29*0.25&lt;C46,"Exceeds 25%","")</f>
        <v/>
      </c>
      <c r="D47" s="339" t="str">
        <f>IF(D29*0.25&lt;D46,"Exceeds 25%","")</f>
        <v/>
      </c>
      <c r="E47" s="34" t="str">
        <f>IF(E29*0.25+E57&lt;E46,"Exceeds 25%","")</f>
        <v/>
      </c>
    </row>
    <row r="48" spans="2:11" x14ac:dyDescent="0.2">
      <c r="B48" s="24" t="s">
        <v>176</v>
      </c>
      <c r="C48" s="18"/>
      <c r="D48" s="18"/>
      <c r="E48" s="23"/>
      <c r="G48" s="901" t="s">
        <v>699</v>
      </c>
      <c r="H48" s="902"/>
      <c r="I48" s="902"/>
      <c r="J48" s="903"/>
    </row>
    <row r="49" spans="2:11" x14ac:dyDescent="0.25">
      <c r="B49" s="24" t="s">
        <v>533</v>
      </c>
      <c r="C49" s="339" t="str">
        <f>IF(C50*0.1&lt;C48,"Exceed 10% Rule","")</f>
        <v/>
      </c>
      <c r="D49" s="339" t="str">
        <f>IF(D50*0.1&lt;D48,"Exceed 10% Rule","")</f>
        <v/>
      </c>
      <c r="E49" s="34" t="str">
        <f>IF(E50*0.1&lt;E48,"Exceed 10% Rule","")</f>
        <v/>
      </c>
      <c r="G49" s="638"/>
      <c r="H49" s="433"/>
      <c r="I49" s="628"/>
      <c r="J49" s="639"/>
    </row>
    <row r="50" spans="2:11" x14ac:dyDescent="0.25">
      <c r="B50" s="32" t="s">
        <v>22</v>
      </c>
      <c r="C50" s="336">
        <f>SUM(C31:C48)</f>
        <v>101800</v>
      </c>
      <c r="D50" s="336">
        <f>SUM(D31:D48)</f>
        <v>181800</v>
      </c>
      <c r="E50" s="36">
        <f>SUM(E31:E44,E46,E48:E48)</f>
        <v>213800</v>
      </c>
      <c r="G50" s="640">
        <f>summ!I18</f>
        <v>19.873000000000001</v>
      </c>
      <c r="H50" s="433" t="str">
        <f>CONCATENATE("",E1," Fund Mill Rate")</f>
        <v>2020 Fund Mill Rate</v>
      </c>
      <c r="I50" s="628"/>
      <c r="J50" s="639"/>
    </row>
    <row r="51" spans="2:11" x14ac:dyDescent="0.25">
      <c r="B51" s="16" t="s">
        <v>103</v>
      </c>
      <c r="C51" s="337">
        <f>C29-C50</f>
        <v>79699</v>
      </c>
      <c r="D51" s="337">
        <f>SUM(D29-D50)</f>
        <v>31140</v>
      </c>
      <c r="E51" s="22" t="s">
        <v>249</v>
      </c>
      <c r="G51" s="641">
        <f>summ!F18</f>
        <v>19.869</v>
      </c>
      <c r="H51" s="433" t="str">
        <f>CONCATENATE("",E1-1," Fund Mill Rate")</f>
        <v>2019 Fund Mill Rate</v>
      </c>
      <c r="I51" s="628"/>
      <c r="J51" s="639"/>
    </row>
    <row r="52" spans="2:11" x14ac:dyDescent="0.25">
      <c r="B52" s="255" t="str">
        <f>CONCATENATE("",E1-2,"/",E1-1,"/",E1," Budget Authority Amount:")</f>
        <v>2018/2019/2020 Budget Authority Amount:</v>
      </c>
      <c r="C52" s="52">
        <f>inputOth!B48</f>
        <v>137750</v>
      </c>
      <c r="D52" s="52">
        <f>inputPrYr!D19</f>
        <v>222200</v>
      </c>
      <c r="E52" s="21">
        <f>E50</f>
        <v>213800</v>
      </c>
      <c r="G52" s="642">
        <f>summ!I32</f>
        <v>19.873000000000001</v>
      </c>
      <c r="H52" s="433" t="str">
        <f>CONCATENATE("Total ",E1," Mill Rate")</f>
        <v>Total 2020 Mill Rate</v>
      </c>
      <c r="I52" s="628"/>
      <c r="J52" s="639"/>
    </row>
    <row r="53" spans="2:11" x14ac:dyDescent="0.25">
      <c r="B53" s="37"/>
      <c r="C53" s="894" t="s">
        <v>534</v>
      </c>
      <c r="D53" s="895"/>
      <c r="E53" s="23"/>
      <c r="F53" s="39"/>
      <c r="G53" s="641">
        <f>summ!F32</f>
        <v>19.869</v>
      </c>
      <c r="H53" s="643" t="str">
        <f>CONCATENATE("Total ",E1-1," Mill Rate")</f>
        <v>Total 2019 Mill Rate</v>
      </c>
      <c r="I53" s="644"/>
      <c r="J53" s="645"/>
    </row>
    <row r="54" spans="2:11" x14ac:dyDescent="0.25">
      <c r="B54" s="348" t="str">
        <f>CONCATENATE(C74,"     ",D74)</f>
        <v xml:space="preserve">     </v>
      </c>
      <c r="C54" s="896" t="s">
        <v>535</v>
      </c>
      <c r="D54" s="897"/>
      <c r="E54" s="21">
        <f>E50+E53</f>
        <v>213800</v>
      </c>
      <c r="F54" s="430" t="str">
        <f>IF(E50/0.95-E50&lt;E53,"Exceeds 5%","")</f>
        <v/>
      </c>
      <c r="G54" s="629"/>
      <c r="H54" s="442"/>
      <c r="I54" s="442"/>
      <c r="J54" s="630"/>
    </row>
    <row r="55" spans="2:11" x14ac:dyDescent="0.25">
      <c r="B55" s="348" t="str">
        <f>CONCATENATE(C75,"     ",D75)</f>
        <v xml:space="preserve">     </v>
      </c>
      <c r="C55" s="49"/>
      <c r="D55" s="41" t="s">
        <v>24</v>
      </c>
      <c r="E55" s="35">
        <f>IF(E54-E29&gt;0,E54-E29,0)</f>
        <v>171991</v>
      </c>
      <c r="G55" s="759" t="s">
        <v>825</v>
      </c>
      <c r="H55" s="760"/>
      <c r="I55" s="761"/>
      <c r="J55" s="762" t="str">
        <f>cert!F37</f>
        <v>Yes</v>
      </c>
    </row>
    <row r="56" spans="2:11" x14ac:dyDescent="0.25">
      <c r="B56" s="41"/>
      <c r="C56" s="352" t="s">
        <v>536</v>
      </c>
      <c r="D56" s="626">
        <f>inputOth!$E$42</f>
        <v>2.5899999999999999E-2</v>
      </c>
      <c r="E56" s="21">
        <f>ROUND(IF(D56&gt;0,(E55*D56),0),0)</f>
        <v>4455</v>
      </c>
      <c r="G56" s="763" t="str">
        <f>CONCATENATE("Computed ",E1," tax levy limit amount")</f>
        <v>Computed 2020 tax levy limit amount</v>
      </c>
      <c r="H56" s="764"/>
      <c r="I56" s="764"/>
      <c r="J56" s="765">
        <f>computation!J41</f>
        <v>127410</v>
      </c>
    </row>
    <row r="57" spans="2:11" x14ac:dyDescent="0.25">
      <c r="B57" s="3"/>
      <c r="C57" s="892" t="str">
        <f>CONCATENATE("Amount of  ",$E$1-1," Ad Valorem Tax")</f>
        <v>Amount of  2019 Ad Valorem Tax</v>
      </c>
      <c r="D57" s="893"/>
      <c r="E57" s="35">
        <f>E55+E56</f>
        <v>176446</v>
      </c>
      <c r="G57" s="766" t="str">
        <f>CONCATENATE("Total ",E1," tax levy amount")</f>
        <v>Total 2020 tax levy amount</v>
      </c>
      <c r="H57" s="767"/>
      <c r="I57" s="767"/>
      <c r="J57" s="768">
        <f>summ!H32</f>
        <v>176446</v>
      </c>
    </row>
    <row r="58" spans="2:11" x14ac:dyDescent="0.25">
      <c r="B58" s="3"/>
      <c r="C58" s="3"/>
      <c r="D58" s="3"/>
      <c r="E58" s="3"/>
    </row>
    <row r="59" spans="2:11" x14ac:dyDescent="0.25">
      <c r="B59" s="800" t="s">
        <v>967</v>
      </c>
      <c r="C59" s="229"/>
      <c r="D59" s="229"/>
      <c r="E59" s="234"/>
    </row>
    <row r="60" spans="2:11" x14ac:dyDescent="0.25">
      <c r="B60" s="431"/>
      <c r="C60" s="8"/>
      <c r="D60" s="8"/>
      <c r="E60" s="235"/>
    </row>
    <row r="61" spans="2:11" x14ac:dyDescent="0.25">
      <c r="B61" s="801"/>
      <c r="C61" s="9"/>
      <c r="D61" s="226"/>
      <c r="E61" s="237"/>
    </row>
    <row r="62" spans="2:11" s="43" customFormat="1" x14ac:dyDescent="0.25">
      <c r="B62" s="3"/>
      <c r="C62" s="3"/>
      <c r="D62" s="44"/>
      <c r="E62" s="3"/>
      <c r="G62" s="5"/>
      <c r="H62" s="5"/>
      <c r="I62" s="5"/>
      <c r="J62" s="5"/>
      <c r="K62" s="5"/>
    </row>
    <row r="63" spans="2:11" s="45" customFormat="1" x14ac:dyDescent="0.25">
      <c r="B63" s="41" t="s">
        <v>5</v>
      </c>
      <c r="C63" s="732"/>
      <c r="D63" s="3"/>
      <c r="E63" s="44"/>
      <c r="G63" s="5"/>
      <c r="H63" s="5"/>
      <c r="I63" s="5"/>
      <c r="J63" s="5"/>
      <c r="K63" s="5"/>
    </row>
    <row r="65" spans="2:5" x14ac:dyDescent="0.25">
      <c r="B65" s="1"/>
    </row>
    <row r="68" spans="2:5" x14ac:dyDescent="0.25">
      <c r="E68" s="46"/>
    </row>
    <row r="70" spans="2:5" x14ac:dyDescent="0.25">
      <c r="E70" s="46"/>
    </row>
    <row r="72" spans="2:5" x14ac:dyDescent="0.25">
      <c r="C72" s="47"/>
    </row>
    <row r="73" spans="2:5" x14ac:dyDescent="0.25">
      <c r="C73" s="46"/>
      <c r="E73" s="46"/>
    </row>
    <row r="74" spans="2:5" x14ac:dyDescent="0.25">
      <c r="C74" s="5" t="str">
        <f>IF(C50&gt;C52,"See Tab A","")</f>
        <v/>
      </c>
      <c r="D74" s="5" t="str">
        <f>IF(D50&gt;D52,"See Tab C","")</f>
        <v/>
      </c>
    </row>
    <row r="75" spans="2:5" hidden="1" x14ac:dyDescent="0.25">
      <c r="C75" s="5" t="str">
        <f>IF(C51&lt;0,"See Tab B","")</f>
        <v/>
      </c>
      <c r="D75" s="5" t="str">
        <f>IF(D51&lt;0,"See Tab D","")</f>
        <v/>
      </c>
    </row>
    <row r="76" spans="2:5" hidden="1" x14ac:dyDescent="0.25"/>
  </sheetData>
  <sheetProtection sheet="1"/>
  <mergeCells count="6">
    <mergeCell ref="C57:D57"/>
    <mergeCell ref="C53:D53"/>
    <mergeCell ref="C54:D54"/>
    <mergeCell ref="G31:J31"/>
    <mergeCell ref="G38:J38"/>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6">
    <cfRule type="cellIs" dxfId="121" priority="19" stopIfTrue="1" operator="greaterThan">
      <formula>$C$29*0.25</formula>
    </cfRule>
  </conditionalFormatting>
  <conditionalFormatting sqref="C26">
    <cfRule type="cellIs" dxfId="120" priority="20" stopIfTrue="1" operator="greaterThan">
      <formula>$C$28*0.1</formula>
    </cfRule>
  </conditionalFormatting>
  <conditionalFormatting sqref="D26">
    <cfRule type="cellIs" dxfId="119" priority="21" stopIfTrue="1" operator="greaterThan">
      <formula>$D$28*0.1</formula>
    </cfRule>
  </conditionalFormatting>
  <conditionalFormatting sqref="C43">
    <cfRule type="expression" dxfId="118" priority="23" stopIfTrue="1">
      <formula>"Mike"</formula>
    </cfRule>
  </conditionalFormatting>
  <conditionalFormatting sqref="D46">
    <cfRule type="cellIs" dxfId="117" priority="24" stopIfTrue="1" operator="greaterThan">
      <formula>$D$29*0.25</formula>
    </cfRule>
  </conditionalFormatting>
  <conditionalFormatting sqref="C44">
    <cfRule type="expression" dxfId="116" priority="26" stopIfTrue="1">
      <formula>$C$8&gt;0</formula>
    </cfRule>
  </conditionalFormatting>
  <conditionalFormatting sqref="D44">
    <cfRule type="expression" dxfId="115" priority="28" stopIfTrue="1">
      <formula>$D$8&gt;0</formula>
    </cfRule>
  </conditionalFormatting>
  <conditionalFormatting sqref="C50">
    <cfRule type="cellIs" dxfId="114" priority="10" stopIfTrue="1" operator="greaterThan">
      <formula>$C$52</formula>
    </cfRule>
  </conditionalFormatting>
  <conditionalFormatting sqref="D51">
    <cfRule type="cellIs" dxfId="113" priority="9" stopIfTrue="1" operator="lessThan">
      <formula>0</formula>
    </cfRule>
  </conditionalFormatting>
  <conditionalFormatting sqref="E44">
    <cfRule type="expression" dxfId="112" priority="2" stopIfTrue="1">
      <formula>$E$57&gt;0</formula>
    </cfRule>
  </conditionalFormatting>
  <conditionalFormatting sqref="E46">
    <cfRule type="cellIs" dxfId="111" priority="30" stopIfTrue="1" operator="greaterThan">
      <formula>$E$29*0.25+$E$57</formula>
    </cfRule>
  </conditionalFormatting>
  <conditionalFormatting sqref="E26">
    <cfRule type="cellIs" dxfId="110" priority="40" stopIfTrue="1" operator="greaterThan">
      <formula>$E$28*0.1+$E$57</formula>
    </cfRule>
  </conditionalFormatting>
  <pageMargins left="0.9" right="0.9" top="0.96" bottom="0.5" header="0.41" footer="0.3"/>
  <pageSetup scale="75" orientation="portrait" blackAndWhite="1" r:id="rId1"/>
  <headerFooter alignWithMargins="0">
    <oddHeader xml:space="preserve">&amp;RState of Kansas
Township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B1:K99"/>
  <sheetViews>
    <sheetView topLeftCell="A7" zoomScaleNormal="100" workbookViewId="0">
      <selection activeCell="G11" sqref="G11"/>
    </sheetView>
  </sheetViews>
  <sheetFormatPr defaultColWidth="8.796875" defaultRowHeight="15.75" x14ac:dyDescent="0.25"/>
  <cols>
    <col min="1" max="1" width="2.19921875" style="522" customWidth="1"/>
    <col min="2" max="2" width="28.59765625" style="522" customWidth="1"/>
    <col min="3" max="4" width="14.19921875" style="522" customWidth="1"/>
    <col min="5" max="5" width="14.59765625" style="522" customWidth="1"/>
    <col min="6" max="7" width="9.19921875" style="522" customWidth="1"/>
    <col min="8" max="8" width="8.796875" style="522"/>
    <col min="9" max="9" width="4.5" style="522" customWidth="1"/>
    <col min="10" max="10" width="9" style="522" customWidth="1"/>
    <col min="11" max="16384" width="8.796875" style="522"/>
  </cols>
  <sheetData>
    <row r="1" spans="2:10" x14ac:dyDescent="0.25">
      <c r="B1" s="519" t="str">
        <f>inputPrYr!D3</f>
        <v>ROVOHL TOWNSHIP</v>
      </c>
      <c r="C1" s="519"/>
      <c r="D1" s="520"/>
      <c r="E1" s="521">
        <f>inputPrYr!D6</f>
        <v>2020</v>
      </c>
    </row>
    <row r="2" spans="2:10" x14ac:dyDescent="0.25">
      <c r="B2" s="520"/>
      <c r="C2" s="520"/>
      <c r="D2" s="520"/>
      <c r="E2" s="523"/>
    </row>
    <row r="3" spans="2:10" x14ac:dyDescent="0.25">
      <c r="B3" s="480" t="s">
        <v>630</v>
      </c>
      <c r="C3" s="480"/>
      <c r="D3" s="524"/>
      <c r="E3" s="525"/>
    </row>
    <row r="4" spans="2:10" x14ac:dyDescent="0.25">
      <c r="B4" s="526" t="s">
        <v>6</v>
      </c>
      <c r="C4" s="527" t="s">
        <v>695</v>
      </c>
      <c r="D4" s="528" t="s">
        <v>696</v>
      </c>
      <c r="E4" s="529" t="s">
        <v>697</v>
      </c>
    </row>
    <row r="5" spans="2:10" x14ac:dyDescent="0.25">
      <c r="B5" s="530" t="str">
        <f>inputPrYr!B20</f>
        <v>Debt Service</v>
      </c>
      <c r="C5" s="531" t="str">
        <f>CONCATENATE("Actual for ",$E$1-2,"")</f>
        <v>Actual for 2018</v>
      </c>
      <c r="D5" s="532" t="str">
        <f>CONCATENATE("Estimate for ",$E$1-1,"")</f>
        <v>Estimate for 2019</v>
      </c>
      <c r="E5" s="533" t="str">
        <f>CONCATENATE("Year for ",$E$1,"")</f>
        <v>Year for 2020</v>
      </c>
    </row>
    <row r="6" spans="2:10" x14ac:dyDescent="0.25">
      <c r="B6" s="534" t="s">
        <v>115</v>
      </c>
      <c r="C6" s="535"/>
      <c r="D6" s="536">
        <f>C35</f>
        <v>0</v>
      </c>
      <c r="E6" s="537">
        <f>D35</f>
        <v>0</v>
      </c>
    </row>
    <row r="7" spans="2:10" x14ac:dyDescent="0.25">
      <c r="B7" s="534" t="s">
        <v>104</v>
      </c>
      <c r="C7" s="538"/>
      <c r="D7" s="536"/>
      <c r="E7" s="537"/>
    </row>
    <row r="8" spans="2:10" x14ac:dyDescent="0.25">
      <c r="B8" s="534" t="s">
        <v>12</v>
      </c>
      <c r="C8" s="539"/>
      <c r="D8" s="536">
        <f>IF(inputPrYr!H18&gt;0,inputPrYr!G20,inputPrYr!E20)</f>
        <v>0</v>
      </c>
      <c r="E8" s="540" t="s">
        <v>249</v>
      </c>
    </row>
    <row r="9" spans="2:10" x14ac:dyDescent="0.25">
      <c r="B9" s="534" t="s">
        <v>13</v>
      </c>
      <c r="C9" s="539"/>
      <c r="D9" s="541"/>
      <c r="E9" s="542"/>
    </row>
    <row r="10" spans="2:10" x14ac:dyDescent="0.25">
      <c r="B10" s="534" t="s">
        <v>14</v>
      </c>
      <c r="C10" s="539"/>
      <c r="D10" s="541"/>
      <c r="E10" s="537">
        <f>mvalloc!D12</f>
        <v>0</v>
      </c>
    </row>
    <row r="11" spans="2:10" x14ac:dyDescent="0.25">
      <c r="B11" s="534" t="s">
        <v>15</v>
      </c>
      <c r="C11" s="539"/>
      <c r="D11" s="541"/>
      <c r="E11" s="537">
        <f>mvalloc!E12</f>
        <v>0</v>
      </c>
    </row>
    <row r="12" spans="2:10" x14ac:dyDescent="0.25">
      <c r="B12" s="543" t="s">
        <v>92</v>
      </c>
      <c r="C12" s="539"/>
      <c r="D12" s="541"/>
      <c r="E12" s="537">
        <f>mvalloc!F12</f>
        <v>0</v>
      </c>
    </row>
    <row r="13" spans="2:10" x14ac:dyDescent="0.25">
      <c r="B13" s="754" t="s">
        <v>817</v>
      </c>
      <c r="C13" s="539"/>
      <c r="D13" s="541"/>
      <c r="E13" s="537">
        <f>mvalloc!G12</f>
        <v>0</v>
      </c>
    </row>
    <row r="14" spans="2:10" x14ac:dyDescent="0.25">
      <c r="B14" s="754" t="s">
        <v>818</v>
      </c>
      <c r="C14" s="539"/>
      <c r="D14" s="541"/>
      <c r="E14" s="537">
        <f>mvalloc!H12</f>
        <v>0</v>
      </c>
    </row>
    <row r="15" spans="2:10" x14ac:dyDescent="0.25">
      <c r="B15" s="544"/>
      <c r="C15" s="539"/>
      <c r="D15" s="541"/>
      <c r="E15" s="542"/>
      <c r="G15" s="904" t="str">
        <f>CONCATENATE("Desired Carryover Into ",E1+1,"")</f>
        <v>Desired Carryover Into 2021</v>
      </c>
      <c r="H15" s="905"/>
      <c r="I15" s="905"/>
      <c r="J15" s="906"/>
    </row>
    <row r="16" spans="2:10" x14ac:dyDescent="0.25">
      <c r="B16" s="544"/>
      <c r="C16" s="539"/>
      <c r="D16" s="541"/>
      <c r="E16" s="542"/>
      <c r="G16" s="553"/>
      <c r="H16" s="554"/>
      <c r="I16" s="555"/>
      <c r="J16" s="556"/>
    </row>
    <row r="17" spans="2:11" x14ac:dyDescent="0.25">
      <c r="B17" s="544"/>
      <c r="C17" s="539"/>
      <c r="D17" s="541"/>
      <c r="E17" s="542"/>
      <c r="G17" s="557" t="s">
        <v>624</v>
      </c>
      <c r="H17" s="555"/>
      <c r="I17" s="555"/>
      <c r="J17" s="558">
        <v>0</v>
      </c>
    </row>
    <row r="18" spans="2:11" x14ac:dyDescent="0.25">
      <c r="B18" s="546" t="s">
        <v>18</v>
      </c>
      <c r="C18" s="539"/>
      <c r="D18" s="541"/>
      <c r="E18" s="542"/>
      <c r="G18" s="553" t="s">
        <v>625</v>
      </c>
      <c r="H18" s="554"/>
      <c r="I18" s="554"/>
      <c r="J18" s="559" t="str">
        <f>IF(J17=0,"",ROUND((J17+E41-G30)/inputOth!E7*1000,3)-G35)</f>
        <v/>
      </c>
    </row>
    <row r="19" spans="2:11" x14ac:dyDescent="0.25">
      <c r="B19" s="567" t="s">
        <v>178</v>
      </c>
      <c r="C19" s="539"/>
      <c r="D19" s="541"/>
      <c r="E19" s="537">
        <f>nhood!E7*-1</f>
        <v>0</v>
      </c>
      <c r="G19" s="560" t="str">
        <f>CONCATENATE("",E1," Tot Exp/Non-Appr Must Be:")</f>
        <v>2020 Tot Exp/Non-Appr Must Be:</v>
      </c>
      <c r="H19" s="561"/>
      <c r="I19" s="562"/>
      <c r="J19" s="563">
        <f>IF(J17&gt;0,IF(E38&lt;E23,IF(J17=G30,E38,((J17-G30)*(1-D40))+E23),E38+(J17-G30)),0)</f>
        <v>0</v>
      </c>
    </row>
    <row r="20" spans="2:11" x14ac:dyDescent="0.25">
      <c r="B20" s="534" t="s">
        <v>176</v>
      </c>
      <c r="C20" s="547"/>
      <c r="D20" s="541"/>
      <c r="E20" s="542"/>
      <c r="G20" s="564" t="s">
        <v>698</v>
      </c>
      <c r="H20" s="565"/>
      <c r="I20" s="565"/>
      <c r="J20" s="566">
        <f>IF(J17&gt;0,J19-E38,0)</f>
        <v>0</v>
      </c>
    </row>
    <row r="21" spans="2:11" x14ac:dyDescent="0.25">
      <c r="B21" s="534" t="s">
        <v>701</v>
      </c>
      <c r="C21" s="548" t="str">
        <f>IF(C22*0.1&lt;C20,"Exceed 10% Rule","")</f>
        <v/>
      </c>
      <c r="D21" s="548" t="str">
        <f>IF(D22*0.1&lt;D20,"Exceeds 10% Rule","")</f>
        <v/>
      </c>
      <c r="E21" s="549" t="str">
        <f>IF(E22*0.1+E41&lt;E20,"Exceed 10% Rule","")</f>
        <v/>
      </c>
    </row>
    <row r="22" spans="2:11" x14ac:dyDescent="0.25">
      <c r="B22" s="550" t="s">
        <v>19</v>
      </c>
      <c r="C22" s="551">
        <f>SUM(C8:C20)</f>
        <v>0</v>
      </c>
      <c r="D22" s="551">
        <f>SUM(D8:D20)</f>
        <v>0</v>
      </c>
      <c r="E22" s="552">
        <f>SUM(E9:E20)</f>
        <v>0</v>
      </c>
      <c r="G22" s="904" t="str">
        <f>CONCATENATE("Projected Carryover Into ",E1+1,"")</f>
        <v>Projected Carryover Into 2021</v>
      </c>
      <c r="H22" s="907"/>
      <c r="I22" s="907"/>
      <c r="J22" s="908"/>
    </row>
    <row r="23" spans="2:11" x14ac:dyDescent="0.25">
      <c r="B23" s="550" t="s">
        <v>20</v>
      </c>
      <c r="C23" s="551">
        <f>C6+C22</f>
        <v>0</v>
      </c>
      <c r="D23" s="551">
        <f>D6+D22</f>
        <v>0</v>
      </c>
      <c r="E23" s="552">
        <f>E6+E22</f>
        <v>0</v>
      </c>
      <c r="G23" s="553"/>
      <c r="H23" s="555"/>
      <c r="I23" s="555"/>
      <c r="J23" s="568"/>
    </row>
    <row r="24" spans="2:11" x14ac:dyDescent="0.25">
      <c r="B24" s="534" t="s">
        <v>21</v>
      </c>
      <c r="C24" s="534"/>
      <c r="D24" s="536"/>
      <c r="E24" s="537"/>
      <c r="G24" s="571">
        <f>D35</f>
        <v>0</v>
      </c>
      <c r="H24" s="572" t="str">
        <f>CONCATENATE("",E1-1," Ending Cash Balance (est.)")</f>
        <v>2019 Ending Cash Balance (est.)</v>
      </c>
      <c r="I24" s="573"/>
      <c r="J24" s="568"/>
    </row>
    <row r="25" spans="2:11" x14ac:dyDescent="0.25">
      <c r="B25" s="544"/>
      <c r="C25" s="539"/>
      <c r="D25" s="541"/>
      <c r="E25" s="542"/>
      <c r="G25" s="571">
        <f>E22</f>
        <v>0</v>
      </c>
      <c r="H25" s="555" t="str">
        <f>CONCATENATE("",E1," Non-AV Receipts (est.)")</f>
        <v>2020 Non-AV Receipts (est.)</v>
      </c>
      <c r="I25" s="573"/>
      <c r="J25" s="568"/>
    </row>
    <row r="26" spans="2:11" x14ac:dyDescent="0.25">
      <c r="B26" s="544"/>
      <c r="C26" s="539"/>
      <c r="D26" s="541"/>
      <c r="E26" s="542"/>
      <c r="G26" s="578">
        <f>IF(E40&gt;0,E39,E41)</f>
        <v>0</v>
      </c>
      <c r="H26" s="555" t="str">
        <f>CONCATENATE("",E1," Ad Valorem Tax (est.)")</f>
        <v>2020 Ad Valorem Tax (est.)</v>
      </c>
      <c r="I26" s="555"/>
      <c r="J26" s="668"/>
    </row>
    <row r="27" spans="2:11" x14ac:dyDescent="0.25">
      <c r="B27" s="544"/>
      <c r="C27" s="541"/>
      <c r="D27" s="541"/>
      <c r="E27" s="542"/>
      <c r="G27" s="571">
        <f>SUM(G24:G26)</f>
        <v>0</v>
      </c>
      <c r="H27" s="555" t="str">
        <f>CONCATENATE("Total ",E1," Resources Available")</f>
        <v>Total 2020 Resources Available</v>
      </c>
      <c r="I27" s="573"/>
      <c r="J27" s="568"/>
    </row>
    <row r="28" spans="2:11" x14ac:dyDescent="0.25">
      <c r="B28" s="544"/>
      <c r="C28" s="539"/>
      <c r="D28" s="541"/>
      <c r="E28" s="542"/>
      <c r="G28" s="582"/>
      <c r="H28" s="555"/>
      <c r="I28" s="555"/>
      <c r="J28" s="568"/>
    </row>
    <row r="29" spans="2:11" x14ac:dyDescent="0.25">
      <c r="B29" s="544"/>
      <c r="C29" s="539"/>
      <c r="D29" s="541"/>
      <c r="E29" s="542"/>
      <c r="G29" s="578">
        <f>C34</f>
        <v>0</v>
      </c>
      <c r="H29" s="555" t="str">
        <f>CONCATENATE("Less ",E1-2," Expenditures")</f>
        <v>Less 2018 Expenditures</v>
      </c>
      <c r="I29" s="555"/>
      <c r="J29" s="568"/>
      <c r="K29" s="669" t="str">
        <f>IF(G26=E41,"","Note: Does not include Delinquent Taxes")</f>
        <v/>
      </c>
    </row>
    <row r="30" spans="2:11" x14ac:dyDescent="0.25">
      <c r="B30" s="544"/>
      <c r="C30" s="539"/>
      <c r="D30" s="541"/>
      <c r="E30" s="542"/>
      <c r="G30" s="586">
        <f>G27-G29</f>
        <v>0</v>
      </c>
      <c r="H30" s="587" t="str">
        <f>CONCATENATE("Projected ",E1+1," carryover (est.)")</f>
        <v>Projected 2021 carryover (est.)</v>
      </c>
      <c r="I30" s="588"/>
      <c r="J30" s="589"/>
    </row>
    <row r="31" spans="2:11" x14ac:dyDescent="0.25">
      <c r="B31" s="567" t="str">
        <f>CONCATENATE("Cash Basis Reserve (",E1," column)")</f>
        <v>Cash Basis Reserve (2020 column)</v>
      </c>
      <c r="C31" s="539"/>
      <c r="D31" s="541"/>
      <c r="E31" s="542"/>
    </row>
    <row r="32" spans="2:11" x14ac:dyDescent="0.25">
      <c r="B32" s="567" t="s">
        <v>176</v>
      </c>
      <c r="C32" s="547"/>
      <c r="D32" s="541"/>
      <c r="E32" s="542"/>
      <c r="G32" s="911" t="s">
        <v>699</v>
      </c>
      <c r="H32" s="912"/>
      <c r="I32" s="912"/>
      <c r="J32" s="913"/>
    </row>
    <row r="33" spans="2:10" x14ac:dyDescent="0.25">
      <c r="B33" s="567" t="s">
        <v>533</v>
      </c>
      <c r="C33" s="548" t="str">
        <f>IF(C34*0.1&lt;C32,"Exceed 10% Rule","")</f>
        <v/>
      </c>
      <c r="D33" s="548" t="str">
        <f>IF(D34*0.1&lt;D32,"Exceed 10% Rule","")</f>
        <v/>
      </c>
      <c r="E33" s="549" t="str">
        <f>IF(E34*0.1&lt;E32,"Exceed 10% Rule","")</f>
        <v/>
      </c>
      <c r="G33" s="593"/>
      <c r="H33" s="572"/>
      <c r="I33" s="594"/>
      <c r="J33" s="595"/>
    </row>
    <row r="34" spans="2:10" x14ac:dyDescent="0.25">
      <c r="B34" s="550" t="s">
        <v>22</v>
      </c>
      <c r="C34" s="569">
        <f>SUM(C25:C32)</f>
        <v>0</v>
      </c>
      <c r="D34" s="569">
        <f>SUM(D25:D32)</f>
        <v>0</v>
      </c>
      <c r="E34" s="570">
        <f>SUM(E25:E32)</f>
        <v>0</v>
      </c>
      <c r="G34" s="596" t="str">
        <f>summ!I19</f>
        <v xml:space="preserve"> </v>
      </c>
      <c r="H34" s="572" t="str">
        <f>CONCATENATE("",E1," Fund Mill Rate")</f>
        <v>2020 Fund Mill Rate</v>
      </c>
      <c r="I34" s="594"/>
      <c r="J34" s="595"/>
    </row>
    <row r="35" spans="2:10" x14ac:dyDescent="0.25">
      <c r="B35" s="534" t="s">
        <v>103</v>
      </c>
      <c r="C35" s="574">
        <f>C23-C34</f>
        <v>0</v>
      </c>
      <c r="D35" s="574">
        <f>D23-D34</f>
        <v>0</v>
      </c>
      <c r="E35" s="540" t="s">
        <v>249</v>
      </c>
      <c r="F35" s="575"/>
      <c r="G35" s="597" t="str">
        <f>summ!F19</f>
        <v xml:space="preserve">  </v>
      </c>
      <c r="H35" s="572" t="str">
        <f>CONCATENATE("",E1-1," Fund Mill Rate")</f>
        <v>2019 Fund Mill Rate</v>
      </c>
      <c r="I35" s="594"/>
      <c r="J35" s="595"/>
    </row>
    <row r="36" spans="2:10" x14ac:dyDescent="0.25">
      <c r="B36" s="685" t="str">
        <f>CONCATENATE("",E1-2,"/",E1-1,"/",E1," Budget Authority Amount:")</f>
        <v>2018/2019/2020 Budget Authority Amount:</v>
      </c>
      <c r="C36" s="684">
        <f>inputOth!B49</f>
        <v>0</v>
      </c>
      <c r="D36" s="683">
        <f>inputPrYr!D20</f>
        <v>0</v>
      </c>
      <c r="E36" s="537">
        <f>E34</f>
        <v>0</v>
      </c>
      <c r="F36" s="577"/>
      <c r="G36" s="599">
        <f>summ!I32</f>
        <v>19.873000000000001</v>
      </c>
      <c r="H36" s="572" t="str">
        <f>CONCATENATE("Total ",E1," Mill Rate")</f>
        <v>Total 2020 Mill Rate</v>
      </c>
      <c r="I36" s="594"/>
      <c r="J36" s="595"/>
    </row>
    <row r="37" spans="2:10" x14ac:dyDescent="0.25">
      <c r="B37" s="576"/>
      <c r="C37" s="894" t="s">
        <v>534</v>
      </c>
      <c r="D37" s="895"/>
      <c r="E37" s="542"/>
      <c r="F37" s="580" t="str">
        <f>IF(E34/0.95-E34&lt;E37,"Exceeds 5%","")</f>
        <v/>
      </c>
      <c r="G37" s="597">
        <f>summ!F32</f>
        <v>19.869</v>
      </c>
      <c r="H37" s="600" t="str">
        <f>CONCATENATE("Total ",E1-1," Mill Rate")</f>
        <v>Total 2019 Mill Rate</v>
      </c>
      <c r="I37" s="601"/>
      <c r="J37" s="602"/>
    </row>
    <row r="38" spans="2:10" x14ac:dyDescent="0.25">
      <c r="B38" s="581" t="str">
        <f>CONCATENATE(C96,"     ",D96)</f>
        <v xml:space="preserve">     </v>
      </c>
      <c r="C38" s="896" t="s">
        <v>535</v>
      </c>
      <c r="D38" s="897"/>
      <c r="E38" s="537">
        <f>E34+E37</f>
        <v>0</v>
      </c>
      <c r="F38" s="575"/>
    </row>
    <row r="39" spans="2:10" x14ac:dyDescent="0.25">
      <c r="B39" s="581" t="str">
        <f>CONCATENATE(C97,"     ",D97)</f>
        <v xml:space="preserve">     </v>
      </c>
      <c r="C39" s="583"/>
      <c r="D39" s="523" t="s">
        <v>24</v>
      </c>
      <c r="E39" s="584">
        <f>IF(E38-E23&gt;0,E38-E23,0)</f>
        <v>0</v>
      </c>
      <c r="F39" s="575"/>
      <c r="G39" s="759" t="s">
        <v>825</v>
      </c>
      <c r="H39" s="760"/>
      <c r="I39" s="769"/>
      <c r="J39" s="762" t="str">
        <f>cert!F37</f>
        <v>Yes</v>
      </c>
    </row>
    <row r="40" spans="2:10" x14ac:dyDescent="0.25">
      <c r="B40" s="523"/>
      <c r="C40" s="352" t="s">
        <v>536</v>
      </c>
      <c r="D40" s="585">
        <f>inputOth!E42</f>
        <v>2.5899999999999999E-2</v>
      </c>
      <c r="E40" s="537">
        <f>ROUND(IF(D40&gt;0,(E39*D40),0),0)</f>
        <v>0</v>
      </c>
      <c r="F40" s="575"/>
      <c r="G40" s="770" t="str">
        <f>CONCATENATE("Computed ",E1," tax levy limit amount")</f>
        <v>Computed 2020 tax levy limit amount</v>
      </c>
      <c r="H40" s="771"/>
      <c r="I40" s="771"/>
      <c r="J40" s="772">
        <f>computation!J41</f>
        <v>127410</v>
      </c>
    </row>
    <row r="41" spans="2:10" ht="16.5" thickBot="1" x14ac:dyDescent="0.3">
      <c r="B41" s="520"/>
      <c r="C41" s="909" t="str">
        <f>CONCATENATE("Amount of  ",E1-1," Ad Valorem Tax")</f>
        <v>Amount of  2019 Ad Valorem Tax</v>
      </c>
      <c r="D41" s="910"/>
      <c r="E41" s="591">
        <f>SUM(E39:E40)</f>
        <v>0</v>
      </c>
      <c r="F41" s="575"/>
      <c r="G41" s="773" t="str">
        <f>CONCATENATE("Total ",E1," tax levy amount")</f>
        <v>Total 2020 tax levy amount</v>
      </c>
      <c r="H41" s="774"/>
      <c r="I41" s="774"/>
      <c r="J41" s="775">
        <f>summ!H32</f>
        <v>176446</v>
      </c>
    </row>
    <row r="42" spans="2:10" ht="16.5" thickTop="1" x14ac:dyDescent="0.25">
      <c r="B42" s="526"/>
      <c r="C42" s="526"/>
      <c r="D42" s="524"/>
      <c r="E42" s="524"/>
      <c r="F42" s="575"/>
    </row>
    <row r="43" spans="2:10" x14ac:dyDescent="0.25">
      <c r="B43" s="526" t="s">
        <v>6</v>
      </c>
      <c r="C43" s="527" t="s">
        <v>695</v>
      </c>
      <c r="D43" s="528" t="s">
        <v>696</v>
      </c>
      <c r="E43" s="529" t="s">
        <v>697</v>
      </c>
      <c r="F43" s="575"/>
    </row>
    <row r="44" spans="2:10" x14ac:dyDescent="0.25">
      <c r="B44" s="598" t="str">
        <f>inputPrYr!B21</f>
        <v>Library</v>
      </c>
      <c r="C44" s="531" t="str">
        <f>CONCATENATE("Actual for ",$E$1-2,"")</f>
        <v>Actual for 2018</v>
      </c>
      <c r="D44" s="532" t="str">
        <f>CONCATENATE("Estimate for ",$E$1-1,"")</f>
        <v>Estimate for 2019</v>
      </c>
      <c r="E44" s="533" t="str">
        <f>CONCATENATE("Year for ",$E$1,"")</f>
        <v>Year for 2020</v>
      </c>
      <c r="F44" s="575"/>
    </row>
    <row r="45" spans="2:10" x14ac:dyDescent="0.25">
      <c r="B45" s="534" t="s">
        <v>115</v>
      </c>
      <c r="C45" s="539">
        <v>0</v>
      </c>
      <c r="D45" s="536">
        <f>C74</f>
        <v>0</v>
      </c>
      <c r="E45" s="537">
        <f>D74</f>
        <v>0</v>
      </c>
      <c r="F45" s="575"/>
    </row>
    <row r="46" spans="2:10" x14ac:dyDescent="0.25">
      <c r="B46" s="603" t="s">
        <v>104</v>
      </c>
      <c r="C46" s="534"/>
      <c r="D46" s="536"/>
      <c r="E46" s="537"/>
      <c r="F46" s="575"/>
    </row>
    <row r="47" spans="2:10" x14ac:dyDescent="0.25">
      <c r="B47" s="534" t="s">
        <v>12</v>
      </c>
      <c r="C47" s="547"/>
      <c r="D47" s="536">
        <f>IF(inputPrYr!H18&gt;0,inputPrYr!G21,inputPrYr!E21)</f>
        <v>0</v>
      </c>
      <c r="E47" s="540" t="s">
        <v>249</v>
      </c>
      <c r="F47" s="575"/>
    </row>
    <row r="48" spans="2:10" x14ac:dyDescent="0.25">
      <c r="B48" s="534" t="s">
        <v>13</v>
      </c>
      <c r="C48" s="547"/>
      <c r="D48" s="541"/>
      <c r="E48" s="542"/>
      <c r="F48" s="575"/>
    </row>
    <row r="49" spans="2:10" x14ac:dyDescent="0.25">
      <c r="B49" s="534" t="s">
        <v>14</v>
      </c>
      <c r="C49" s="547"/>
      <c r="D49" s="541"/>
      <c r="E49" s="537">
        <f>mvalloc!D13</f>
        <v>0</v>
      </c>
      <c r="F49" s="575"/>
    </row>
    <row r="50" spans="2:10" x14ac:dyDescent="0.25">
      <c r="B50" s="534" t="s">
        <v>15</v>
      </c>
      <c r="C50" s="547"/>
      <c r="D50" s="541"/>
      <c r="E50" s="537">
        <f>mvalloc!E13</f>
        <v>0</v>
      </c>
      <c r="F50" s="575"/>
    </row>
    <row r="51" spans="2:10" x14ac:dyDescent="0.25">
      <c r="B51" s="543" t="s">
        <v>92</v>
      </c>
      <c r="C51" s="547"/>
      <c r="D51" s="541"/>
      <c r="E51" s="537">
        <f>mvalloc!F13</f>
        <v>0</v>
      </c>
      <c r="G51" s="904" t="str">
        <f>CONCATENATE("Desired Carryover Into ",E1+1,"")</f>
        <v>Desired Carryover Into 2021</v>
      </c>
      <c r="H51" s="905"/>
      <c r="I51" s="905"/>
      <c r="J51" s="906"/>
    </row>
    <row r="52" spans="2:10" x14ac:dyDescent="0.25">
      <c r="B52" s="754" t="s">
        <v>817</v>
      </c>
      <c r="C52" s="547"/>
      <c r="D52" s="541"/>
      <c r="E52" s="537">
        <f>mvalloc!G13</f>
        <v>0</v>
      </c>
      <c r="G52" s="553"/>
      <c r="H52" s="554"/>
      <c r="I52" s="555"/>
      <c r="J52" s="556"/>
    </row>
    <row r="53" spans="2:10" x14ac:dyDescent="0.25">
      <c r="B53" s="754" t="s">
        <v>818</v>
      </c>
      <c r="C53" s="547"/>
      <c r="D53" s="541"/>
      <c r="E53" s="537">
        <f>mvalloc!H13</f>
        <v>0</v>
      </c>
      <c r="G53" s="557" t="s">
        <v>624</v>
      </c>
      <c r="H53" s="555"/>
      <c r="I53" s="555"/>
      <c r="J53" s="558">
        <v>0</v>
      </c>
    </row>
    <row r="54" spans="2:10" x14ac:dyDescent="0.25">
      <c r="B54" s="544"/>
      <c r="C54" s="547"/>
      <c r="D54" s="541"/>
      <c r="E54" s="545"/>
      <c r="G54" s="553" t="s">
        <v>625</v>
      </c>
      <c r="H54" s="554"/>
      <c r="I54" s="554"/>
      <c r="J54" s="559" t="str">
        <f>IF(J53=0,"",ROUND((J53+E80-G66)/inputOth!E7*1000,3)-G71)</f>
        <v/>
      </c>
    </row>
    <row r="55" spans="2:10" x14ac:dyDescent="0.25">
      <c r="B55" s="544"/>
      <c r="C55" s="547"/>
      <c r="D55" s="541"/>
      <c r="E55" s="542"/>
      <c r="G55" s="560" t="str">
        <f>CONCATENATE("",E1," Tot Exp/Non-Appr Must Be:")</f>
        <v>2020 Tot Exp/Non-Appr Must Be:</v>
      </c>
      <c r="H55" s="561"/>
      <c r="I55" s="562"/>
      <c r="J55" s="563">
        <f>IF(J53&gt;0,IF(E77&lt;E62,IF(J53=G66,E77,((J53-G66)*(1-D79))+E62),E77+(J53-G66)),0)</f>
        <v>0</v>
      </c>
    </row>
    <row r="56" spans="2:10" x14ac:dyDescent="0.25">
      <c r="B56" s="544"/>
      <c r="C56" s="547"/>
      <c r="D56" s="541"/>
      <c r="E56" s="542"/>
      <c r="G56" s="564" t="s">
        <v>698</v>
      </c>
      <c r="H56" s="565"/>
      <c r="I56" s="565"/>
      <c r="J56" s="566">
        <f>IF(J53&gt;0,J55-E77,0)</f>
        <v>0</v>
      </c>
    </row>
    <row r="57" spans="2:10" x14ac:dyDescent="0.25">
      <c r="B57" s="546" t="s">
        <v>18</v>
      </c>
      <c r="C57" s="547"/>
      <c r="D57" s="541"/>
      <c r="E57" s="542"/>
    </row>
    <row r="58" spans="2:10" x14ac:dyDescent="0.25">
      <c r="B58" s="543" t="s">
        <v>178</v>
      </c>
      <c r="C58" s="547"/>
      <c r="D58" s="541"/>
      <c r="E58" s="537">
        <f>nhood!E8*-1</f>
        <v>0</v>
      </c>
      <c r="G58" s="904" t="str">
        <f>CONCATENATE("Projected Carryover Into ",E1+1,"")</f>
        <v>Projected Carryover Into 2021</v>
      </c>
      <c r="H58" s="914"/>
      <c r="I58" s="914"/>
      <c r="J58" s="908"/>
    </row>
    <row r="59" spans="2:10" x14ac:dyDescent="0.25">
      <c r="B59" s="534" t="s">
        <v>176</v>
      </c>
      <c r="C59" s="547"/>
      <c r="D59" s="547"/>
      <c r="E59" s="604"/>
      <c r="G59" s="605"/>
      <c r="H59" s="554"/>
      <c r="I59" s="554"/>
      <c r="J59" s="606"/>
    </row>
    <row r="60" spans="2:10" x14ac:dyDescent="0.25">
      <c r="B60" s="534" t="s">
        <v>701</v>
      </c>
      <c r="C60" s="548" t="str">
        <f>IF(C61*0.1&lt;C59,"Exceed 10% Rule","")</f>
        <v/>
      </c>
      <c r="D60" s="548" t="str">
        <f>IF(D61*0.1&lt;D59,"Exceeds 10% Rule","")</f>
        <v/>
      </c>
      <c r="E60" s="549" t="str">
        <f>IF(E61*0.1+E80&lt;E59,"Exceed 10% Rule","")</f>
        <v/>
      </c>
      <c r="G60" s="571">
        <f>D74</f>
        <v>0</v>
      </c>
      <c r="H60" s="572" t="str">
        <f>CONCATENATE("",E1-1," Ending Cash Balance (est.)")</f>
        <v>2019 Ending Cash Balance (est.)</v>
      </c>
      <c r="I60" s="573"/>
      <c r="J60" s="606"/>
    </row>
    <row r="61" spans="2:10" x14ac:dyDescent="0.25">
      <c r="B61" s="550" t="s">
        <v>19</v>
      </c>
      <c r="C61" s="569">
        <f>SUM(C47:C59)</f>
        <v>0</v>
      </c>
      <c r="D61" s="569">
        <f>SUM(D47:D59)</f>
        <v>0</v>
      </c>
      <c r="E61" s="570">
        <f>SUM(E48:E59)</f>
        <v>0</v>
      </c>
      <c r="G61" s="571">
        <f>E61</f>
        <v>0</v>
      </c>
      <c r="H61" s="555" t="str">
        <f>CONCATENATE("",E1," Non-AV Receipts (est.)")</f>
        <v>2020 Non-AV Receipts (est.)</v>
      </c>
      <c r="I61" s="573"/>
      <c r="J61" s="606"/>
    </row>
    <row r="62" spans="2:10" x14ac:dyDescent="0.25">
      <c r="B62" s="550" t="s">
        <v>20</v>
      </c>
      <c r="C62" s="569">
        <f>C45+C61</f>
        <v>0</v>
      </c>
      <c r="D62" s="569">
        <f>D45+D61</f>
        <v>0</v>
      </c>
      <c r="E62" s="570">
        <f>E45+E61</f>
        <v>0</v>
      </c>
      <c r="G62" s="578">
        <f>IF(E79&gt;0,E78,E80)</f>
        <v>0</v>
      </c>
      <c r="H62" s="555" t="str">
        <f>CONCATENATE("",E1," Ad Valorem Tax (est.)")</f>
        <v>2020 Ad Valorem Tax (est.)</v>
      </c>
      <c r="I62" s="555"/>
      <c r="J62" s="791"/>
    </row>
    <row r="63" spans="2:10" x14ac:dyDescent="0.25">
      <c r="B63" s="534" t="s">
        <v>21</v>
      </c>
      <c r="C63" s="534"/>
      <c r="D63" s="536"/>
      <c r="E63" s="537"/>
      <c r="G63" s="608">
        <f>SUM(G60:G62)</f>
        <v>0</v>
      </c>
      <c r="H63" s="555" t="str">
        <f>CONCATENATE("Total ",E1," Resources Available")</f>
        <v>Total 2020 Resources Available</v>
      </c>
      <c r="I63" s="609"/>
      <c r="J63" s="606"/>
    </row>
    <row r="64" spans="2:10" x14ac:dyDescent="0.25">
      <c r="B64" s="544"/>
      <c r="C64" s="539"/>
      <c r="D64" s="541"/>
      <c r="E64" s="542"/>
      <c r="G64" s="610"/>
      <c r="H64" s="611"/>
      <c r="I64" s="554"/>
      <c r="J64" s="606"/>
    </row>
    <row r="65" spans="2:11" x14ac:dyDescent="0.25">
      <c r="B65" s="544"/>
      <c r="C65" s="539"/>
      <c r="D65" s="541"/>
      <c r="E65" s="542"/>
      <c r="G65" s="578">
        <f>ROUND(C73*0.05+C73,0)</f>
        <v>0</v>
      </c>
      <c r="H65" s="555" t="str">
        <f>CONCATENATE("Less ",E1-2," Expenditures + 5%")</f>
        <v>Less 2018 Expenditures + 5%</v>
      </c>
      <c r="I65" s="609"/>
      <c r="J65" s="606"/>
    </row>
    <row r="66" spans="2:11" x14ac:dyDescent="0.25">
      <c r="B66" s="544"/>
      <c r="C66" s="539"/>
      <c r="D66" s="541"/>
      <c r="E66" s="542"/>
      <c r="G66" s="586">
        <f>G63-G65</f>
        <v>0</v>
      </c>
      <c r="H66" s="587" t="str">
        <f>CONCATENATE("Projected ",E1+1," carryover (est.)")</f>
        <v>Projected 2021 carryover (est.)</v>
      </c>
      <c r="I66" s="612"/>
      <c r="J66" s="613"/>
    </row>
    <row r="67" spans="2:11" x14ac:dyDescent="0.25">
      <c r="B67" s="544"/>
      <c r="C67" s="539"/>
      <c r="D67" s="541"/>
      <c r="E67" s="542"/>
    </row>
    <row r="68" spans="2:11" x14ac:dyDescent="0.25">
      <c r="B68" s="544"/>
      <c r="C68" s="539"/>
      <c r="D68" s="541"/>
      <c r="E68" s="542"/>
      <c r="G68" s="911" t="s">
        <v>699</v>
      </c>
      <c r="H68" s="912"/>
      <c r="I68" s="912"/>
      <c r="J68" s="913"/>
      <c r="K68" s="669" t="str">
        <f>IF(G62=E80,"","Note: Does not include Delinquent Taxes")</f>
        <v/>
      </c>
    </row>
    <row r="69" spans="2:11" x14ac:dyDescent="0.25">
      <c r="B69" s="544"/>
      <c r="C69" s="539"/>
      <c r="D69" s="541"/>
      <c r="E69" s="542"/>
      <c r="G69" s="593"/>
      <c r="H69" s="572"/>
      <c r="I69" s="594"/>
      <c r="J69" s="595"/>
    </row>
    <row r="70" spans="2:11" x14ac:dyDescent="0.25">
      <c r="B70" s="544"/>
      <c r="C70" s="539"/>
      <c r="D70" s="541"/>
      <c r="E70" s="542"/>
      <c r="F70" s="575"/>
      <c r="G70" s="596" t="str">
        <f>summ!I20</f>
        <v xml:space="preserve"> </v>
      </c>
      <c r="H70" s="572" t="str">
        <f>CONCATENATE("",E1," Fund Mill Rate")</f>
        <v>2020 Fund Mill Rate</v>
      </c>
      <c r="I70" s="594"/>
      <c r="J70" s="595"/>
    </row>
    <row r="71" spans="2:11" x14ac:dyDescent="0.25">
      <c r="B71" s="543" t="s">
        <v>176</v>
      </c>
      <c r="C71" s="547"/>
      <c r="D71" s="541"/>
      <c r="E71" s="542"/>
      <c r="F71" s="575"/>
      <c r="G71" s="597" t="str">
        <f>summ!F20</f>
        <v xml:space="preserve">  </v>
      </c>
      <c r="H71" s="572" t="str">
        <f>CONCATENATE("",E1-1," Fund Mill Rate")</f>
        <v>2019 Fund Mill Rate</v>
      </c>
      <c r="I71" s="594"/>
      <c r="J71" s="595"/>
    </row>
    <row r="72" spans="2:11" x14ac:dyDescent="0.25">
      <c r="B72" s="543" t="s">
        <v>533</v>
      </c>
      <c r="C72" s="548" t="str">
        <f>IF(C73*0.1&lt;C71,"Exceed 10% Rule","")</f>
        <v/>
      </c>
      <c r="D72" s="548" t="str">
        <f>IF(D73*0.1&lt;D71,"Exceed 10% Rule","")</f>
        <v/>
      </c>
      <c r="E72" s="549" t="str">
        <f>IF(E73*0.1&lt;E71,"Exceed 10% Rule","")</f>
        <v/>
      </c>
      <c r="F72" s="575"/>
      <c r="G72" s="599">
        <f>summ!I32</f>
        <v>19.873000000000001</v>
      </c>
      <c r="H72" s="572" t="str">
        <f>CONCATENATE("Total ",E1," Mill Rate")</f>
        <v>Total 2020 Mill Rate</v>
      </c>
      <c r="I72" s="594"/>
      <c r="J72" s="595"/>
    </row>
    <row r="73" spans="2:11" x14ac:dyDescent="0.25">
      <c r="B73" s="550" t="s">
        <v>22</v>
      </c>
      <c r="C73" s="569">
        <f>SUM(C64:C71)</f>
        <v>0</v>
      </c>
      <c r="D73" s="569">
        <f>SUM(D64:D71)</f>
        <v>0</v>
      </c>
      <c r="E73" s="570">
        <f>SUM(E64:E71)</f>
        <v>0</v>
      </c>
      <c r="F73" s="575"/>
      <c r="G73" s="597">
        <f>summ!F32</f>
        <v>19.869</v>
      </c>
      <c r="H73" s="600" t="str">
        <f>CONCATENATE("Total ",E1-1," Mill Rate")</f>
        <v>Total 2019 Mill Rate</v>
      </c>
      <c r="I73" s="601"/>
      <c r="J73" s="602"/>
    </row>
    <row r="74" spans="2:11" x14ac:dyDescent="0.25">
      <c r="B74" s="534" t="s">
        <v>103</v>
      </c>
      <c r="C74" s="574">
        <f>C62-C73</f>
        <v>0</v>
      </c>
      <c r="D74" s="574">
        <f>D62-D73</f>
        <v>0</v>
      </c>
      <c r="E74" s="540" t="s">
        <v>249</v>
      </c>
      <c r="F74" s="575"/>
      <c r="G74" s="615"/>
      <c r="H74" s="615"/>
      <c r="I74" s="615"/>
      <c r="J74" s="615"/>
    </row>
    <row r="75" spans="2:11" x14ac:dyDescent="0.25">
      <c r="B75" s="685" t="str">
        <f>CONCATENATE("",E1-2,"/",E1-1,"/",E1," Budget Authority Amount:")</f>
        <v>2018/2019/2020 Budget Authority Amount:</v>
      </c>
      <c r="C75" s="684">
        <f>inputOth!B50</f>
        <v>0</v>
      </c>
      <c r="D75" s="684">
        <f>inputPrYr!D21</f>
        <v>0</v>
      </c>
      <c r="E75" s="537">
        <f>E73</f>
        <v>0</v>
      </c>
      <c r="F75" s="577"/>
      <c r="G75" s="759" t="s">
        <v>825</v>
      </c>
      <c r="H75" s="760"/>
      <c r="I75" s="769"/>
      <c r="J75" s="762" t="str">
        <f>cert!F37</f>
        <v>Yes</v>
      </c>
    </row>
    <row r="76" spans="2:11" x14ac:dyDescent="0.25">
      <c r="B76" s="576"/>
      <c r="C76" s="894" t="s">
        <v>534</v>
      </c>
      <c r="D76" s="895"/>
      <c r="E76" s="542"/>
      <c r="F76" s="607" t="str">
        <f>IF(E73/0.95-E73&lt;E76,"Exceeds 5%","")</f>
        <v/>
      </c>
      <c r="G76" s="770" t="str">
        <f>CONCATENATE("Computed ",E1," tax levy limit amount")</f>
        <v>Computed 2020 tax levy limit amount</v>
      </c>
      <c r="H76" s="771"/>
      <c r="I76" s="771"/>
      <c r="J76" s="772">
        <f>computation!J41</f>
        <v>127410</v>
      </c>
    </row>
    <row r="77" spans="2:11" x14ac:dyDescent="0.25">
      <c r="B77" s="581" t="str">
        <f>CONCATENATE(C98,"     ",D98)</f>
        <v xml:space="preserve">     </v>
      </c>
      <c r="C77" s="896" t="s">
        <v>535</v>
      </c>
      <c r="D77" s="897"/>
      <c r="E77" s="537">
        <f>E73+E76</f>
        <v>0</v>
      </c>
      <c r="F77" s="575"/>
      <c r="G77" s="773" t="str">
        <f>CONCATENATE("Total ",E1," tax levy amount")</f>
        <v>Total 2020 tax levy amount</v>
      </c>
      <c r="H77" s="774"/>
      <c r="I77" s="774"/>
      <c r="J77" s="775">
        <f>summ!H32</f>
        <v>176446</v>
      </c>
    </row>
    <row r="78" spans="2:11" x14ac:dyDescent="0.25">
      <c r="B78" s="581" t="str">
        <f>CONCATENATE(C99,"     ",D99)</f>
        <v xml:space="preserve">     </v>
      </c>
      <c r="C78" s="583"/>
      <c r="D78" s="523" t="s">
        <v>24</v>
      </c>
      <c r="E78" s="584">
        <f>IF(E77-E62&gt;0,E77-E62,0)</f>
        <v>0</v>
      </c>
      <c r="F78" s="575"/>
    </row>
    <row r="79" spans="2:11" x14ac:dyDescent="0.25">
      <c r="B79" s="523"/>
      <c r="C79" s="352" t="s">
        <v>536</v>
      </c>
      <c r="D79" s="585">
        <f>inputOth!E42</f>
        <v>2.5899999999999999E-2</v>
      </c>
      <c r="E79" s="537">
        <f>ROUND(IF(E78&gt;0,(E78*D79),0),0)</f>
        <v>0</v>
      </c>
      <c r="F79" s="575"/>
    </row>
    <row r="80" spans="2:11" ht="16.5" thickBot="1" x14ac:dyDescent="0.3">
      <c r="B80" s="520"/>
      <c r="C80" s="909" t="str">
        <f>CONCATENATE("Amount of  ",E1-1," Ad Valorem Tax")</f>
        <v>Amount of  2019 Ad Valorem Tax</v>
      </c>
      <c r="D80" s="910"/>
      <c r="E80" s="591">
        <f>E78+E79</f>
        <v>0</v>
      </c>
      <c r="F80" s="614" t="str">
        <f>IF('Library Grant'!F33="","",IF('Library Grant'!F33="Qualify","Qualifies for State Library Grant","See 'Library Grant' tab"))</f>
        <v>Qualifies for State Library Grant</v>
      </c>
    </row>
    <row r="81" spans="2:6" ht="16.5" thickTop="1" x14ac:dyDescent="0.25">
      <c r="B81" s="523"/>
      <c r="C81" s="909"/>
      <c r="D81" s="910"/>
      <c r="E81" s="592"/>
      <c r="F81" s="575"/>
    </row>
    <row r="82" spans="2:6" x14ac:dyDescent="0.25">
      <c r="B82" s="811" t="s">
        <v>967</v>
      </c>
      <c r="C82" s="802"/>
      <c r="D82" s="803"/>
      <c r="E82" s="804"/>
      <c r="F82" s="575"/>
    </row>
    <row r="83" spans="2:6" x14ac:dyDescent="0.25">
      <c r="B83" s="805"/>
      <c r="C83" s="590"/>
      <c r="D83" s="668"/>
      <c r="E83" s="806"/>
      <c r="F83" s="575"/>
    </row>
    <row r="84" spans="2:6" x14ac:dyDescent="0.25">
      <c r="B84" s="807"/>
      <c r="C84" s="808"/>
      <c r="D84" s="809"/>
      <c r="E84" s="810"/>
      <c r="F84" s="575"/>
    </row>
    <row r="85" spans="2:6" x14ac:dyDescent="0.25">
      <c r="B85" s="523"/>
      <c r="C85" s="523"/>
      <c r="D85" s="523"/>
      <c r="E85" s="523"/>
    </row>
    <row r="86" spans="2:6" x14ac:dyDescent="0.25">
      <c r="B86" s="523" t="s">
        <v>5</v>
      </c>
      <c r="C86" s="733"/>
      <c r="D86" s="523"/>
      <c r="E86" s="523"/>
      <c r="F86" s="575"/>
    </row>
    <row r="91" spans="2:6" x14ac:dyDescent="0.25">
      <c r="C91" s="616" t="s">
        <v>700</v>
      </c>
      <c r="D91" s="616" t="s">
        <v>700</v>
      </c>
    </row>
    <row r="92" spans="2:6" x14ac:dyDescent="0.25">
      <c r="C92" s="616" t="s">
        <v>700</v>
      </c>
      <c r="D92" s="616" t="s">
        <v>700</v>
      </c>
    </row>
    <row r="94" spans="2:6" x14ac:dyDescent="0.25">
      <c r="C94" s="616" t="s">
        <v>700</v>
      </c>
      <c r="D94" s="616" t="s">
        <v>700</v>
      </c>
    </row>
    <row r="95" spans="2:6" x14ac:dyDescent="0.25">
      <c r="C95" s="616" t="s">
        <v>700</v>
      </c>
      <c r="D95" s="616" t="s">
        <v>700</v>
      </c>
    </row>
    <row r="96" spans="2:6" hidden="1" x14ac:dyDescent="0.25">
      <c r="C96" s="617" t="str">
        <f>IF(C34&gt;C36,"See Tab A","")</f>
        <v/>
      </c>
      <c r="D96" s="617" t="str">
        <f>IF(D34&gt;D36,"See Tab C","")</f>
        <v/>
      </c>
    </row>
    <row r="97" spans="3:4" hidden="1" x14ac:dyDescent="0.25">
      <c r="C97" s="617" t="str">
        <f>IF(C35&lt;0,"See Tab B","")</f>
        <v/>
      </c>
      <c r="D97" s="617" t="str">
        <f>IF(D35&lt;0,"See Tab D","")</f>
        <v/>
      </c>
    </row>
    <row r="98" spans="3:4" hidden="1" x14ac:dyDescent="0.25">
      <c r="C98" s="618" t="str">
        <f>IF(C73&gt;C75,"See Tab A","")</f>
        <v/>
      </c>
      <c r="D98" s="618" t="str">
        <f>IF(D73&gt;D75,"See Tab C","")</f>
        <v/>
      </c>
    </row>
    <row r="99" spans="3:4" hidden="1" x14ac:dyDescent="0.25">
      <c r="C99" s="618" t="str">
        <f>IF(C74&lt;0,"See Tab B","")</f>
        <v/>
      </c>
      <c r="D99" s="618" t="str">
        <f>IF(D74&lt;0,"See Tab D","")</f>
        <v/>
      </c>
    </row>
  </sheetData>
  <mergeCells count="13">
    <mergeCell ref="C81:D81"/>
    <mergeCell ref="G68:J68"/>
    <mergeCell ref="G51:J51"/>
    <mergeCell ref="G58:J58"/>
    <mergeCell ref="C76:D76"/>
    <mergeCell ref="C77:D77"/>
    <mergeCell ref="C80:D80"/>
    <mergeCell ref="G15:J15"/>
    <mergeCell ref="G22:J22"/>
    <mergeCell ref="C37:D37"/>
    <mergeCell ref="C38:D38"/>
    <mergeCell ref="C41:D41"/>
    <mergeCell ref="G32:J32"/>
  </mergeCells>
  <conditionalFormatting sqref="C73">
    <cfRule type="cellIs" dxfId="109" priority="16" stopIfTrue="1" operator="greaterThan">
      <formula>$C$75</formula>
    </cfRule>
  </conditionalFormatting>
  <conditionalFormatting sqref="C74:D74 C35:D35">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4">
    <cfRule type="cellIs" dxfId="106" priority="13" stopIfTrue="1" operator="greaterThan">
      <formula>$C$36</formula>
    </cfRule>
  </conditionalFormatting>
  <conditionalFormatting sqref="D34">
    <cfRule type="cellIs" dxfId="105" priority="12" stopIfTrue="1" operator="greaterThan">
      <formula>$D$36</formula>
    </cfRule>
  </conditionalFormatting>
  <conditionalFormatting sqref="C32">
    <cfRule type="cellIs" dxfId="104" priority="11" stopIfTrue="1" operator="greaterThan">
      <formula>$C$34*0.1</formula>
    </cfRule>
  </conditionalFormatting>
  <conditionalFormatting sqref="D32">
    <cfRule type="cellIs" dxfId="103" priority="10" stopIfTrue="1" operator="greaterThan">
      <formula>$D$34*0.1</formula>
    </cfRule>
  </conditionalFormatting>
  <conditionalFormatting sqref="E32">
    <cfRule type="cellIs" dxfId="102" priority="9" stopIfTrue="1" operator="greaterThan">
      <formula>$E$34*0.1</formula>
    </cfRule>
  </conditionalFormatting>
  <conditionalFormatting sqref="C20 C59:E59">
    <cfRule type="cellIs" dxfId="101" priority="8" stopIfTrue="1" operator="greaterThan">
      <formula>$C$22*0.1</formula>
    </cfRule>
  </conditionalFormatting>
  <conditionalFormatting sqref="D20">
    <cfRule type="cellIs" dxfId="100" priority="7" stopIfTrue="1" operator="greaterThan">
      <formula>$D$22*0.1</formula>
    </cfRule>
  </conditionalFormatting>
  <conditionalFormatting sqref="C71">
    <cfRule type="cellIs" dxfId="99" priority="5" stopIfTrue="1" operator="greaterThan">
      <formula>$C$73*0.1</formula>
    </cfRule>
  </conditionalFormatting>
  <conditionalFormatting sqref="D71">
    <cfRule type="cellIs" dxfId="98" priority="4" stopIfTrue="1" operator="greaterThan">
      <formula>$D$73*0.1</formula>
    </cfRule>
  </conditionalFormatting>
  <conditionalFormatting sqref="E71">
    <cfRule type="cellIs" dxfId="97" priority="3" stopIfTrue="1" operator="greaterThan">
      <formula>$E$73*0.1</formula>
    </cfRule>
  </conditionalFormatting>
  <conditionalFormatting sqref="E37">
    <cfRule type="cellIs" dxfId="96" priority="2" stopIfTrue="1" operator="greaterThan">
      <formula>$E$34/0.95-$E$34</formula>
    </cfRule>
  </conditionalFormatting>
  <conditionalFormatting sqref="E76">
    <cfRule type="cellIs" dxfId="95" priority="1" stopIfTrue="1" operator="greaterThan">
      <formula>$E$73/0.98-$E$73</formula>
    </cfRule>
  </conditionalFormatting>
  <conditionalFormatting sqref="E20">
    <cfRule type="cellIs" dxfId="94" priority="31" stopIfTrue="1" operator="greaterThan">
      <formula>$E$22*0.1+$E$41</formula>
    </cfRule>
  </conditionalFormatting>
  <pageMargins left="0.25" right="0.25" top="0.75" bottom="0.75" header="0.3" footer="0.3"/>
  <pageSetup scale="56"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B1:K79"/>
  <sheetViews>
    <sheetView zoomScaleNormal="100" workbookViewId="0">
      <selection activeCell="F59" sqref="F59"/>
    </sheetView>
  </sheetViews>
  <sheetFormatPr defaultColWidth="8.796875" defaultRowHeight="15.75" x14ac:dyDescent="0.2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ol min="9" max="9" width="4.8984375" style="5" customWidth="1"/>
    <col min="10" max="10" width="9.8984375" style="5" customWidth="1"/>
    <col min="11" max="16384" width="8.796875" style="5"/>
  </cols>
  <sheetData>
    <row r="1" spans="2:5" x14ac:dyDescent="0.25">
      <c r="B1" s="2" t="str">
        <f>inputPrYr!D3</f>
        <v>ROVOHL TOWNSHIP</v>
      </c>
      <c r="C1" s="3"/>
      <c r="D1" s="3"/>
      <c r="E1" s="4">
        <f>inputPrYr!D6</f>
        <v>2020</v>
      </c>
    </row>
    <row r="2" spans="2:5" x14ac:dyDescent="0.25">
      <c r="B2" s="6"/>
      <c r="C2" s="3"/>
      <c r="D2" s="50"/>
      <c r="E2" s="51"/>
    </row>
    <row r="3" spans="2:5" x14ac:dyDescent="0.25">
      <c r="B3" s="480" t="s">
        <v>630</v>
      </c>
      <c r="C3" s="54"/>
      <c r="D3" s="54"/>
      <c r="E3" s="54"/>
    </row>
    <row r="4" spans="2:5" x14ac:dyDescent="0.25">
      <c r="B4" s="11" t="s">
        <v>6</v>
      </c>
      <c r="C4" s="340" t="s">
        <v>7</v>
      </c>
      <c r="D4" s="343" t="s">
        <v>8</v>
      </c>
      <c r="E4" s="12" t="s">
        <v>9</v>
      </c>
    </row>
    <row r="5" spans="2:5" x14ac:dyDescent="0.25">
      <c r="B5" s="349" t="str">
        <f>inputPrYr!B22</f>
        <v>Road</v>
      </c>
      <c r="C5" s="341" t="str">
        <f>gen!C5</f>
        <v>Actual for 2018</v>
      </c>
      <c r="D5" s="341" t="str">
        <f>gen!D5</f>
        <v>Estimate for 2019</v>
      </c>
      <c r="E5" s="15" t="str">
        <f>gen!E5</f>
        <v>Year for 2020</v>
      </c>
    </row>
    <row r="6" spans="2:5" x14ac:dyDescent="0.25">
      <c r="B6" s="16" t="s">
        <v>102</v>
      </c>
      <c r="C6" s="18"/>
      <c r="D6" s="342">
        <f>C44</f>
        <v>0</v>
      </c>
      <c r="E6" s="21">
        <f>D44</f>
        <v>0</v>
      </c>
    </row>
    <row r="7" spans="2:5" x14ac:dyDescent="0.25">
      <c r="B7" s="16" t="s">
        <v>104</v>
      </c>
      <c r="C7" s="342"/>
      <c r="D7" s="342"/>
      <c r="E7" s="22"/>
    </row>
    <row r="8" spans="2:5" x14ac:dyDescent="0.25">
      <c r="B8" s="16" t="s">
        <v>12</v>
      </c>
      <c r="C8" s="18"/>
      <c r="D8" s="342">
        <f>IF(inputPrYr!H18&gt;0,inputPrYr!G22,inputPrYr!E22)</f>
        <v>0</v>
      </c>
      <c r="E8" s="22" t="s">
        <v>249</v>
      </c>
    </row>
    <row r="9" spans="2:5" x14ac:dyDescent="0.25">
      <c r="B9" s="16" t="s">
        <v>13</v>
      </c>
      <c r="C9" s="18"/>
      <c r="D9" s="18"/>
      <c r="E9" s="23"/>
    </row>
    <row r="10" spans="2:5" x14ac:dyDescent="0.25">
      <c r="B10" s="16" t="s">
        <v>14</v>
      </c>
      <c r="C10" s="18"/>
      <c r="D10" s="18"/>
      <c r="E10" s="21">
        <f>mvalloc!D14</f>
        <v>0</v>
      </c>
    </row>
    <row r="11" spans="2:5" x14ac:dyDescent="0.25">
      <c r="B11" s="16" t="s">
        <v>15</v>
      </c>
      <c r="C11" s="18"/>
      <c r="D11" s="18"/>
      <c r="E11" s="21">
        <f>mvalloc!E14</f>
        <v>0</v>
      </c>
    </row>
    <row r="12" spans="2:5" x14ac:dyDescent="0.25">
      <c r="B12" s="16" t="s">
        <v>92</v>
      </c>
      <c r="C12" s="18"/>
      <c r="D12" s="18"/>
      <c r="E12" s="21">
        <f>mvalloc!F14</f>
        <v>0</v>
      </c>
    </row>
    <row r="13" spans="2:5" x14ac:dyDescent="0.25">
      <c r="B13" s="754" t="s">
        <v>817</v>
      </c>
      <c r="C13" s="18"/>
      <c r="D13" s="18"/>
      <c r="E13" s="21">
        <f>mvalloc!G14</f>
        <v>0</v>
      </c>
    </row>
    <row r="14" spans="2:5" x14ac:dyDescent="0.25">
      <c r="B14" s="754" t="s">
        <v>818</v>
      </c>
      <c r="C14" s="18"/>
      <c r="D14" s="18"/>
      <c r="E14" s="21">
        <f>mvalloc!H14</f>
        <v>0</v>
      </c>
    </row>
    <row r="15" spans="2:5" x14ac:dyDescent="0.25">
      <c r="B15" s="16" t="s">
        <v>93</v>
      </c>
      <c r="C15" s="18"/>
      <c r="D15" s="18"/>
      <c r="E15" s="21">
        <f>inputOth!E38</f>
        <v>0</v>
      </c>
    </row>
    <row r="16" spans="2:5" x14ac:dyDescent="0.25">
      <c r="B16" s="27"/>
      <c r="C16" s="18"/>
      <c r="D16" s="18"/>
      <c r="E16" s="23"/>
    </row>
    <row r="17" spans="2:10" x14ac:dyDescent="0.25">
      <c r="B17" s="27"/>
      <c r="C17" s="18"/>
      <c r="D17" s="18"/>
      <c r="E17" s="23"/>
    </row>
    <row r="18" spans="2:10" x14ac:dyDescent="0.25">
      <c r="B18" s="27"/>
      <c r="C18" s="18"/>
      <c r="D18" s="18"/>
      <c r="E18" s="23"/>
    </row>
    <row r="19" spans="2:10" x14ac:dyDescent="0.25">
      <c r="B19" s="27"/>
      <c r="C19" s="18"/>
      <c r="D19" s="18"/>
      <c r="E19" s="23"/>
    </row>
    <row r="20" spans="2:10" x14ac:dyDescent="0.25">
      <c r="B20" s="27"/>
      <c r="C20" s="18"/>
      <c r="D20" s="18"/>
      <c r="E20" s="23"/>
    </row>
    <row r="21" spans="2:10" x14ac:dyDescent="0.25">
      <c r="B21" s="27" t="s">
        <v>18</v>
      </c>
      <c r="C21" s="18"/>
      <c r="D21" s="18"/>
      <c r="E21" s="23"/>
    </row>
    <row r="22" spans="2:10" x14ac:dyDescent="0.25">
      <c r="B22" s="24" t="s">
        <v>178</v>
      </c>
      <c r="C22" s="18"/>
      <c r="D22" s="18"/>
      <c r="E22" s="35">
        <f>nhood!E9*-1</f>
        <v>0</v>
      </c>
    </row>
    <row r="23" spans="2:10" x14ac:dyDescent="0.25">
      <c r="B23" s="28" t="s">
        <v>176</v>
      </c>
      <c r="C23" s="18"/>
      <c r="D23" s="18"/>
      <c r="E23" s="23"/>
    </row>
    <row r="24" spans="2:10" x14ac:dyDescent="0.25">
      <c r="B24" s="28" t="s">
        <v>177</v>
      </c>
      <c r="C24" s="339" t="str">
        <f>IF(C25*0.1&lt;C23,"Exceed 10% Rule","")</f>
        <v/>
      </c>
      <c r="D24" s="339" t="str">
        <f>IF(D25*0.1&lt;D23,"Exceed 10% Rule","")</f>
        <v/>
      </c>
      <c r="E24" s="34" t="str">
        <f>IF(E25*0.1+E50&lt;E23,"Exceed 10% Rule","")</f>
        <v/>
      </c>
      <c r="G24" s="898" t="str">
        <f>CONCATENATE("Desired Carryover Into ",E1+1,"")</f>
        <v>Desired Carryover Into 2021</v>
      </c>
      <c r="H24" s="899"/>
      <c r="I24" s="899"/>
      <c r="J24" s="900"/>
    </row>
    <row r="25" spans="2:10" x14ac:dyDescent="0.25">
      <c r="B25" s="30" t="s">
        <v>19</v>
      </c>
      <c r="C25" s="344">
        <f>SUM(C8:C23)</f>
        <v>0</v>
      </c>
      <c r="D25" s="344">
        <f>SUM(D8:D23)</f>
        <v>0</v>
      </c>
      <c r="E25" s="31">
        <f>SUM(E8:E23)</f>
        <v>0</v>
      </c>
      <c r="G25" s="443"/>
      <c r="H25" s="8"/>
      <c r="I25" s="435"/>
      <c r="J25" s="444"/>
    </row>
    <row r="26" spans="2:10" x14ac:dyDescent="0.25">
      <c r="B26" s="32" t="s">
        <v>20</v>
      </c>
      <c r="C26" s="344">
        <f>C25+C6</f>
        <v>0</v>
      </c>
      <c r="D26" s="344">
        <f>D25+D6</f>
        <v>0</v>
      </c>
      <c r="E26" s="31">
        <f>E25+E6</f>
        <v>0</v>
      </c>
      <c r="G26" s="445" t="s">
        <v>624</v>
      </c>
      <c r="H26" s="435"/>
      <c r="I26" s="435"/>
      <c r="J26" s="446">
        <v>0</v>
      </c>
    </row>
    <row r="27" spans="2:10" x14ac:dyDescent="0.25">
      <c r="B27" s="16" t="s">
        <v>21</v>
      </c>
      <c r="C27" s="342"/>
      <c r="D27" s="342"/>
      <c r="E27" s="21"/>
      <c r="G27" s="443" t="s">
        <v>625</v>
      </c>
      <c r="H27" s="8"/>
      <c r="I27" s="8"/>
      <c r="J27" s="631" t="str">
        <f>IF(J26=0,"",ROUND((J26+E50-G39)/inputOth!E7*1000,3)-G44)</f>
        <v/>
      </c>
    </row>
    <row r="28" spans="2:10" x14ac:dyDescent="0.25">
      <c r="B28" s="27" t="s">
        <v>109</v>
      </c>
      <c r="C28" s="18"/>
      <c r="D28" s="18"/>
      <c r="E28" s="23"/>
      <c r="G28" s="632" t="str">
        <f>CONCATENATE("",E1," Tot Exp/Non-Appr Must Be:")</f>
        <v>2020 Tot Exp/Non-Appr Must Be:</v>
      </c>
      <c r="H28" s="518"/>
      <c r="I28" s="627"/>
      <c r="J28" s="633">
        <f>IF(J26&gt;0,IF(E47&lt;#REF!,IF(J26=G39,E47,((J26-G39)*(1-D49))+#REF!),E47+(J26-G39)),0)</f>
        <v>0</v>
      </c>
    </row>
    <row r="29" spans="2:10" x14ac:dyDescent="0.25">
      <c r="B29" s="26" t="s">
        <v>95</v>
      </c>
      <c r="C29" s="18"/>
      <c r="D29" s="18"/>
      <c r="E29" s="23"/>
      <c r="G29" s="634" t="s">
        <v>698</v>
      </c>
      <c r="H29" s="635"/>
      <c r="I29" s="635"/>
      <c r="J29" s="636">
        <f>IF(J26&gt;0,J28-E47,0)</f>
        <v>0</v>
      </c>
    </row>
    <row r="30" spans="2:10" x14ac:dyDescent="0.25">
      <c r="B30" s="27" t="s">
        <v>110</v>
      </c>
      <c r="C30" s="18"/>
      <c r="D30" s="18"/>
      <c r="E30" s="23"/>
    </row>
    <row r="31" spans="2:10" x14ac:dyDescent="0.25">
      <c r="B31" s="27" t="s">
        <v>98</v>
      </c>
      <c r="C31" s="18"/>
      <c r="D31" s="18"/>
      <c r="E31" s="23"/>
      <c r="G31" s="898" t="str">
        <f>CONCATENATE("Projected Carryover Into ",E1+1,"")</f>
        <v>Projected Carryover Into 2021</v>
      </c>
      <c r="H31" s="899"/>
      <c r="I31" s="899"/>
      <c r="J31" s="900"/>
    </row>
    <row r="32" spans="2:10" x14ac:dyDescent="0.25">
      <c r="B32" s="27" t="s">
        <v>96</v>
      </c>
      <c r="C32" s="18"/>
      <c r="D32" s="18"/>
      <c r="E32" s="23"/>
      <c r="G32" s="431"/>
      <c r="H32" s="8"/>
      <c r="I32" s="8"/>
      <c r="J32" s="235"/>
    </row>
    <row r="33" spans="2:11" x14ac:dyDescent="0.25">
      <c r="B33" s="27"/>
      <c r="C33" s="18"/>
      <c r="D33" s="18"/>
      <c r="E33" s="23"/>
      <c r="G33" s="432">
        <f>D44</f>
        <v>0</v>
      </c>
      <c r="H33" s="433" t="str">
        <f>CONCATENATE("",E1-1," Ending Cash Balance (est.)")</f>
        <v>2019 Ending Cash Balance (est.)</v>
      </c>
      <c r="I33" s="434"/>
      <c r="J33" s="235"/>
    </row>
    <row r="34" spans="2:11" x14ac:dyDescent="0.25">
      <c r="B34" s="27"/>
      <c r="C34" s="18"/>
      <c r="D34" s="18"/>
      <c r="E34" s="23"/>
      <c r="G34" s="432">
        <f>E25</f>
        <v>0</v>
      </c>
      <c r="H34" s="435" t="str">
        <f>CONCATENATE("",E1," Non-AV Receipts (est.)")</f>
        <v>2020 Non-AV Receipts (est.)</v>
      </c>
      <c r="I34" s="435"/>
      <c r="J34" s="8"/>
    </row>
    <row r="35" spans="2:11" x14ac:dyDescent="0.25">
      <c r="B35" s="27"/>
      <c r="C35" s="18"/>
      <c r="D35" s="18"/>
      <c r="E35" s="23"/>
      <c r="G35" s="436">
        <f>IF(D49&gt;0,E48,E50)</f>
        <v>0</v>
      </c>
      <c r="H35" s="435" t="str">
        <f>CONCATENATE("",E1," Ad Valorem Tax (est.)")</f>
        <v>2020 Ad Valorem Tax (est.)</v>
      </c>
      <c r="I35" s="435"/>
      <c r="J35" s="8"/>
      <c r="K35" s="793"/>
    </row>
    <row r="36" spans="2:11" x14ac:dyDescent="0.2">
      <c r="B36" s="26"/>
      <c r="C36" s="18"/>
      <c r="D36" s="18"/>
      <c r="E36" s="23"/>
      <c r="G36" s="432">
        <f>SUM(G33:G35)</f>
        <v>0</v>
      </c>
      <c r="H36" s="435" t="str">
        <f>CONCATENATE("Total ",E1," Resources Available")</f>
        <v>Total 2020 Resources Available</v>
      </c>
      <c r="I36" s="434"/>
      <c r="J36" s="235"/>
      <c r="K36" s="792" t="str">
        <f>IF(G35=E50,"","Note: Does not include Delinquent Taxes")</f>
        <v/>
      </c>
    </row>
    <row r="37" spans="2:11" x14ac:dyDescent="0.25">
      <c r="B37" s="27"/>
      <c r="C37" s="18"/>
      <c r="D37" s="18"/>
      <c r="E37" s="23"/>
      <c r="G37" s="437"/>
      <c r="H37" s="435"/>
      <c r="I37" s="435"/>
      <c r="J37" s="235"/>
    </row>
    <row r="38" spans="2:11" x14ac:dyDescent="0.25">
      <c r="B38" s="16" t="str">
        <f>CONCATENATE("Cash Forward (",E1," column)")</f>
        <v>Cash Forward (2020 column)</v>
      </c>
      <c r="C38" s="18"/>
      <c r="D38" s="18"/>
      <c r="E38" s="23"/>
      <c r="G38" s="436">
        <f>ROUND(C43*0.05+C43,0)</f>
        <v>0</v>
      </c>
      <c r="H38" s="435" t="str">
        <f>CONCATENATE("Less ",E1-2," Expenditures + 5%")</f>
        <v>Less 2018 Expenditures + 5%</v>
      </c>
      <c r="I38" s="434"/>
      <c r="J38" s="235"/>
    </row>
    <row r="39" spans="2:11" x14ac:dyDescent="0.25">
      <c r="B39" s="16" t="s">
        <v>97</v>
      </c>
      <c r="C39" s="18"/>
      <c r="D39" s="18"/>
      <c r="E39" s="23"/>
      <c r="G39" s="438">
        <f>G36-G38</f>
        <v>0</v>
      </c>
      <c r="H39" s="439" t="str">
        <f>CONCATENATE("Projected ",E1+1," Carryover (est.)")</f>
        <v>Projected 2021 Carryover (est.)</v>
      </c>
      <c r="I39" s="440"/>
      <c r="J39" s="441"/>
    </row>
    <row r="40" spans="2:11" x14ac:dyDescent="0.25">
      <c r="B40" s="16" t="s">
        <v>537</v>
      </c>
      <c r="C40" s="345" t="str">
        <f>IF(C26*0.25&lt;C39,"Not Authorized","")</f>
        <v/>
      </c>
      <c r="D40" s="345" t="str">
        <f>IF(D26*0.25&lt;D39,"Not Authorized","")</f>
        <v/>
      </c>
      <c r="E40" s="55" t="str">
        <f>IF(E26*0.25+E50&lt;E39,"Not Authorized","")</f>
        <v/>
      </c>
    </row>
    <row r="41" spans="2:11" x14ac:dyDescent="0.2">
      <c r="B41" s="24" t="s">
        <v>176</v>
      </c>
      <c r="C41" s="18"/>
      <c r="D41" s="18"/>
      <c r="E41" s="23"/>
      <c r="G41" s="901" t="s">
        <v>699</v>
      </c>
      <c r="H41" s="902"/>
      <c r="I41" s="902"/>
      <c r="J41" s="903"/>
    </row>
    <row r="42" spans="2:11" x14ac:dyDescent="0.25">
      <c r="B42" s="24" t="s">
        <v>533</v>
      </c>
      <c r="C42" s="339" t="str">
        <f>IF(C43*0.1&lt;C41,"Exceed 10% Rule","")</f>
        <v/>
      </c>
      <c r="D42" s="339" t="str">
        <f>IF(D43*0.1&lt;D41,"Exceed 10% Rule","")</f>
        <v/>
      </c>
      <c r="E42" s="34" t="str">
        <f>IF(E43*0.1&lt;E41,"Exceed 10% Rule","")</f>
        <v/>
      </c>
      <c r="G42" s="638"/>
      <c r="H42" s="433"/>
      <c r="I42" s="628"/>
      <c r="J42" s="639"/>
    </row>
    <row r="43" spans="2:11" x14ac:dyDescent="0.25">
      <c r="B43" s="32" t="s">
        <v>22</v>
      </c>
      <c r="C43" s="344">
        <f>SUM(C28:C39,C41:C41)</f>
        <v>0</v>
      </c>
      <c r="D43" s="344">
        <f>SUM(D28:D39,D41:D41)</f>
        <v>0</v>
      </c>
      <c r="E43" s="31">
        <f>SUM(E28:E39,E41:E41)</f>
        <v>0</v>
      </c>
      <c r="G43" s="640" t="str">
        <f>summ!I21</f>
        <v xml:space="preserve"> </v>
      </c>
      <c r="H43" s="433" t="str">
        <f>CONCATENATE("",E1," Fund Mill Rate")</f>
        <v>2020 Fund Mill Rate</v>
      </c>
      <c r="I43" s="628"/>
      <c r="J43" s="639"/>
    </row>
    <row r="44" spans="2:11" x14ac:dyDescent="0.25">
      <c r="B44" s="16" t="s">
        <v>103</v>
      </c>
      <c r="C44" s="337">
        <f>C26-C43</f>
        <v>0</v>
      </c>
      <c r="D44" s="337">
        <f>D26-D43</f>
        <v>0</v>
      </c>
      <c r="E44" s="22" t="s">
        <v>249</v>
      </c>
      <c r="G44" s="641" t="str">
        <f>summ!F21</f>
        <v xml:space="preserve">  </v>
      </c>
      <c r="H44" s="433" t="str">
        <f>CONCATENATE("",E1-1," Fund Mill Rate")</f>
        <v>2019 Fund Mill Rate</v>
      </c>
      <c r="I44" s="628"/>
      <c r="J44" s="639"/>
    </row>
    <row r="45" spans="2:11" x14ac:dyDescent="0.25">
      <c r="B45" s="255" t="str">
        <f>CONCATENATE("",E1-2,"/",E1-1,"/",E1," Budget Authority Amount:")</f>
        <v>2018/2019/2020 Budget Authority Amount:</v>
      </c>
      <c r="C45" s="52">
        <f>inputOth!B51</f>
        <v>0</v>
      </c>
      <c r="D45" s="52">
        <f>inputPrYr!D22</f>
        <v>0</v>
      </c>
      <c r="E45" s="21">
        <f>E43</f>
        <v>0</v>
      </c>
      <c r="G45" s="642">
        <f>summ!I32</f>
        <v>19.873000000000001</v>
      </c>
      <c r="H45" s="433" t="str">
        <f>CONCATENATE("Total ",E1," Mill Rate")</f>
        <v>Total 2020 Mill Rate</v>
      </c>
      <c r="I45" s="628"/>
      <c r="J45" s="639"/>
    </row>
    <row r="46" spans="2:11" x14ac:dyDescent="0.25">
      <c r="B46" s="37"/>
      <c r="C46" s="894" t="s">
        <v>534</v>
      </c>
      <c r="D46" s="895"/>
      <c r="E46" s="23"/>
      <c r="F46" s="39"/>
      <c r="G46" s="641">
        <f>summ!F32</f>
        <v>19.869</v>
      </c>
      <c r="H46" s="643" t="str">
        <f>CONCATENATE("Total ",E1-1," Mill Rate")</f>
        <v>Total 2019 Mill Rate</v>
      </c>
      <c r="I46" s="644"/>
      <c r="J46" s="645"/>
    </row>
    <row r="47" spans="2:11" x14ac:dyDescent="0.25">
      <c r="B47" s="348" t="str">
        <f>CONCATENATE(C77,"     ",D77)</f>
        <v xml:space="preserve">     </v>
      </c>
      <c r="C47" s="896" t="s">
        <v>535</v>
      </c>
      <c r="D47" s="897"/>
      <c r="E47" s="21">
        <f>E43+E46</f>
        <v>0</v>
      </c>
      <c r="F47" s="430" t="str">
        <f>IF(E43/0.95-E43&lt;E46,"Exceeds 5%","")</f>
        <v/>
      </c>
    </row>
    <row r="48" spans="2:11" x14ac:dyDescent="0.25">
      <c r="B48" s="348" t="str">
        <f>CONCATENATE(C78,"     ",D78)</f>
        <v xml:space="preserve">     </v>
      </c>
      <c r="C48" s="49"/>
      <c r="D48" s="41" t="s">
        <v>24</v>
      </c>
      <c r="E48" s="35">
        <f>IF(E47-E26&gt;0,E47-E26,0)</f>
        <v>0</v>
      </c>
      <c r="G48" s="759" t="s">
        <v>825</v>
      </c>
      <c r="H48" s="760"/>
      <c r="I48" s="761"/>
      <c r="J48" s="762" t="str">
        <f>cert!F37</f>
        <v>Yes</v>
      </c>
    </row>
    <row r="49" spans="2:10" x14ac:dyDescent="0.25">
      <c r="B49" s="41"/>
      <c r="C49" s="352" t="s">
        <v>536</v>
      </c>
      <c r="D49" s="626">
        <f>inputOth!$E$42</f>
        <v>2.5899999999999999E-2</v>
      </c>
      <c r="E49" s="21">
        <f>ROUND(IF(D49&gt;0,(E48*D49),0),0)</f>
        <v>0</v>
      </c>
      <c r="G49" s="763" t="str">
        <f>CONCATENATE("Computed ",E1," tax levy limit amount")</f>
        <v>Computed 2020 tax levy limit amount</v>
      </c>
      <c r="H49" s="764"/>
      <c r="I49" s="764"/>
      <c r="J49" s="765">
        <f>computation!J41</f>
        <v>127410</v>
      </c>
    </row>
    <row r="50" spans="2:10" x14ac:dyDescent="0.25">
      <c r="B50" s="3"/>
      <c r="C50" s="892" t="str">
        <f>CONCATENATE("Amount of  ",$E$1-1," Ad Valorem Tax")</f>
        <v>Amount of  2019 Ad Valorem Tax</v>
      </c>
      <c r="D50" s="893"/>
      <c r="E50" s="35">
        <f>E48+E49</f>
        <v>0</v>
      </c>
      <c r="G50" s="766" t="str">
        <f>CONCATENATE("Total ",E1," tax levy amount")</f>
        <v>Total 2020 tax levy amount</v>
      </c>
      <c r="H50" s="767"/>
      <c r="I50" s="767"/>
      <c r="J50" s="768">
        <f>summ!H32</f>
        <v>176446</v>
      </c>
    </row>
    <row r="51" spans="2:10" x14ac:dyDescent="0.25">
      <c r="B51" s="3"/>
      <c r="C51" s="3"/>
      <c r="D51" s="3"/>
      <c r="E51" s="3"/>
    </row>
    <row r="52" spans="2:10" x14ac:dyDescent="0.25">
      <c r="B52" s="56" t="s">
        <v>26</v>
      </c>
      <c r="C52" s="58"/>
      <c r="D52" s="3"/>
      <c r="E52" s="3"/>
    </row>
    <row r="53" spans="2:10" x14ac:dyDescent="0.25">
      <c r="B53" s="59" t="s">
        <v>27</v>
      </c>
      <c r="C53" s="353" t="str">
        <f>CONCATENATE("",E1-2," Actual Year")</f>
        <v>2018 Actual Year</v>
      </c>
      <c r="D53" s="3"/>
      <c r="E53" s="3"/>
    </row>
    <row r="54" spans="2:10" x14ac:dyDescent="0.25">
      <c r="B54" s="60" t="s">
        <v>10</v>
      </c>
      <c r="C54" s="117">
        <v>30283</v>
      </c>
      <c r="D54" s="3"/>
      <c r="E54" s="3"/>
    </row>
    <row r="55" spans="2:10" x14ac:dyDescent="0.25">
      <c r="B55" s="60" t="s">
        <v>29</v>
      </c>
      <c r="C55" s="119"/>
      <c r="D55" s="3"/>
      <c r="E55" s="3"/>
    </row>
    <row r="56" spans="2:10" x14ac:dyDescent="0.25">
      <c r="B56" s="60" t="s">
        <v>30</v>
      </c>
      <c r="C56" s="351">
        <f>C39</f>
        <v>0</v>
      </c>
      <c r="D56" s="62"/>
      <c r="E56" s="3"/>
    </row>
    <row r="57" spans="2:10" x14ac:dyDescent="0.25">
      <c r="B57" s="60" t="s">
        <v>207</v>
      </c>
      <c r="C57" s="351">
        <f>gen!C44</f>
        <v>0</v>
      </c>
      <c r="D57" s="915" t="str">
        <f>IF(AND(C57&gt;0,C58&gt;0),"Not Auth. Two General Transfers - Only One","")</f>
        <v/>
      </c>
      <c r="E57" s="916"/>
    </row>
    <row r="58" spans="2:10" x14ac:dyDescent="0.25">
      <c r="B58" s="63" t="s">
        <v>208</v>
      </c>
      <c r="C58" s="351">
        <f>gen!C46</f>
        <v>24000</v>
      </c>
      <c r="D58" s="917"/>
      <c r="E58" s="916"/>
    </row>
    <row r="59" spans="2:10" x14ac:dyDescent="0.25">
      <c r="B59" s="64"/>
      <c r="C59" s="117"/>
      <c r="D59" s="3"/>
      <c r="E59" s="3"/>
    </row>
    <row r="60" spans="2:10" x14ac:dyDescent="0.25">
      <c r="B60" s="64" t="s">
        <v>18</v>
      </c>
      <c r="C60" s="117"/>
      <c r="D60" s="3"/>
      <c r="E60" s="3"/>
    </row>
    <row r="61" spans="2:10" x14ac:dyDescent="0.25">
      <c r="B61" s="64" t="s">
        <v>17</v>
      </c>
      <c r="C61" s="117"/>
      <c r="D61" s="3"/>
      <c r="E61" s="3"/>
    </row>
    <row r="62" spans="2:10" x14ac:dyDescent="0.25">
      <c r="B62" s="65" t="s">
        <v>20</v>
      </c>
      <c r="C62" s="119">
        <f>SUM(C54:C61)</f>
        <v>54283</v>
      </c>
      <c r="D62" s="3"/>
      <c r="E62" s="3"/>
    </row>
    <row r="63" spans="2:10" x14ac:dyDescent="0.25">
      <c r="B63" s="65" t="s">
        <v>22</v>
      </c>
      <c r="C63" s="117">
        <v>29957</v>
      </c>
      <c r="D63" s="3"/>
      <c r="E63" s="3"/>
    </row>
    <row r="64" spans="2:10" x14ac:dyDescent="0.25">
      <c r="B64" s="65" t="s">
        <v>23</v>
      </c>
      <c r="C64" s="350">
        <f>SUM(C62-C63)</f>
        <v>24326</v>
      </c>
      <c r="D64" s="3"/>
      <c r="E64" s="3"/>
    </row>
    <row r="65" spans="2:5" x14ac:dyDescent="0.25">
      <c r="B65" s="812"/>
      <c r="C65" s="813"/>
      <c r="D65" s="3"/>
      <c r="E65" s="3"/>
    </row>
    <row r="66" spans="2:5" x14ac:dyDescent="0.25">
      <c r="B66" s="244" t="s">
        <v>967</v>
      </c>
      <c r="C66" s="814"/>
      <c r="D66" s="229"/>
      <c r="E66" s="234"/>
    </row>
    <row r="67" spans="2:5" x14ac:dyDescent="0.25">
      <c r="B67" s="815"/>
      <c r="C67" s="813"/>
      <c r="D67" s="8"/>
      <c r="E67" s="235"/>
    </row>
    <row r="68" spans="2:5" x14ac:dyDescent="0.25">
      <c r="B68" s="816"/>
      <c r="C68" s="817"/>
      <c r="D68" s="9"/>
      <c r="E68" s="237"/>
    </row>
    <row r="69" spans="2:5" x14ac:dyDescent="0.25">
      <c r="B69" s="3"/>
      <c r="C69" s="3"/>
      <c r="D69" s="3"/>
      <c r="E69" s="3"/>
    </row>
    <row r="70" spans="2:5" x14ac:dyDescent="0.25">
      <c r="B70" s="41" t="s">
        <v>5</v>
      </c>
      <c r="C70" s="734"/>
      <c r="D70" s="3"/>
      <c r="E70" s="3"/>
    </row>
    <row r="72" spans="2:5" x14ac:dyDescent="0.25">
      <c r="B72" s="1"/>
    </row>
    <row r="77" spans="2:5" x14ac:dyDescent="0.25">
      <c r="C77" s="5" t="str">
        <f>IF(C43&gt;C45,"See Tab A","")</f>
        <v/>
      </c>
      <c r="D77" s="5" t="str">
        <f>IF(D43&gt;D45,"See Tab C","")</f>
        <v/>
      </c>
    </row>
    <row r="78" spans="2:5" hidden="1" x14ac:dyDescent="0.25">
      <c r="C78" s="5" t="str">
        <f>IF(C44&lt;0,"See Tab B","")</f>
        <v/>
      </c>
      <c r="D78" s="5" t="str">
        <f>IF(D44&lt;0,"See Tab D","")</f>
        <v/>
      </c>
    </row>
    <row r="79" spans="2:5" hidden="1" x14ac:dyDescent="0.25"/>
  </sheetData>
  <sheetProtection sheet="1"/>
  <mergeCells count="7">
    <mergeCell ref="C50:D50"/>
    <mergeCell ref="C46:D46"/>
    <mergeCell ref="C47:D47"/>
    <mergeCell ref="D57:E58"/>
    <mergeCell ref="G24:J24"/>
    <mergeCell ref="G31:J31"/>
    <mergeCell ref="G41:J4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3">
    <cfRule type="cellIs" dxfId="89" priority="7" stopIfTrue="1" operator="greaterThan">
      <formula>$C$25*0.1</formula>
    </cfRule>
  </conditionalFormatting>
  <conditionalFormatting sqref="D23">
    <cfRule type="cellIs" dxfId="88" priority="8" stopIfTrue="1" operator="greaterThan">
      <formula>$D$25*0.1</formula>
    </cfRule>
  </conditionalFormatting>
  <conditionalFormatting sqref="C39">
    <cfRule type="cellIs" dxfId="87" priority="9" stopIfTrue="1" operator="greaterThan">
      <formula>$C$26*0.25</formula>
    </cfRule>
  </conditionalFormatting>
  <conditionalFormatting sqref="C44">
    <cfRule type="cellIs" dxfId="86" priority="11" stopIfTrue="1" operator="lessThan">
      <formula>0</formula>
    </cfRule>
  </conditionalFormatting>
  <conditionalFormatting sqref="C43">
    <cfRule type="cellIs" dxfId="85" priority="1" stopIfTrue="1" operator="greaterThan">
      <formula>$C$45</formula>
    </cfRule>
    <cfRule type="cellIs" dxfId="84" priority="12" stopIfTrue="1" operator="greaterThan">
      <formula>#REF!</formula>
    </cfRule>
  </conditionalFormatting>
  <conditionalFormatting sqref="D43">
    <cfRule type="cellIs" dxfId="83" priority="13" stopIfTrue="1" operator="greaterThan">
      <formula>$D$45</formula>
    </cfRule>
  </conditionalFormatting>
  <conditionalFormatting sqref="D39">
    <cfRule type="cellIs" dxfId="82" priority="14" stopIfTrue="1" operator="greaterThan">
      <formula>$D$26*0.25</formula>
    </cfRule>
  </conditionalFormatting>
  <conditionalFormatting sqref="D44">
    <cfRule type="cellIs" dxfId="81" priority="2" stopIfTrue="1" operator="lessThan">
      <formula>0</formula>
    </cfRule>
  </conditionalFormatting>
  <conditionalFormatting sqref="E39">
    <cfRule type="cellIs" dxfId="80" priority="33" stopIfTrue="1" operator="greaterThan">
      <formula>$E$26*0.25+$E$50</formula>
    </cfRule>
  </conditionalFormatting>
  <conditionalFormatting sqref="E23">
    <cfRule type="cellIs" dxfId="79" priority="41" stopIfTrue="1" operator="greaterThan">
      <formula>$E$25*0.1+$E$50</formula>
    </cfRule>
  </conditionalFormatting>
  <pageMargins left="0.9" right="0.9" top="0.96" bottom="0.5" header="0.41" footer="0.3"/>
  <pageSetup scale="69"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B1:K101"/>
  <sheetViews>
    <sheetView topLeftCell="A52" zoomScaleNormal="100" workbookViewId="0">
      <selection activeCell="H12" sqref="H12"/>
    </sheetView>
  </sheetViews>
  <sheetFormatPr defaultColWidth="8.796875" defaultRowHeight="15.75" x14ac:dyDescent="0.2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ol min="9" max="9" width="4.8984375" style="5" customWidth="1"/>
    <col min="10" max="10" width="9.8984375" style="5" customWidth="1"/>
    <col min="11" max="16384" width="8.796875" style="5"/>
  </cols>
  <sheetData>
    <row r="1" spans="2:11" x14ac:dyDescent="0.25">
      <c r="B1" s="2" t="str">
        <f>inputPrYr!D3</f>
        <v>ROVOHL TOWNSHIP</v>
      </c>
      <c r="C1" s="11" t="s">
        <v>31</v>
      </c>
      <c r="D1" s="3"/>
      <c r="E1" s="4">
        <f>inputPrYr!D6</f>
        <v>2020</v>
      </c>
    </row>
    <row r="2" spans="2:11" x14ac:dyDescent="0.25">
      <c r="B2" s="6"/>
      <c r="C2" s="3"/>
      <c r="D2" s="3"/>
      <c r="E2" s="66"/>
    </row>
    <row r="3" spans="2:11" x14ac:dyDescent="0.25">
      <c r="B3" s="480" t="s">
        <v>630</v>
      </c>
      <c r="C3" s="54"/>
      <c r="D3" s="54"/>
      <c r="E3" s="3"/>
    </row>
    <row r="4" spans="2:11" x14ac:dyDescent="0.25">
      <c r="B4" s="11" t="s">
        <v>6</v>
      </c>
      <c r="C4" s="340" t="s">
        <v>7</v>
      </c>
      <c r="D4" s="343" t="s">
        <v>8</v>
      </c>
      <c r="E4" s="12" t="s">
        <v>9</v>
      </c>
    </row>
    <row r="5" spans="2:11" x14ac:dyDescent="0.25">
      <c r="B5" s="349">
        <f>inputPrYr!B23</f>
        <v>0</v>
      </c>
      <c r="C5" s="341" t="str">
        <f>gen!C5</f>
        <v>Actual for 2018</v>
      </c>
      <c r="D5" s="341" t="str">
        <f>gen!D5</f>
        <v>Estimate for 2019</v>
      </c>
      <c r="E5" s="15" t="str">
        <f>gen!E5</f>
        <v>Year for 2020</v>
      </c>
    </row>
    <row r="6" spans="2:11" x14ac:dyDescent="0.25">
      <c r="B6" s="16" t="s">
        <v>102</v>
      </c>
      <c r="C6" s="18"/>
      <c r="D6" s="342">
        <f>C35</f>
        <v>0</v>
      </c>
      <c r="E6" s="21">
        <f>D35</f>
        <v>0</v>
      </c>
    </row>
    <row r="7" spans="2:11" x14ac:dyDescent="0.25">
      <c r="B7" s="16" t="s">
        <v>104</v>
      </c>
      <c r="C7" s="342"/>
      <c r="D7" s="342"/>
      <c r="E7" s="22"/>
    </row>
    <row r="8" spans="2:11" x14ac:dyDescent="0.25">
      <c r="B8" s="16" t="s">
        <v>12</v>
      </c>
      <c r="C8" s="18"/>
      <c r="D8" s="342">
        <f>IF(inputPrYr!H18&gt;0,inputPrYr!G23,inputPrYr!E23)</f>
        <v>0</v>
      </c>
      <c r="E8" s="22" t="s">
        <v>249</v>
      </c>
    </row>
    <row r="9" spans="2:11" x14ac:dyDescent="0.25">
      <c r="B9" s="16" t="s">
        <v>13</v>
      </c>
      <c r="C9" s="18"/>
      <c r="D9" s="18"/>
      <c r="E9" s="23"/>
    </row>
    <row r="10" spans="2:11" x14ac:dyDescent="0.25">
      <c r="B10" s="16" t="s">
        <v>14</v>
      </c>
      <c r="C10" s="18"/>
      <c r="D10" s="18"/>
      <c r="E10" s="21">
        <f>mvalloc!D15</f>
        <v>0</v>
      </c>
    </row>
    <row r="11" spans="2:11" x14ac:dyDescent="0.25">
      <c r="B11" s="16" t="s">
        <v>15</v>
      </c>
      <c r="C11" s="18"/>
      <c r="D11" s="18"/>
      <c r="E11" s="21">
        <f>mvalloc!E15</f>
        <v>0</v>
      </c>
    </row>
    <row r="12" spans="2:11" x14ac:dyDescent="0.25">
      <c r="B12" s="24" t="s">
        <v>64</v>
      </c>
      <c r="C12" s="18"/>
      <c r="D12" s="18"/>
      <c r="E12" s="21">
        <f>mvalloc!F15</f>
        <v>0</v>
      </c>
    </row>
    <row r="13" spans="2:11" x14ac:dyDescent="0.25">
      <c r="B13" s="754" t="s">
        <v>817</v>
      </c>
      <c r="C13" s="18"/>
      <c r="D13" s="18"/>
      <c r="E13" s="21">
        <f>mvalloc!G15</f>
        <v>0</v>
      </c>
    </row>
    <row r="14" spans="2:11" x14ac:dyDescent="0.25">
      <c r="B14" s="754" t="s">
        <v>818</v>
      </c>
      <c r="C14" s="18"/>
      <c r="D14" s="18"/>
      <c r="E14" s="21">
        <f>mvalloc!H15</f>
        <v>0</v>
      </c>
    </row>
    <row r="15" spans="2:11" x14ac:dyDescent="0.25">
      <c r="B15" s="27"/>
      <c r="C15" s="18"/>
      <c r="D15" s="18"/>
      <c r="E15" s="23"/>
      <c r="G15" s="904" t="str">
        <f>CONCATENATE("Desired Carryover Into ",E1+1,"")</f>
        <v>Desired Carryover Into 2021</v>
      </c>
      <c r="H15" s="905"/>
      <c r="I15" s="905"/>
      <c r="J15" s="906"/>
      <c r="K15" s="522"/>
    </row>
    <row r="16" spans="2:11" x14ac:dyDescent="0.25">
      <c r="B16" s="27"/>
      <c r="C16" s="18"/>
      <c r="D16" s="18"/>
      <c r="E16" s="23"/>
      <c r="G16" s="553"/>
      <c r="H16" s="554"/>
      <c r="I16" s="555"/>
      <c r="J16" s="556"/>
      <c r="K16" s="522"/>
    </row>
    <row r="17" spans="2:11" x14ac:dyDescent="0.25">
      <c r="B17" s="27"/>
      <c r="C17" s="18"/>
      <c r="D17" s="18"/>
      <c r="E17" s="23"/>
      <c r="G17" s="557" t="s">
        <v>624</v>
      </c>
      <c r="H17" s="555"/>
      <c r="I17" s="555"/>
      <c r="J17" s="558">
        <v>0</v>
      </c>
      <c r="K17" s="522"/>
    </row>
    <row r="18" spans="2:11" x14ac:dyDescent="0.25">
      <c r="B18" s="27" t="s">
        <v>18</v>
      </c>
      <c r="C18" s="18"/>
      <c r="D18" s="18"/>
      <c r="E18" s="23"/>
      <c r="G18" s="553" t="s">
        <v>625</v>
      </c>
      <c r="H18" s="554"/>
      <c r="I18" s="554"/>
      <c r="J18" s="559" t="str">
        <f>IF(J17=0,"",ROUND((J17+E41-G30)/inputOth!E7*1000,3)-G35)</f>
        <v/>
      </c>
      <c r="K18" s="522"/>
    </row>
    <row r="19" spans="2:11" x14ac:dyDescent="0.25">
      <c r="B19" s="24" t="s">
        <v>178</v>
      </c>
      <c r="C19" s="18"/>
      <c r="D19" s="18"/>
      <c r="E19" s="35">
        <f>nhood!E10*-1</f>
        <v>0</v>
      </c>
      <c r="G19" s="560" t="str">
        <f>CONCATENATE("",E1," Tot Exp/Non-Appr Must Be:")</f>
        <v>2020 Tot Exp/Non-Appr Must Be:</v>
      </c>
      <c r="H19" s="561"/>
      <c r="I19" s="562"/>
      <c r="J19" s="563">
        <f>IF(J17&gt;0,IF(E38&lt;E23,IF(J17=G30,E38,((J17-G30)*(1-D40))+E23),E38+(J17-G30)),0)</f>
        <v>0</v>
      </c>
      <c r="K19" s="522"/>
    </row>
    <row r="20" spans="2:11" x14ac:dyDescent="0.25">
      <c r="B20" s="28" t="s">
        <v>176</v>
      </c>
      <c r="C20" s="18"/>
      <c r="D20" s="18"/>
      <c r="E20" s="23"/>
      <c r="G20" s="564" t="s">
        <v>698</v>
      </c>
      <c r="H20" s="565"/>
      <c r="I20" s="565"/>
      <c r="J20" s="566">
        <f>IF(J17&gt;0,J19-E38,0)</f>
        <v>0</v>
      </c>
      <c r="K20" s="522"/>
    </row>
    <row r="21" spans="2:11" x14ac:dyDescent="0.25">
      <c r="B21" s="28" t="s">
        <v>177</v>
      </c>
      <c r="C21" s="339" t="str">
        <f>IF(C22*0.1&lt;C20,"Exceed 10% Rule","")</f>
        <v/>
      </c>
      <c r="D21" s="339" t="str">
        <f>IF(D22*0.1&lt;D20,"Exceed 10% Rule","")</f>
        <v/>
      </c>
      <c r="E21" s="34" t="str">
        <f>IF(E22*0.1+E41&lt;E20,"Exceed 10% Rule","")</f>
        <v/>
      </c>
      <c r="G21" s="522"/>
      <c r="H21" s="522"/>
      <c r="I21" s="522"/>
      <c r="J21" s="522"/>
      <c r="K21" s="522"/>
    </row>
    <row r="22" spans="2:11" x14ac:dyDescent="0.25">
      <c r="B22" s="30" t="s">
        <v>19</v>
      </c>
      <c r="C22" s="344">
        <f>SUM(C8:C20)</f>
        <v>0</v>
      </c>
      <c r="D22" s="344">
        <f>SUM(D8:D20)</f>
        <v>0</v>
      </c>
      <c r="E22" s="31">
        <f>SUM(E8:E20)</f>
        <v>0</v>
      </c>
      <c r="G22" s="904" t="str">
        <f>CONCATENATE("Projected Carryover Into ",E1+1,"")</f>
        <v>Projected Carryover Into 2021</v>
      </c>
      <c r="H22" s="907"/>
      <c r="I22" s="907"/>
      <c r="J22" s="908"/>
      <c r="K22" s="522"/>
    </row>
    <row r="23" spans="2:11" x14ac:dyDescent="0.25">
      <c r="B23" s="32" t="s">
        <v>20</v>
      </c>
      <c r="C23" s="344">
        <f>C22+C6</f>
        <v>0</v>
      </c>
      <c r="D23" s="344">
        <f>D22+D6</f>
        <v>0</v>
      </c>
      <c r="E23" s="31">
        <f>E22+E6</f>
        <v>0</v>
      </c>
      <c r="G23" s="553"/>
      <c r="H23" s="555"/>
      <c r="I23" s="555"/>
      <c r="J23" s="568"/>
      <c r="K23" s="522"/>
    </row>
    <row r="24" spans="2:11" x14ac:dyDescent="0.25">
      <c r="B24" s="16" t="s">
        <v>21</v>
      </c>
      <c r="C24" s="342"/>
      <c r="D24" s="342"/>
      <c r="E24" s="21"/>
      <c r="G24" s="571">
        <f>D35</f>
        <v>0</v>
      </c>
      <c r="H24" s="572" t="str">
        <f>CONCATENATE("",E1-1," Ending Cash Balance (est.)")</f>
        <v>2019 Ending Cash Balance (est.)</v>
      </c>
      <c r="I24" s="573"/>
      <c r="J24" s="568"/>
      <c r="K24" s="522"/>
    </row>
    <row r="25" spans="2:11" x14ac:dyDescent="0.25">
      <c r="B25" s="27"/>
      <c r="C25" s="18"/>
      <c r="D25" s="18"/>
      <c r="E25" s="23"/>
      <c r="G25" s="571">
        <f>E22</f>
        <v>0</v>
      </c>
      <c r="H25" s="555" t="str">
        <f>CONCATENATE("",E1," Non-AV Receipts (est.)")</f>
        <v>2020 Non-AV Receipts (est.)</v>
      </c>
      <c r="I25" s="555"/>
      <c r="J25" s="668"/>
      <c r="K25" s="790"/>
    </row>
    <row r="26" spans="2:11" x14ac:dyDescent="0.2">
      <c r="B26" s="27"/>
      <c r="C26" s="18"/>
      <c r="D26" s="18"/>
      <c r="E26" s="23"/>
      <c r="G26" s="578">
        <f>IF(E40&gt;0,E39,E41)</f>
        <v>0</v>
      </c>
      <c r="H26" s="555" t="str">
        <f>CONCATENATE("",E1," Ad Valorem Tax (est.)")</f>
        <v>2020 Ad Valorem Tax (est.)</v>
      </c>
      <c r="I26" s="555"/>
      <c r="J26" s="668"/>
      <c r="K26" s="669" t="str">
        <f>IF(G26=E41,"","Note: Does not include Delinquent Taxes")</f>
        <v/>
      </c>
    </row>
    <row r="27" spans="2:11" x14ac:dyDescent="0.25">
      <c r="B27" s="27"/>
      <c r="C27" s="18"/>
      <c r="D27" s="18"/>
      <c r="E27" s="23"/>
      <c r="G27" s="571">
        <f>SUM(G24:G26)</f>
        <v>0</v>
      </c>
      <c r="H27" s="555" t="str">
        <f>CONCATENATE("Total ",E1," Resources Available")</f>
        <v>Total 2020 Resources Available</v>
      </c>
      <c r="I27" s="573"/>
      <c r="J27" s="568"/>
      <c r="K27" s="522"/>
    </row>
    <row r="28" spans="2:11" x14ac:dyDescent="0.25">
      <c r="B28" s="27"/>
      <c r="C28" s="18"/>
      <c r="D28" s="18"/>
      <c r="E28" s="23"/>
      <c r="G28" s="582"/>
      <c r="H28" s="555"/>
      <c r="I28" s="555"/>
      <c r="J28" s="568"/>
      <c r="K28" s="522"/>
    </row>
    <row r="29" spans="2:11" x14ac:dyDescent="0.25">
      <c r="B29" s="27"/>
      <c r="C29" s="18"/>
      <c r="D29" s="18"/>
      <c r="E29" s="23"/>
      <c r="G29" s="578">
        <f>C34*0.05+C34</f>
        <v>0</v>
      </c>
      <c r="H29" s="555" t="str">
        <f>CONCATENATE("Less ",E1-2," Expenditures + 5%")</f>
        <v>Less 2018 Expenditures + 5%</v>
      </c>
      <c r="I29" s="555"/>
      <c r="J29" s="568"/>
      <c r="K29" s="522"/>
    </row>
    <row r="30" spans="2:11" x14ac:dyDescent="0.25">
      <c r="B30" s="27"/>
      <c r="C30" s="18"/>
      <c r="D30" s="18"/>
      <c r="E30" s="23"/>
      <c r="G30" s="586">
        <f>G27-G29</f>
        <v>0</v>
      </c>
      <c r="H30" s="587" t="str">
        <f>CONCATENATE("Projected ",E1+1," carryover (est.)")</f>
        <v>Projected 2021 carryover (est.)</v>
      </c>
      <c r="I30" s="588"/>
      <c r="J30" s="589"/>
      <c r="K30" s="522"/>
    </row>
    <row r="31" spans="2:11" x14ac:dyDescent="0.25">
      <c r="B31" s="24" t="str">
        <f>CONCATENATE("Cash Forward (",E1," column)")</f>
        <v>Cash Forward (2020 column)</v>
      </c>
      <c r="C31" s="18"/>
      <c r="D31" s="18"/>
      <c r="E31" s="23"/>
      <c r="G31" s="522"/>
      <c r="H31" s="522"/>
      <c r="I31" s="522"/>
      <c r="J31" s="522"/>
      <c r="K31" s="522"/>
    </row>
    <row r="32" spans="2:11" x14ac:dyDescent="0.25">
      <c r="B32" s="24" t="s">
        <v>176</v>
      </c>
      <c r="C32" s="18"/>
      <c r="D32" s="18"/>
      <c r="E32" s="23"/>
      <c r="G32" s="911" t="s">
        <v>699</v>
      </c>
      <c r="H32" s="912"/>
      <c r="I32" s="912"/>
      <c r="J32" s="913"/>
      <c r="K32" s="522"/>
    </row>
    <row r="33" spans="2:11" x14ac:dyDescent="0.25">
      <c r="B33" s="24" t="s">
        <v>533</v>
      </c>
      <c r="C33" s="339" t="str">
        <f>IF(C34*0.1&lt;C32,"Exceed 10% Rule","")</f>
        <v/>
      </c>
      <c r="D33" s="339" t="str">
        <f>IF(D34*0.1&lt;D32,"Exceed 10% Rule","")</f>
        <v/>
      </c>
      <c r="E33" s="34" t="str">
        <f>IF(E34*0.1&lt;E32,"Exceed 10% Rule","")</f>
        <v/>
      </c>
      <c r="G33" s="593"/>
      <c r="H33" s="572"/>
      <c r="I33" s="594"/>
      <c r="J33" s="595"/>
      <c r="K33" s="522"/>
    </row>
    <row r="34" spans="2:11" x14ac:dyDescent="0.25">
      <c r="B34" s="32" t="s">
        <v>22</v>
      </c>
      <c r="C34" s="344">
        <f>SUM(C25:C32)</f>
        <v>0</v>
      </c>
      <c r="D34" s="344">
        <f>SUM(D25:D32)</f>
        <v>0</v>
      </c>
      <c r="E34" s="31">
        <f>SUM(E25:E32)</f>
        <v>0</v>
      </c>
      <c r="G34" s="596" t="str">
        <f>summ!I22</f>
        <v xml:space="preserve"> </v>
      </c>
      <c r="H34" s="572" t="str">
        <f>CONCATENATE("",E1," Fund Mill Rate")</f>
        <v>2020 Fund Mill Rate</v>
      </c>
      <c r="I34" s="594"/>
      <c r="J34" s="595"/>
      <c r="K34" s="522"/>
    </row>
    <row r="35" spans="2:11" x14ac:dyDescent="0.25">
      <c r="B35" s="16" t="s">
        <v>103</v>
      </c>
      <c r="C35" s="337">
        <f>C23-C34</f>
        <v>0</v>
      </c>
      <c r="D35" s="337">
        <f>D23-D34</f>
        <v>0</v>
      </c>
      <c r="E35" s="22" t="s">
        <v>249</v>
      </c>
      <c r="G35" s="597" t="str">
        <f>summ!F22</f>
        <v xml:space="preserve">  </v>
      </c>
      <c r="H35" s="572" t="str">
        <f>CONCATENATE("",E1-1," Fund Mill Rate")</f>
        <v>2019 Fund Mill Rate</v>
      </c>
      <c r="I35" s="594"/>
      <c r="J35" s="595"/>
      <c r="K35" s="522"/>
    </row>
    <row r="36" spans="2:11" x14ac:dyDescent="0.25">
      <c r="B36" s="255" t="str">
        <f>CONCATENATE("",E1-2,"/",E1-1,"/",E1," Budget Authority Amount:")</f>
        <v>2018/2019/2020 Budget Authority Amount:</v>
      </c>
      <c r="C36" s="52">
        <f>inputOth!B52</f>
        <v>0</v>
      </c>
      <c r="D36" s="52">
        <f>inputPrYr!D23</f>
        <v>0</v>
      </c>
      <c r="E36" s="21">
        <f>E34</f>
        <v>0</v>
      </c>
      <c r="F36" s="39"/>
      <c r="G36" s="599">
        <f>summ!I32</f>
        <v>19.873000000000001</v>
      </c>
      <c r="H36" s="572" t="str">
        <f>CONCATENATE("Total ",E1," Mill Rate")</f>
        <v>Total 2020 Mill Rate</v>
      </c>
      <c r="I36" s="594"/>
      <c r="J36" s="595"/>
      <c r="K36" s="522"/>
    </row>
    <row r="37" spans="2:11" x14ac:dyDescent="0.25">
      <c r="B37" s="37"/>
      <c r="C37" s="894" t="s">
        <v>534</v>
      </c>
      <c r="D37" s="895"/>
      <c r="E37" s="23"/>
      <c r="F37" s="430" t="str">
        <f>IF(E34/0.95-E34&lt;E37,"Exceeds 5%","")</f>
        <v/>
      </c>
      <c r="G37" s="597">
        <f>summ!F32</f>
        <v>19.869</v>
      </c>
      <c r="H37" s="600" t="str">
        <f>CONCATENATE("Total ",E1-1," Mill Rate")</f>
        <v>Total 2019 Mill Rate</v>
      </c>
      <c r="I37" s="601"/>
      <c r="J37" s="602"/>
      <c r="K37" s="522"/>
    </row>
    <row r="38" spans="2:11" x14ac:dyDescent="0.25">
      <c r="B38" s="348" t="str">
        <f>CONCATENATE(C98,"     ",D98)</f>
        <v xml:space="preserve">     </v>
      </c>
      <c r="C38" s="896" t="s">
        <v>535</v>
      </c>
      <c r="D38" s="897"/>
      <c r="E38" s="21">
        <f>E34+E37</f>
        <v>0</v>
      </c>
      <c r="G38" s="522"/>
      <c r="H38" s="522"/>
      <c r="I38" s="522"/>
      <c r="J38" s="522"/>
      <c r="K38" s="522"/>
    </row>
    <row r="39" spans="2:11" x14ac:dyDescent="0.25">
      <c r="B39" s="348" t="str">
        <f>CONCATENATE(C99,"     ",D99)</f>
        <v xml:space="preserve">     </v>
      </c>
      <c r="C39" s="49"/>
      <c r="D39" s="41" t="s">
        <v>24</v>
      </c>
      <c r="E39" s="35">
        <f>IF(E38-E23&gt;0,E38-E23,0)</f>
        <v>0</v>
      </c>
      <c r="G39" s="759" t="s">
        <v>825</v>
      </c>
      <c r="H39" s="760"/>
      <c r="I39" s="761"/>
      <c r="J39" s="762" t="str">
        <f>cert!F37</f>
        <v>Yes</v>
      </c>
      <c r="K39" s="522"/>
    </row>
    <row r="40" spans="2:11" x14ac:dyDescent="0.25">
      <c r="B40" s="41"/>
      <c r="C40" s="352" t="s">
        <v>536</v>
      </c>
      <c r="D40" s="626">
        <f>inputOth!$E$42</f>
        <v>2.5899999999999999E-2</v>
      </c>
      <c r="E40" s="21">
        <f>ROUND(IF(D40&gt;0,(E39*D40),0),0)</f>
        <v>0</v>
      </c>
      <c r="G40" s="770" t="str">
        <f>CONCATENATE("Computed ",E1," tax levy limit amount")</f>
        <v>Computed 2020 tax levy limit amount</v>
      </c>
      <c r="H40" s="771"/>
      <c r="I40" s="771"/>
      <c r="J40" s="772">
        <f>computation!J41</f>
        <v>127410</v>
      </c>
      <c r="K40" s="522"/>
    </row>
    <row r="41" spans="2:11" x14ac:dyDescent="0.25">
      <c r="B41" s="3"/>
      <c r="C41" s="892" t="str">
        <f>CONCATENATE("Amount of  ",$E$1-1," Ad Valorem Tax")</f>
        <v>Amount of  2019 Ad Valorem Tax</v>
      </c>
      <c r="D41" s="893"/>
      <c r="E41" s="35">
        <f>E39+E40</f>
        <v>0</v>
      </c>
      <c r="G41" s="773" t="str">
        <f>CONCATENATE("Total ",E1," tax levy amount")</f>
        <v>Total 2020 tax levy amount</v>
      </c>
      <c r="H41" s="774"/>
      <c r="I41" s="774"/>
      <c r="J41" s="775">
        <f>summ!H32</f>
        <v>176446</v>
      </c>
      <c r="K41" s="522"/>
    </row>
    <row r="42" spans="2:11" x14ac:dyDescent="0.25">
      <c r="B42" s="3"/>
      <c r="C42" s="483"/>
      <c r="D42" s="3"/>
      <c r="E42" s="3"/>
      <c r="G42" s="522"/>
      <c r="H42" s="522"/>
      <c r="I42" s="522"/>
      <c r="J42" s="522"/>
      <c r="K42" s="522"/>
    </row>
    <row r="43" spans="2:11" x14ac:dyDescent="0.25">
      <c r="B43" s="11" t="s">
        <v>6</v>
      </c>
      <c r="C43" s="54"/>
      <c r="D43" s="54"/>
      <c r="E43" s="54"/>
      <c r="G43" s="522"/>
      <c r="H43" s="522"/>
      <c r="I43" s="522"/>
      <c r="J43" s="522"/>
      <c r="K43" s="522"/>
    </row>
    <row r="44" spans="2:11" x14ac:dyDescent="0.25">
      <c r="B44" s="3"/>
      <c r="C44" s="340" t="s">
        <v>7</v>
      </c>
      <c r="D44" s="343" t="s">
        <v>8</v>
      </c>
      <c r="E44" s="12" t="s">
        <v>9</v>
      </c>
      <c r="G44" s="522"/>
      <c r="H44" s="522"/>
      <c r="I44" s="522"/>
      <c r="J44" s="522"/>
      <c r="K44" s="522"/>
    </row>
    <row r="45" spans="2:11" x14ac:dyDescent="0.25">
      <c r="B45" s="425">
        <f>inputPrYr!B24</f>
        <v>0</v>
      </c>
      <c r="C45" s="341" t="str">
        <f>C5</f>
        <v>Actual for 2018</v>
      </c>
      <c r="D45" s="341" t="str">
        <f>D5</f>
        <v>Estimate for 2019</v>
      </c>
      <c r="E45" s="15" t="str">
        <f>E5</f>
        <v>Year for 2020</v>
      </c>
      <c r="G45" s="522"/>
      <c r="H45" s="522"/>
      <c r="I45" s="522"/>
      <c r="J45" s="522"/>
      <c r="K45" s="522"/>
    </row>
    <row r="46" spans="2:11" x14ac:dyDescent="0.25">
      <c r="B46" s="16" t="s">
        <v>102</v>
      </c>
      <c r="C46" s="18"/>
      <c r="D46" s="342">
        <f>C75</f>
        <v>0</v>
      </c>
      <c r="E46" s="21">
        <f>D75</f>
        <v>0</v>
      </c>
      <c r="G46" s="522"/>
      <c r="H46" s="522"/>
      <c r="I46" s="522"/>
      <c r="J46" s="522"/>
      <c r="K46" s="522"/>
    </row>
    <row r="47" spans="2:11" x14ac:dyDescent="0.25">
      <c r="B47" s="16" t="s">
        <v>104</v>
      </c>
      <c r="C47" s="342"/>
      <c r="D47" s="342"/>
      <c r="E47" s="22"/>
      <c r="G47" s="522"/>
      <c r="H47" s="522"/>
      <c r="I47" s="522"/>
      <c r="J47" s="522"/>
      <c r="K47" s="522"/>
    </row>
    <row r="48" spans="2:11" x14ac:dyDescent="0.25">
      <c r="B48" s="16" t="s">
        <v>12</v>
      </c>
      <c r="C48" s="18"/>
      <c r="D48" s="342">
        <f>IF(inputPrYr!H18&gt;0,inputPrYr!G24,inputPrYr!E24)</f>
        <v>0</v>
      </c>
      <c r="E48" s="22" t="s">
        <v>249</v>
      </c>
      <c r="G48" s="522"/>
      <c r="H48" s="522"/>
      <c r="I48" s="522"/>
      <c r="J48" s="522"/>
      <c r="K48" s="522"/>
    </row>
    <row r="49" spans="2:11" x14ac:dyDescent="0.25">
      <c r="B49" s="16" t="s">
        <v>13</v>
      </c>
      <c r="C49" s="18"/>
      <c r="D49" s="18"/>
      <c r="E49" s="23"/>
      <c r="G49" s="522"/>
      <c r="H49" s="522"/>
      <c r="I49" s="522"/>
      <c r="J49" s="522"/>
      <c r="K49" s="522"/>
    </row>
    <row r="50" spans="2:11" x14ac:dyDescent="0.25">
      <c r="B50" s="16" t="s">
        <v>14</v>
      </c>
      <c r="C50" s="18"/>
      <c r="D50" s="18"/>
      <c r="E50" s="21">
        <f>mvalloc!D16</f>
        <v>0</v>
      </c>
      <c r="G50" s="522"/>
      <c r="H50" s="522"/>
      <c r="I50" s="522"/>
      <c r="J50" s="522"/>
      <c r="K50" s="522"/>
    </row>
    <row r="51" spans="2:11" x14ac:dyDescent="0.25">
      <c r="B51" s="16" t="s">
        <v>15</v>
      </c>
      <c r="C51" s="18"/>
      <c r="D51" s="18"/>
      <c r="E51" s="21">
        <f>mvalloc!E16</f>
        <v>0</v>
      </c>
      <c r="G51" s="522"/>
      <c r="H51" s="522"/>
      <c r="I51" s="522"/>
      <c r="J51" s="522"/>
      <c r="K51" s="522"/>
    </row>
    <row r="52" spans="2:11" x14ac:dyDescent="0.25">
      <c r="B52" s="16" t="s">
        <v>92</v>
      </c>
      <c r="C52" s="18"/>
      <c r="D52" s="18"/>
      <c r="E52" s="21">
        <f>mvalloc!F16</f>
        <v>0</v>
      </c>
      <c r="G52" s="522"/>
      <c r="H52" s="522"/>
      <c r="I52" s="522"/>
      <c r="J52" s="522"/>
      <c r="K52" s="522"/>
    </row>
    <row r="53" spans="2:11" x14ac:dyDescent="0.25">
      <c r="B53" s="754" t="s">
        <v>817</v>
      </c>
      <c r="C53" s="18"/>
      <c r="D53" s="18"/>
      <c r="E53" s="21">
        <f>mvalloc!G16</f>
        <v>0</v>
      </c>
      <c r="G53" s="522"/>
      <c r="H53" s="522"/>
      <c r="I53" s="522"/>
      <c r="J53" s="522"/>
      <c r="K53" s="522"/>
    </row>
    <row r="54" spans="2:11" x14ac:dyDescent="0.25">
      <c r="B54" s="754" t="s">
        <v>818</v>
      </c>
      <c r="C54" s="18"/>
      <c r="D54" s="18"/>
      <c r="E54" s="21">
        <f>mvalloc!H16</f>
        <v>0</v>
      </c>
      <c r="G54" s="522"/>
      <c r="H54" s="522"/>
      <c r="I54" s="522"/>
      <c r="J54" s="522"/>
      <c r="K54" s="522"/>
    </row>
    <row r="55" spans="2:11" x14ac:dyDescent="0.25">
      <c r="B55" s="26"/>
      <c r="C55" s="18"/>
      <c r="D55" s="18"/>
      <c r="E55" s="23"/>
      <c r="G55" s="904" t="str">
        <f>CONCATENATE("Desired Carryover Into ",E1+1,"")</f>
        <v>Desired Carryover Into 2021</v>
      </c>
      <c r="H55" s="905"/>
      <c r="I55" s="905"/>
      <c r="J55" s="906"/>
      <c r="K55" s="522"/>
    </row>
    <row r="56" spans="2:11" x14ac:dyDescent="0.25">
      <c r="B56" s="26"/>
      <c r="C56" s="18"/>
      <c r="D56" s="18"/>
      <c r="E56" s="23"/>
      <c r="G56" s="553"/>
      <c r="H56" s="554"/>
      <c r="I56" s="555"/>
      <c r="J56" s="556"/>
      <c r="K56" s="522"/>
    </row>
    <row r="57" spans="2:11" x14ac:dyDescent="0.25">
      <c r="B57" s="27"/>
      <c r="C57" s="18"/>
      <c r="D57" s="18"/>
      <c r="E57" s="23"/>
      <c r="G57" s="557" t="s">
        <v>624</v>
      </c>
      <c r="H57" s="555"/>
      <c r="I57" s="555"/>
      <c r="J57" s="558">
        <v>0</v>
      </c>
      <c r="K57" s="522"/>
    </row>
    <row r="58" spans="2:11" x14ac:dyDescent="0.25">
      <c r="B58" s="27" t="s">
        <v>18</v>
      </c>
      <c r="C58" s="18"/>
      <c r="D58" s="18"/>
      <c r="E58" s="23"/>
      <c r="G58" s="553" t="s">
        <v>625</v>
      </c>
      <c r="H58" s="554"/>
      <c r="I58" s="554"/>
      <c r="J58" s="559" t="str">
        <f>IF(J57=0,"",ROUND((J57+E81-G70)/inputOth!E7*1000,3)-G75)</f>
        <v/>
      </c>
      <c r="K58" s="522"/>
    </row>
    <row r="59" spans="2:11" x14ac:dyDescent="0.25">
      <c r="B59" s="24" t="s">
        <v>178</v>
      </c>
      <c r="C59" s="18"/>
      <c r="D59" s="18"/>
      <c r="E59" s="35">
        <f>nhood!E11*-1</f>
        <v>0</v>
      </c>
      <c r="G59" s="560" t="str">
        <f>CONCATENATE("",E1," Tot Exp/Non-Appr Must Be:")</f>
        <v>2020 Tot Exp/Non-Appr Must Be:</v>
      </c>
      <c r="H59" s="561"/>
      <c r="I59" s="562"/>
      <c r="J59" s="563">
        <f>IF(J57&gt;0,IF(E78&lt;E63,IF(J57=G70,E78,((J57-G70)*(1-D80))+E63),E78+(J57-G70)),0)</f>
        <v>0</v>
      </c>
      <c r="K59" s="522"/>
    </row>
    <row r="60" spans="2:11" x14ac:dyDescent="0.25">
      <c r="B60" s="28" t="s">
        <v>176</v>
      </c>
      <c r="C60" s="18"/>
      <c r="D60" s="18"/>
      <c r="E60" s="23"/>
      <c r="G60" s="564" t="s">
        <v>698</v>
      </c>
      <c r="H60" s="565"/>
      <c r="I60" s="565"/>
      <c r="J60" s="566">
        <f>IF(J57&gt;0,J59-E78,0)</f>
        <v>0</v>
      </c>
      <c r="K60" s="522"/>
    </row>
    <row r="61" spans="2:11" x14ac:dyDescent="0.25">
      <c r="B61" s="28" t="s">
        <v>177</v>
      </c>
      <c r="C61" s="339" t="str">
        <f>IF(C62*0.1&lt;C60,"Exceed 10% Rule","")</f>
        <v/>
      </c>
      <c r="D61" s="339" t="str">
        <f>IF(D62*0.1&lt;D60,"Exceed 10% Rule","")</f>
        <v/>
      </c>
      <c r="E61" s="34" t="str">
        <f>IF(E62*0.1+E81&lt;E60,"Exceed 10% Rule","")</f>
        <v/>
      </c>
      <c r="G61" s="522"/>
      <c r="H61" s="522"/>
      <c r="I61" s="522"/>
      <c r="J61" s="522"/>
      <c r="K61" s="522"/>
    </row>
    <row r="62" spans="2:11" x14ac:dyDescent="0.25">
      <c r="B62" s="30" t="s">
        <v>19</v>
      </c>
      <c r="C62" s="344">
        <f>SUM(C48:C60)</f>
        <v>0</v>
      </c>
      <c r="D62" s="344">
        <f>SUM(D48:D60)</f>
        <v>0</v>
      </c>
      <c r="E62" s="31">
        <f>SUM(E48:E60)</f>
        <v>0</v>
      </c>
      <c r="G62" s="904" t="str">
        <f>CONCATENATE("Projected Carryover Into ",E1+1,"")</f>
        <v>Projected Carryover Into 2021</v>
      </c>
      <c r="H62" s="914"/>
      <c r="I62" s="914"/>
      <c r="J62" s="908"/>
      <c r="K62" s="522"/>
    </row>
    <row r="63" spans="2:11" x14ac:dyDescent="0.25">
      <c r="B63" s="32" t="s">
        <v>20</v>
      </c>
      <c r="C63" s="344">
        <f>C62+C46</f>
        <v>0</v>
      </c>
      <c r="D63" s="344">
        <f>D62+D46</f>
        <v>0</v>
      </c>
      <c r="E63" s="31">
        <f>E62+E46</f>
        <v>0</v>
      </c>
      <c r="G63" s="605"/>
      <c r="H63" s="554"/>
      <c r="I63" s="554"/>
      <c r="J63" s="606"/>
      <c r="K63" s="522"/>
    </row>
    <row r="64" spans="2:11" x14ac:dyDescent="0.25">
      <c r="B64" s="16" t="s">
        <v>21</v>
      </c>
      <c r="C64" s="342"/>
      <c r="D64" s="342"/>
      <c r="E64" s="21"/>
      <c r="G64" s="571">
        <f>D75</f>
        <v>0</v>
      </c>
      <c r="H64" s="572" t="str">
        <f>CONCATENATE("",E1-1," Ending Cash Balance (est.)")</f>
        <v>2019 Ending Cash Balance (est.)</v>
      </c>
      <c r="I64" s="573"/>
      <c r="J64" s="606"/>
      <c r="K64" s="522"/>
    </row>
    <row r="65" spans="2:11" x14ac:dyDescent="0.25">
      <c r="B65" s="27"/>
      <c r="C65" s="18"/>
      <c r="D65" s="18"/>
      <c r="E65" s="23"/>
      <c r="G65" s="571">
        <f>E62</f>
        <v>0</v>
      </c>
      <c r="H65" s="555" t="str">
        <f>CONCATENATE("",E1," Non-AV Receipts (est.)")</f>
        <v>2020 Non-AV Receipts (est.)</v>
      </c>
      <c r="I65" s="555"/>
      <c r="J65" s="791"/>
      <c r="K65" s="790"/>
    </row>
    <row r="66" spans="2:11" x14ac:dyDescent="0.25">
      <c r="B66" s="27"/>
      <c r="C66" s="18"/>
      <c r="D66" s="18"/>
      <c r="E66" s="23"/>
      <c r="G66" s="578">
        <f>IF(E80&gt;0,E79,E81)</f>
        <v>0</v>
      </c>
      <c r="H66" s="555" t="str">
        <f>CONCATENATE("",E1," Ad Valorem Tax (est.)")</f>
        <v>2020 Ad Valorem Tax (est.)</v>
      </c>
      <c r="I66" s="555"/>
      <c r="J66" s="791"/>
      <c r="K66" s="669" t="str">
        <f>IF(G66=E81,"","Note: Does not include Delinquent Taxes")</f>
        <v/>
      </c>
    </row>
    <row r="67" spans="2:11" x14ac:dyDescent="0.25">
      <c r="B67" s="27"/>
      <c r="C67" s="18"/>
      <c r="D67" s="18"/>
      <c r="E67" s="23"/>
      <c r="G67" s="608">
        <f>SUM(G64:G66)</f>
        <v>0</v>
      </c>
      <c r="H67" s="555" t="str">
        <f>CONCATENATE("Total ",E1," Resources Available")</f>
        <v>Total 2020 Resources Available</v>
      </c>
      <c r="I67" s="609"/>
      <c r="J67" s="606"/>
      <c r="K67" s="522"/>
    </row>
    <row r="68" spans="2:11" x14ac:dyDescent="0.25">
      <c r="B68" s="27"/>
      <c r="C68" s="18"/>
      <c r="D68" s="18"/>
      <c r="E68" s="23"/>
      <c r="G68" s="610"/>
      <c r="H68" s="611"/>
      <c r="I68" s="554"/>
      <c r="J68" s="606"/>
      <c r="K68" s="522"/>
    </row>
    <row r="69" spans="2:11" x14ac:dyDescent="0.25">
      <c r="B69" s="27"/>
      <c r="C69" s="18"/>
      <c r="D69" s="18"/>
      <c r="E69" s="23"/>
      <c r="G69" s="578">
        <f>ROUND(C74*0.05+C74,0)</f>
        <v>0</v>
      </c>
      <c r="H69" s="555" t="str">
        <f>CONCATENATE("Less ",E1-2," Expenditures + 5%")</f>
        <v>Less 2018 Expenditures + 5%</v>
      </c>
      <c r="I69" s="609"/>
      <c r="J69" s="606"/>
      <c r="K69" s="522"/>
    </row>
    <row r="70" spans="2:11" x14ac:dyDescent="0.25">
      <c r="B70" s="27"/>
      <c r="C70" s="18"/>
      <c r="D70" s="18"/>
      <c r="E70" s="23"/>
      <c r="G70" s="586">
        <f>G67-G69</f>
        <v>0</v>
      </c>
      <c r="H70" s="587" t="str">
        <f>CONCATENATE("Projected ",E1+1," carryover (est.)")</f>
        <v>Projected 2021 carryover (est.)</v>
      </c>
      <c r="I70" s="612"/>
      <c r="J70" s="613"/>
      <c r="K70" s="522"/>
    </row>
    <row r="71" spans="2:11" x14ac:dyDescent="0.25">
      <c r="B71" s="24" t="str">
        <f>CONCATENATE("Cash Forward (",E1," column)")</f>
        <v>Cash Forward (2020 column)</v>
      </c>
      <c r="C71" s="18"/>
      <c r="D71" s="18"/>
      <c r="E71" s="23"/>
      <c r="G71" s="522"/>
      <c r="H71" s="522"/>
      <c r="I71" s="522"/>
      <c r="J71" s="522"/>
      <c r="K71" s="522"/>
    </row>
    <row r="72" spans="2:11" x14ac:dyDescent="0.25">
      <c r="B72" s="24" t="s">
        <v>176</v>
      </c>
      <c r="C72" s="18"/>
      <c r="D72" s="18"/>
      <c r="E72" s="23"/>
      <c r="G72" s="911" t="s">
        <v>699</v>
      </c>
      <c r="H72" s="912"/>
      <c r="I72" s="912"/>
      <c r="J72" s="913"/>
      <c r="K72" s="522"/>
    </row>
    <row r="73" spans="2:11" x14ac:dyDescent="0.25">
      <c r="B73" s="24" t="s">
        <v>533</v>
      </c>
      <c r="C73" s="339" t="str">
        <f>IF(C74*0.1&lt;C72,"Exceed 10% Rule","")</f>
        <v/>
      </c>
      <c r="D73" s="339" t="str">
        <f>IF(D74*0.1&lt;D72,"Exceed 10% Rule","")</f>
        <v/>
      </c>
      <c r="E73" s="34" t="str">
        <f>IF(E74*0.1&lt;E72,"Exceed 10% Rule","")</f>
        <v/>
      </c>
      <c r="G73" s="593"/>
      <c r="H73" s="572"/>
      <c r="I73" s="594"/>
      <c r="J73" s="595"/>
      <c r="K73" s="522"/>
    </row>
    <row r="74" spans="2:11" x14ac:dyDescent="0.25">
      <c r="B74" s="32" t="s">
        <v>22</v>
      </c>
      <c r="C74" s="344">
        <f>SUM(C65:C72)</f>
        <v>0</v>
      </c>
      <c r="D74" s="344">
        <f>SUM(D65:D72)</f>
        <v>0</v>
      </c>
      <c r="E74" s="31">
        <f>SUM(E65:E72)</f>
        <v>0</v>
      </c>
      <c r="G74" s="596" t="str">
        <f>summ!I23</f>
        <v xml:space="preserve"> </v>
      </c>
      <c r="H74" s="572" t="str">
        <f>CONCATENATE("",E1," Fund Mill Rate")</f>
        <v>2020 Fund Mill Rate</v>
      </c>
      <c r="I74" s="594"/>
      <c r="J74" s="595"/>
      <c r="K74" s="522"/>
    </row>
    <row r="75" spans="2:11" x14ac:dyDescent="0.25">
      <c r="B75" s="16" t="s">
        <v>103</v>
      </c>
      <c r="C75" s="337">
        <f>C63-C74</f>
        <v>0</v>
      </c>
      <c r="D75" s="337">
        <f>D63-D74</f>
        <v>0</v>
      </c>
      <c r="E75" s="22" t="s">
        <v>249</v>
      </c>
      <c r="G75" s="597" t="str">
        <f>summ!F23</f>
        <v xml:space="preserve">  </v>
      </c>
      <c r="H75" s="572" t="str">
        <f>CONCATENATE("",E1-1," Fund Mill Rate")</f>
        <v>2019 Fund Mill Rate</v>
      </c>
      <c r="I75" s="594"/>
      <c r="J75" s="595"/>
      <c r="K75" s="522"/>
    </row>
    <row r="76" spans="2:11" x14ac:dyDescent="0.25">
      <c r="B76" s="255" t="str">
        <f>CONCATENATE("",E1-2,"/",E1-1,"/",E1," Budget Authority Amount:")</f>
        <v>2018/2019/2020 Budget Authority Amount:</v>
      </c>
      <c r="C76" s="52">
        <f>inputOth!B53</f>
        <v>0</v>
      </c>
      <c r="D76" s="52">
        <f>inputPrYr!D24</f>
        <v>0</v>
      </c>
      <c r="E76" s="21">
        <f>E74</f>
        <v>0</v>
      </c>
      <c r="F76" s="39"/>
      <c r="G76" s="599">
        <f>summ!I32</f>
        <v>19.873000000000001</v>
      </c>
      <c r="H76" s="572" t="str">
        <f>CONCATENATE("Total ",E1," Mill Rate")</f>
        <v>Total 2020 Mill Rate</v>
      </c>
      <c r="I76" s="594"/>
      <c r="J76" s="595"/>
      <c r="K76" s="522"/>
    </row>
    <row r="77" spans="2:11" x14ac:dyDescent="0.25">
      <c r="B77" s="37"/>
      <c r="C77" s="894" t="s">
        <v>534</v>
      </c>
      <c r="D77" s="895"/>
      <c r="E77" s="23"/>
      <c r="F77" s="430" t="str">
        <f>IF(E74/0.95-E74&lt;E77,"Exceeds 5%","")</f>
        <v/>
      </c>
      <c r="G77" s="597">
        <f>summ!F32</f>
        <v>19.869</v>
      </c>
      <c r="H77" s="600" t="str">
        <f>CONCATENATE("Total ",E1-1," Mill Rate")</f>
        <v>Total 2019 Mill Rate</v>
      </c>
      <c r="I77" s="601"/>
      <c r="J77" s="602"/>
      <c r="K77" s="522"/>
    </row>
    <row r="78" spans="2:11" x14ac:dyDescent="0.25">
      <c r="B78" s="348" t="str">
        <f>CONCATENATE(C100,"     ",D100)</f>
        <v xml:space="preserve">     </v>
      </c>
      <c r="C78" s="896" t="s">
        <v>535</v>
      </c>
      <c r="D78" s="897"/>
      <c r="E78" s="21">
        <f>E74+E77</f>
        <v>0</v>
      </c>
    </row>
    <row r="79" spans="2:11" x14ac:dyDescent="0.25">
      <c r="B79" s="348" t="str">
        <f>CONCATENATE(C101,"     ",D101)</f>
        <v xml:space="preserve">     </v>
      </c>
      <c r="C79" s="49"/>
      <c r="D79" s="41" t="s">
        <v>24</v>
      </c>
      <c r="E79" s="35">
        <f>IF(E78-E63&gt;0,E78-E63,0)</f>
        <v>0</v>
      </c>
      <c r="G79" s="759" t="s">
        <v>825</v>
      </c>
      <c r="H79" s="760"/>
      <c r="I79" s="761"/>
      <c r="J79" s="762" t="str">
        <f>cert!F37</f>
        <v>Yes</v>
      </c>
    </row>
    <row r="80" spans="2:11" x14ac:dyDescent="0.25">
      <c r="B80" s="41"/>
      <c r="C80" s="352" t="s">
        <v>536</v>
      </c>
      <c r="D80" s="626">
        <f>inputOth!$E$42</f>
        <v>2.5899999999999999E-2</v>
      </c>
      <c r="E80" s="21">
        <f>ROUND(IF(D80&gt;0,(E79*D80),0),0)</f>
        <v>0</v>
      </c>
      <c r="G80" s="763" t="str">
        <f>CONCATENATE("Computed ",E1," tax levy limit amount")</f>
        <v>Computed 2020 tax levy limit amount</v>
      </c>
      <c r="H80" s="764"/>
      <c r="I80" s="764"/>
      <c r="J80" s="765">
        <f>computation!J41</f>
        <v>127410</v>
      </c>
    </row>
    <row r="81" spans="2:10" x14ac:dyDescent="0.25">
      <c r="B81" s="3"/>
      <c r="C81" s="892" t="str">
        <f>CONCATENATE("Amount of  ",$E$1-1," Ad Valorem Tax")</f>
        <v>Amount of  2019 Ad Valorem Tax</v>
      </c>
      <c r="D81" s="893"/>
      <c r="E81" s="35">
        <f>E79+E80</f>
        <v>0</v>
      </c>
      <c r="G81" s="766" t="str">
        <f>CONCATENATE("Total ",E1," tax levy amount")</f>
        <v>Total 2020 tax levy amount</v>
      </c>
      <c r="H81" s="767"/>
      <c r="I81" s="767"/>
      <c r="J81" s="768">
        <f>summ!H32</f>
        <v>176446</v>
      </c>
    </row>
    <row r="82" spans="2:10" x14ac:dyDescent="0.25">
      <c r="B82" s="3"/>
      <c r="C82" s="483"/>
      <c r="D82" s="3"/>
      <c r="E82" s="3"/>
      <c r="G82" s="820"/>
      <c r="H82" s="818"/>
      <c r="I82" s="818"/>
      <c r="J82" s="819"/>
    </row>
    <row r="83" spans="2:10" x14ac:dyDescent="0.25">
      <c r="B83" s="244" t="s">
        <v>967</v>
      </c>
      <c r="C83" s="814"/>
      <c r="D83" s="229"/>
      <c r="E83" s="234"/>
      <c r="G83" s="820"/>
      <c r="H83" s="818"/>
      <c r="I83" s="818"/>
      <c r="J83" s="819"/>
    </row>
    <row r="84" spans="2:10" x14ac:dyDescent="0.25">
      <c r="B84" s="815"/>
      <c r="C84" s="813"/>
      <c r="D84" s="8"/>
      <c r="E84" s="235"/>
      <c r="G84" s="820"/>
      <c r="H84" s="818"/>
      <c r="I84" s="818"/>
      <c r="J84" s="819"/>
    </row>
    <row r="85" spans="2:10" x14ac:dyDescent="0.25">
      <c r="B85" s="816"/>
      <c r="C85" s="817"/>
      <c r="D85" s="9"/>
      <c r="E85" s="237"/>
      <c r="G85" s="820"/>
      <c r="H85" s="818"/>
      <c r="I85" s="818"/>
      <c r="J85" s="819"/>
    </row>
    <row r="86" spans="2:10" x14ac:dyDescent="0.25">
      <c r="B86" s="3"/>
      <c r="C86" s="483"/>
      <c r="D86" s="3"/>
      <c r="E86" s="3"/>
      <c r="G86" s="820"/>
      <c r="H86" s="818"/>
      <c r="I86" s="818"/>
      <c r="J86" s="819"/>
    </row>
    <row r="87" spans="2:10" x14ac:dyDescent="0.25">
      <c r="B87" s="41" t="s">
        <v>5</v>
      </c>
      <c r="C87" s="734"/>
      <c r="D87" s="3"/>
      <c r="E87" s="3"/>
    </row>
    <row r="88" spans="2:10" x14ac:dyDescent="0.25">
      <c r="B88" s="68"/>
    </row>
    <row r="98" spans="3:4" hidden="1" x14ac:dyDescent="0.25">
      <c r="C98" s="5" t="str">
        <f>IF(C34&gt;C36,"See Tab A","")</f>
        <v/>
      </c>
      <c r="D98" s="5" t="str">
        <f>IF(D34&gt;D36,"See Tab C","")</f>
        <v/>
      </c>
    </row>
    <row r="99" spans="3:4" hidden="1" x14ac:dyDescent="0.25">
      <c r="C99" s="5" t="str">
        <f>IF(C35&lt;0,"See Tab B","")</f>
        <v/>
      </c>
      <c r="D99" s="5" t="str">
        <f>IF(D35&lt;0,"See Tab D","")</f>
        <v/>
      </c>
    </row>
    <row r="100" spans="3:4" hidden="1" x14ac:dyDescent="0.25">
      <c r="C100" s="5" t="str">
        <f>IF(C74&gt;C76,"See Tab A","")</f>
        <v/>
      </c>
      <c r="D100" s="5" t="str">
        <f>IF(D74&gt;D76,"See Tab C","")</f>
        <v/>
      </c>
    </row>
    <row r="101" spans="3:4" hidden="1" x14ac:dyDescent="0.25">
      <c r="C101" s="5" t="str">
        <f>IF(C75&lt;0,"See Tab B","")</f>
        <v/>
      </c>
      <c r="D101" s="5" t="str">
        <f>IF(D75&lt;0,"See Tab D","")</f>
        <v/>
      </c>
    </row>
  </sheetData>
  <sheetProtection sheet="1"/>
  <mergeCells count="12">
    <mergeCell ref="G72:J72"/>
    <mergeCell ref="C81:D81"/>
    <mergeCell ref="C41:D41"/>
    <mergeCell ref="C37:D37"/>
    <mergeCell ref="C38:D38"/>
    <mergeCell ref="C77:D77"/>
    <mergeCell ref="C78:D78"/>
    <mergeCell ref="G15:J15"/>
    <mergeCell ref="G22:J22"/>
    <mergeCell ref="G32:J32"/>
    <mergeCell ref="G55:J55"/>
    <mergeCell ref="G62:J62"/>
  </mergeCells>
  <phoneticPr fontId="0" type="noConversion"/>
  <conditionalFormatting sqref="E77">
    <cfRule type="cellIs" dxfId="78" priority="3" stopIfTrue="1" operator="greaterThan">
      <formula>$E$74/0.95-$E$74</formula>
    </cfRule>
  </conditionalFormatting>
  <conditionalFormatting sqref="C72">
    <cfRule type="cellIs" dxfId="77" priority="4" stopIfTrue="1" operator="greaterThan">
      <formula>$C$74*0.1</formula>
    </cfRule>
  </conditionalFormatting>
  <conditionalFormatting sqref="D72">
    <cfRule type="cellIs" dxfId="76" priority="5" stopIfTrue="1" operator="greaterThan">
      <formula>$D$74*0.1</formula>
    </cfRule>
  </conditionalFormatting>
  <conditionalFormatting sqref="E72">
    <cfRule type="cellIs" dxfId="75" priority="6" stopIfTrue="1" operator="greaterThan">
      <formula>$E$74*0.1</formula>
    </cfRule>
  </conditionalFormatting>
  <conditionalFormatting sqref="C60">
    <cfRule type="cellIs" dxfId="74" priority="7" stopIfTrue="1" operator="greaterThan">
      <formula>$C$62*0.1</formula>
    </cfRule>
  </conditionalFormatting>
  <conditionalFormatting sqref="D60">
    <cfRule type="cellIs" dxfId="73" priority="8" stopIfTrue="1" operator="greaterThan">
      <formula>$D$62*0.1</formula>
    </cfRule>
  </conditionalFormatting>
  <conditionalFormatting sqref="E37">
    <cfRule type="cellIs" dxfId="72" priority="9" stopIfTrue="1" operator="greaterThan">
      <formula>$E$34/0.95-$E$34</formula>
    </cfRule>
  </conditionalFormatting>
  <conditionalFormatting sqref="C32">
    <cfRule type="cellIs" dxfId="71" priority="10" stopIfTrue="1" operator="greaterThan">
      <formula>$C$34*0.1</formula>
    </cfRule>
  </conditionalFormatting>
  <conditionalFormatting sqref="D32">
    <cfRule type="cellIs" dxfId="70" priority="11" stopIfTrue="1" operator="greaterThan">
      <formula>$D$34*0.1</formula>
    </cfRule>
  </conditionalFormatting>
  <conditionalFormatting sqref="E32">
    <cfRule type="cellIs" dxfId="69" priority="12" stopIfTrue="1" operator="greaterThan">
      <formula>$E$34*0.1</formula>
    </cfRule>
  </conditionalFormatting>
  <conditionalFormatting sqref="C20">
    <cfRule type="cellIs" dxfId="68" priority="13" stopIfTrue="1" operator="greaterThan">
      <formula>$C$22*0.1</formula>
    </cfRule>
  </conditionalFormatting>
  <conditionalFormatting sqref="D20">
    <cfRule type="cellIs" dxfId="67" priority="14" stopIfTrue="1" operator="greaterThan">
      <formula>$D$22*0.1</formula>
    </cfRule>
  </conditionalFormatting>
  <conditionalFormatting sqref="C75 C35">
    <cfRule type="cellIs" dxfId="66" priority="17" stopIfTrue="1" operator="lessThan">
      <formula>0</formula>
    </cfRule>
  </conditionalFormatting>
  <conditionalFormatting sqref="C74">
    <cfRule type="cellIs" dxfId="65" priority="18" stopIfTrue="1" operator="greaterThan">
      <formula>$C$76</formula>
    </cfRule>
  </conditionalFormatting>
  <conditionalFormatting sqref="D74">
    <cfRule type="cellIs" dxfId="64" priority="19" stopIfTrue="1" operator="greaterThan">
      <formula>$D$76</formula>
    </cfRule>
  </conditionalFormatting>
  <conditionalFormatting sqref="C34">
    <cfRule type="cellIs" dxfId="63" priority="20" stopIfTrue="1" operator="greaterThan">
      <formula>$C$36</formula>
    </cfRule>
  </conditionalFormatting>
  <conditionalFormatting sqref="D34">
    <cfRule type="cellIs" dxfId="62" priority="21" stopIfTrue="1" operator="greaterThan">
      <formula>$D$36</formula>
    </cfRule>
  </conditionalFormatting>
  <conditionalFormatting sqref="D35 D75">
    <cfRule type="cellIs" dxfId="61" priority="2" stopIfTrue="1" operator="lessThan">
      <formula>0</formula>
    </cfRule>
  </conditionalFormatting>
  <conditionalFormatting sqref="E20">
    <cfRule type="cellIs" dxfId="60" priority="34" stopIfTrue="1" operator="greaterThan">
      <formula>$E$22*0.1+$E$41</formula>
    </cfRule>
  </conditionalFormatting>
  <conditionalFormatting sqref="E60">
    <cfRule type="cellIs" dxfId="59" priority="35" stopIfTrue="1" operator="greaterThan">
      <formula>$E$62*0.1+$E$81</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pageSetUpPr fitToPage="1"/>
  </sheetPr>
  <dimension ref="B1:K102"/>
  <sheetViews>
    <sheetView topLeftCell="A70" zoomScaleNormal="100" workbookViewId="0">
      <selection activeCell="L91" sqref="L91"/>
    </sheetView>
  </sheetViews>
  <sheetFormatPr defaultColWidth="8.796875" defaultRowHeight="15.75" x14ac:dyDescent="0.2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ol min="9" max="9" width="4.8984375" style="5" customWidth="1"/>
    <col min="10" max="10" width="9.8984375" style="5" customWidth="1"/>
    <col min="11" max="16384" width="8.796875" style="5"/>
  </cols>
  <sheetData>
    <row r="1" spans="2:11" x14ac:dyDescent="0.25">
      <c r="B1" s="2" t="str">
        <f>inputPrYr!D3</f>
        <v>ROVOHL TOWNSHIP</v>
      </c>
      <c r="C1" s="3"/>
      <c r="D1" s="3"/>
      <c r="E1" s="4">
        <f>inputPrYr!D6</f>
        <v>2020</v>
      </c>
    </row>
    <row r="2" spans="2:11" x14ac:dyDescent="0.25">
      <c r="B2" s="6"/>
      <c r="C2" s="3"/>
      <c r="D2" s="50"/>
      <c r="E2" s="69"/>
    </row>
    <row r="3" spans="2:11" x14ac:dyDescent="0.25">
      <c r="B3" s="480" t="s">
        <v>630</v>
      </c>
      <c r="C3" s="54"/>
      <c r="D3" s="54"/>
      <c r="E3" s="54"/>
    </row>
    <row r="4" spans="2:11" x14ac:dyDescent="0.25">
      <c r="B4" s="11" t="s">
        <v>6</v>
      </c>
      <c r="C4" s="340" t="s">
        <v>7</v>
      </c>
      <c r="D4" s="343" t="s">
        <v>8</v>
      </c>
      <c r="E4" s="12" t="s">
        <v>9</v>
      </c>
    </row>
    <row r="5" spans="2:11" x14ac:dyDescent="0.25">
      <c r="B5" s="349">
        <f>inputPrYr!B25</f>
        <v>0</v>
      </c>
      <c r="C5" s="341" t="str">
        <f>gen!C5</f>
        <v>Actual for 2018</v>
      </c>
      <c r="D5" s="341" t="str">
        <f>gen!D5</f>
        <v>Estimate for 2019</v>
      </c>
      <c r="E5" s="15" t="str">
        <f>gen!E5</f>
        <v>Year for 2020</v>
      </c>
    </row>
    <row r="6" spans="2:11" x14ac:dyDescent="0.25">
      <c r="B6" s="16" t="s">
        <v>102</v>
      </c>
      <c r="C6" s="18"/>
      <c r="D6" s="342">
        <f>C35</f>
        <v>0</v>
      </c>
      <c r="E6" s="21">
        <f>D35</f>
        <v>0</v>
      </c>
    </row>
    <row r="7" spans="2:11" x14ac:dyDescent="0.25">
      <c r="B7" s="16" t="s">
        <v>104</v>
      </c>
      <c r="C7" s="342"/>
      <c r="D7" s="342"/>
      <c r="E7" s="22"/>
    </row>
    <row r="8" spans="2:11" x14ac:dyDescent="0.25">
      <c r="B8" s="16" t="s">
        <v>12</v>
      </c>
      <c r="C8" s="18"/>
      <c r="D8" s="342">
        <f>IF(inputPrYr!H18&gt;0,inputPrYr!G25,inputPrYr!E25)</f>
        <v>0</v>
      </c>
      <c r="E8" s="22" t="s">
        <v>249</v>
      </c>
    </row>
    <row r="9" spans="2:11" x14ac:dyDescent="0.25">
      <c r="B9" s="16" t="s">
        <v>13</v>
      </c>
      <c r="C9" s="18"/>
      <c r="D9" s="18"/>
      <c r="E9" s="23"/>
    </row>
    <row r="10" spans="2:11" x14ac:dyDescent="0.25">
      <c r="B10" s="16" t="s">
        <v>14</v>
      </c>
      <c r="C10" s="18"/>
      <c r="D10" s="18"/>
      <c r="E10" s="21">
        <f>mvalloc!D17</f>
        <v>0</v>
      </c>
    </row>
    <row r="11" spans="2:11" x14ac:dyDescent="0.25">
      <c r="B11" s="16" t="s">
        <v>15</v>
      </c>
      <c r="C11" s="18"/>
      <c r="D11" s="18"/>
      <c r="E11" s="21">
        <f>mvalloc!E17</f>
        <v>0</v>
      </c>
    </row>
    <row r="12" spans="2:11" x14ac:dyDescent="0.25">
      <c r="B12" s="16" t="s">
        <v>92</v>
      </c>
      <c r="C12" s="18"/>
      <c r="D12" s="18"/>
      <c r="E12" s="21">
        <f>mvalloc!F17</f>
        <v>0</v>
      </c>
    </row>
    <row r="13" spans="2:11" x14ac:dyDescent="0.25">
      <c r="B13" s="754" t="s">
        <v>817</v>
      </c>
      <c r="C13" s="18"/>
      <c r="D13" s="18"/>
      <c r="E13" s="21">
        <f>mvalloc!G17</f>
        <v>0</v>
      </c>
    </row>
    <row r="14" spans="2:11" x14ac:dyDescent="0.25">
      <c r="B14" s="754" t="s">
        <v>818</v>
      </c>
      <c r="C14" s="18"/>
      <c r="D14" s="18"/>
      <c r="E14" s="21">
        <f>mvalloc!H17</f>
        <v>0</v>
      </c>
    </row>
    <row r="15" spans="2:11" x14ac:dyDescent="0.25">
      <c r="B15" s="26"/>
      <c r="C15" s="18"/>
      <c r="D15" s="18"/>
      <c r="E15" s="23"/>
      <c r="G15" s="904" t="str">
        <f>CONCATENATE("Desired Carryover Into ",E1+1,"")</f>
        <v>Desired Carryover Into 2021</v>
      </c>
      <c r="H15" s="905"/>
      <c r="I15" s="905"/>
      <c r="J15" s="906"/>
      <c r="K15" s="522"/>
    </row>
    <row r="16" spans="2:11" x14ac:dyDescent="0.25">
      <c r="B16" s="26"/>
      <c r="C16" s="18"/>
      <c r="D16" s="18"/>
      <c r="E16" s="23"/>
      <c r="G16" s="553"/>
      <c r="H16" s="554"/>
      <c r="I16" s="555"/>
      <c r="J16" s="556"/>
      <c r="K16" s="522"/>
    </row>
    <row r="17" spans="2:11" x14ac:dyDescent="0.25">
      <c r="B17" s="27"/>
      <c r="C17" s="18"/>
      <c r="D17" s="18"/>
      <c r="E17" s="23"/>
      <c r="G17" s="557" t="s">
        <v>624</v>
      </c>
      <c r="H17" s="555"/>
      <c r="I17" s="555"/>
      <c r="J17" s="558">
        <v>0</v>
      </c>
      <c r="K17" s="522"/>
    </row>
    <row r="18" spans="2:11" x14ac:dyDescent="0.25">
      <c r="B18" s="27" t="s">
        <v>18</v>
      </c>
      <c r="C18" s="18"/>
      <c r="D18" s="18"/>
      <c r="E18" s="23"/>
      <c r="G18" s="553" t="s">
        <v>625</v>
      </c>
      <c r="H18" s="554"/>
      <c r="I18" s="554"/>
      <c r="J18" s="559" t="str">
        <f>IF(J17=0,"",ROUND((J17+E41-G30)/inputOth!E7*1000,3)-G35)</f>
        <v/>
      </c>
      <c r="K18" s="522"/>
    </row>
    <row r="19" spans="2:11" x14ac:dyDescent="0.25">
      <c r="B19" s="24" t="s">
        <v>178</v>
      </c>
      <c r="C19" s="18"/>
      <c r="D19" s="18"/>
      <c r="E19" s="35">
        <f>nhood!E12*-1</f>
        <v>0</v>
      </c>
      <c r="G19" s="560" t="str">
        <f>CONCATENATE("",E1," Tot Exp/Non-Appr Must Be:")</f>
        <v>2020 Tot Exp/Non-Appr Must Be:</v>
      </c>
      <c r="H19" s="561"/>
      <c r="I19" s="562"/>
      <c r="J19" s="563">
        <f>IF(J17&gt;0,IF(E38&lt;E23,IF(J17=G30,E38,((J17-G30)*(1-D40))+E23),E38+(J17-G30)),0)</f>
        <v>0</v>
      </c>
      <c r="K19" s="522"/>
    </row>
    <row r="20" spans="2:11" x14ac:dyDescent="0.25">
      <c r="B20" s="28" t="s">
        <v>176</v>
      </c>
      <c r="C20" s="18"/>
      <c r="D20" s="18"/>
      <c r="E20" s="23"/>
      <c r="G20" s="564" t="s">
        <v>698</v>
      </c>
      <c r="H20" s="565"/>
      <c r="I20" s="565"/>
      <c r="J20" s="566">
        <f>IF(J17&gt;0,J19-E38,0)</f>
        <v>0</v>
      </c>
      <c r="K20" s="522"/>
    </row>
    <row r="21" spans="2:11" x14ac:dyDescent="0.25">
      <c r="B21" s="28" t="s">
        <v>177</v>
      </c>
      <c r="C21" s="339" t="str">
        <f>IF(C22*0.1&lt;C20,"Exceed 10% Rule","")</f>
        <v/>
      </c>
      <c r="D21" s="339" t="str">
        <f>IF(D22*0.1&lt;D20,"Exceed 10% Rule","")</f>
        <v/>
      </c>
      <c r="E21" s="34" t="str">
        <f>IF(E22*0.1+E41&lt;E20,"Exceed 10% Rule","")</f>
        <v/>
      </c>
      <c r="G21" s="522"/>
      <c r="H21" s="522"/>
      <c r="I21" s="522"/>
      <c r="J21" s="522"/>
      <c r="K21" s="522"/>
    </row>
    <row r="22" spans="2:11" x14ac:dyDescent="0.25">
      <c r="B22" s="30" t="s">
        <v>19</v>
      </c>
      <c r="C22" s="344">
        <f>SUM(C8:C20)</f>
        <v>0</v>
      </c>
      <c r="D22" s="344">
        <f>SUM(D8:D20)</f>
        <v>0</v>
      </c>
      <c r="E22" s="31">
        <f>SUM(E8:E20)</f>
        <v>0</v>
      </c>
      <c r="G22" s="904" t="str">
        <f>CONCATENATE("Projected Carryover Into ",E1+1,"")</f>
        <v>Projected Carryover Into 2021</v>
      </c>
      <c r="H22" s="907"/>
      <c r="I22" s="907"/>
      <c r="J22" s="908"/>
      <c r="K22" s="522"/>
    </row>
    <row r="23" spans="2:11" x14ac:dyDescent="0.25">
      <c r="B23" s="32" t="s">
        <v>20</v>
      </c>
      <c r="C23" s="344">
        <f>C22+C6</f>
        <v>0</v>
      </c>
      <c r="D23" s="344">
        <f>D22+D6</f>
        <v>0</v>
      </c>
      <c r="E23" s="31">
        <f>E22+E6</f>
        <v>0</v>
      </c>
      <c r="G23" s="553"/>
      <c r="H23" s="555"/>
      <c r="I23" s="555"/>
      <c r="J23" s="568"/>
      <c r="K23" s="522"/>
    </row>
    <row r="24" spans="2:11" x14ac:dyDescent="0.25">
      <c r="B24" s="16" t="s">
        <v>21</v>
      </c>
      <c r="C24" s="342"/>
      <c r="D24" s="342"/>
      <c r="E24" s="21"/>
      <c r="G24" s="571">
        <f>D35</f>
        <v>0</v>
      </c>
      <c r="H24" s="572" t="str">
        <f>CONCATENATE("",E1-1," Ending Cash Balance (est.)")</f>
        <v>2019 Ending Cash Balance (est.)</v>
      </c>
      <c r="I24" s="573"/>
      <c r="J24" s="568"/>
      <c r="K24" s="522"/>
    </row>
    <row r="25" spans="2:11" x14ac:dyDescent="0.25">
      <c r="B25" s="27"/>
      <c r="C25" s="18"/>
      <c r="D25" s="18"/>
      <c r="E25" s="23"/>
      <c r="G25" s="571">
        <f>E22</f>
        <v>0</v>
      </c>
      <c r="H25" s="555" t="str">
        <f>CONCATENATE("",E1," Non-AV Receipts (est.)")</f>
        <v>2020 Non-AV Receipts (est.)</v>
      </c>
      <c r="I25" s="555"/>
      <c r="J25" s="668"/>
      <c r="K25" s="790"/>
    </row>
    <row r="26" spans="2:11" x14ac:dyDescent="0.2">
      <c r="B26" s="27"/>
      <c r="C26" s="18"/>
      <c r="D26" s="18"/>
      <c r="E26" s="23"/>
      <c r="G26" s="578">
        <f>IF(E40&gt;0,E39,E41)</f>
        <v>0</v>
      </c>
      <c r="H26" s="555" t="str">
        <f>CONCATENATE("",E1," Ad Valorem Tax (est.)")</f>
        <v>2020 Ad Valorem Tax (est.)</v>
      </c>
      <c r="I26" s="555"/>
      <c r="J26" s="668"/>
      <c r="K26" s="669" t="str">
        <f>IF(G26=E41,"","Note: Does not include Delinquent Taxes")</f>
        <v/>
      </c>
    </row>
    <row r="27" spans="2:11" x14ac:dyDescent="0.25">
      <c r="B27" s="27"/>
      <c r="C27" s="18"/>
      <c r="D27" s="18"/>
      <c r="E27" s="23"/>
      <c r="G27" s="571">
        <f>SUM(G24:G26)</f>
        <v>0</v>
      </c>
      <c r="H27" s="555" t="str">
        <f>CONCATENATE("Total ",E1," Resources Available")</f>
        <v>Total 2020 Resources Available</v>
      </c>
      <c r="I27" s="573"/>
      <c r="J27" s="568"/>
      <c r="K27" s="522"/>
    </row>
    <row r="28" spans="2:11" x14ac:dyDescent="0.25">
      <c r="B28" s="27"/>
      <c r="C28" s="18"/>
      <c r="D28" s="18"/>
      <c r="E28" s="23"/>
      <c r="G28" s="582"/>
      <c r="H28" s="555"/>
      <c r="I28" s="555"/>
      <c r="J28" s="568"/>
      <c r="K28" s="522"/>
    </row>
    <row r="29" spans="2:11" x14ac:dyDescent="0.25">
      <c r="B29" s="27"/>
      <c r="C29" s="18"/>
      <c r="D29" s="18"/>
      <c r="E29" s="23"/>
      <c r="G29" s="578">
        <f>C34*0.05+C34</f>
        <v>0</v>
      </c>
      <c r="H29" s="555" t="str">
        <f>CONCATENATE("Less ",E1-2," Expenditures + 5%")</f>
        <v>Less 2018 Expenditures + 5%</v>
      </c>
      <c r="I29" s="555"/>
      <c r="J29" s="568"/>
      <c r="K29" s="522"/>
    </row>
    <row r="30" spans="2:11" x14ac:dyDescent="0.25">
      <c r="B30" s="27"/>
      <c r="C30" s="18"/>
      <c r="D30" s="18"/>
      <c r="E30" s="23"/>
      <c r="G30" s="586">
        <f>G27-G29</f>
        <v>0</v>
      </c>
      <c r="H30" s="587" t="str">
        <f>CONCATENATE("Projected ",E1+1," carryover (est.)")</f>
        <v>Projected 2021 carryover (est.)</v>
      </c>
      <c r="I30" s="588"/>
      <c r="J30" s="589"/>
      <c r="K30" s="522"/>
    </row>
    <row r="31" spans="2:11" x14ac:dyDescent="0.25">
      <c r="B31" s="785" t="str">
        <f>CONCATENATE("Cash Forward (",E1," column)")</f>
        <v>Cash Forward (2020 column)</v>
      </c>
      <c r="C31" s="18"/>
      <c r="D31" s="18"/>
      <c r="E31" s="23"/>
      <c r="G31" s="522"/>
      <c r="H31" s="522"/>
      <c r="I31" s="522"/>
      <c r="J31" s="522"/>
      <c r="K31" s="522"/>
    </row>
    <row r="32" spans="2:11" x14ac:dyDescent="0.25">
      <c r="B32" s="24" t="s">
        <v>176</v>
      </c>
      <c r="C32" s="18"/>
      <c r="D32" s="18"/>
      <c r="E32" s="23"/>
      <c r="G32" s="911" t="s">
        <v>699</v>
      </c>
      <c r="H32" s="912"/>
      <c r="I32" s="912"/>
      <c r="J32" s="913"/>
      <c r="K32" s="522"/>
    </row>
    <row r="33" spans="2:11" x14ac:dyDescent="0.25">
      <c r="B33" s="24" t="s">
        <v>533</v>
      </c>
      <c r="C33" s="339" t="str">
        <f>IF(C34*0.1&lt;C32,"Exceed 10% Rule","")</f>
        <v/>
      </c>
      <c r="D33" s="339" t="str">
        <f>IF(D34*0.1&lt;D32,"Exceed 10% Rule","")</f>
        <v/>
      </c>
      <c r="E33" s="34" t="str">
        <f>IF(E34*0.1&lt;E32,"Exceed 10% Rule","")</f>
        <v/>
      </c>
      <c r="G33" s="593"/>
      <c r="H33" s="572"/>
      <c r="I33" s="594"/>
      <c r="J33" s="595"/>
      <c r="K33" s="522"/>
    </row>
    <row r="34" spans="2:11" x14ac:dyDescent="0.25">
      <c r="B34" s="32" t="s">
        <v>22</v>
      </c>
      <c r="C34" s="344">
        <f>SUM(C25:C32)</f>
        <v>0</v>
      </c>
      <c r="D34" s="344">
        <f>SUM(D25:D32)</f>
        <v>0</v>
      </c>
      <c r="E34" s="31">
        <f>SUM(E25:E32)</f>
        <v>0</v>
      </c>
      <c r="G34" s="596" t="str">
        <f>summ!I24</f>
        <v xml:space="preserve"> </v>
      </c>
      <c r="H34" s="572" t="str">
        <f>CONCATENATE("",E1," Fund Mill Rate")</f>
        <v>2020 Fund Mill Rate</v>
      </c>
      <c r="I34" s="594"/>
      <c r="J34" s="595"/>
      <c r="K34" s="522"/>
    </row>
    <row r="35" spans="2:11" x14ac:dyDescent="0.25">
      <c r="B35" s="16" t="s">
        <v>103</v>
      </c>
      <c r="C35" s="337">
        <f>C23-C34</f>
        <v>0</v>
      </c>
      <c r="D35" s="337">
        <f>D23-D34</f>
        <v>0</v>
      </c>
      <c r="E35" s="22" t="s">
        <v>249</v>
      </c>
      <c r="G35" s="597" t="str">
        <f>summ!F24</f>
        <v xml:space="preserve">  </v>
      </c>
      <c r="H35" s="572" t="str">
        <f>CONCATENATE("",E1-1," Fund Mill Rate")</f>
        <v>2019 Fund Mill Rate</v>
      </c>
      <c r="I35" s="594"/>
      <c r="J35" s="595"/>
      <c r="K35" s="522"/>
    </row>
    <row r="36" spans="2:11" x14ac:dyDescent="0.25">
      <c r="B36" s="255" t="str">
        <f>CONCATENATE("",E1-2,"/",E1-1,"/",E1," Budget Authority Amount:")</f>
        <v>2018/2019/2020 Budget Authority Amount:</v>
      </c>
      <c r="C36" s="52">
        <f>inputOth!B54</f>
        <v>0</v>
      </c>
      <c r="D36" s="52">
        <f>inputPrYr!D25</f>
        <v>0</v>
      </c>
      <c r="E36" s="21">
        <f>E34</f>
        <v>0</v>
      </c>
      <c r="F36" s="39"/>
      <c r="G36" s="599">
        <f>summ!I32</f>
        <v>19.873000000000001</v>
      </c>
      <c r="H36" s="572" t="str">
        <f>CONCATENATE("Total ",E1," Mill Rate")</f>
        <v>Total 2020 Mill Rate</v>
      </c>
      <c r="I36" s="594"/>
      <c r="J36" s="595"/>
      <c r="K36" s="522"/>
    </row>
    <row r="37" spans="2:11" x14ac:dyDescent="0.25">
      <c r="B37" s="37"/>
      <c r="C37" s="894" t="s">
        <v>534</v>
      </c>
      <c r="D37" s="895"/>
      <c r="E37" s="23"/>
      <c r="F37" s="430" t="str">
        <f>IF(E34/0.95-E34&lt;E37,"Exceeds 5%","")</f>
        <v/>
      </c>
      <c r="G37" s="597">
        <f>summ!F32</f>
        <v>19.869</v>
      </c>
      <c r="H37" s="600" t="str">
        <f>CONCATENATE("Total ",E1-1," Mill Rate")</f>
        <v>Total 2019 Mill Rate</v>
      </c>
      <c r="I37" s="601"/>
      <c r="J37" s="602"/>
      <c r="K37" s="522"/>
    </row>
    <row r="38" spans="2:11" x14ac:dyDescent="0.25">
      <c r="B38" s="348" t="str">
        <f>CONCATENATE(C99,"     ",D99)</f>
        <v xml:space="preserve">     </v>
      </c>
      <c r="C38" s="896" t="s">
        <v>535</v>
      </c>
      <c r="D38" s="897"/>
      <c r="E38" s="21">
        <f>E34+E37</f>
        <v>0</v>
      </c>
      <c r="G38" s="522"/>
      <c r="H38" s="522"/>
      <c r="I38" s="522"/>
      <c r="J38" s="522"/>
      <c r="K38" s="522"/>
    </row>
    <row r="39" spans="2:11" x14ac:dyDescent="0.25">
      <c r="B39" s="348" t="str">
        <f>CONCATENATE(C100,"     ",D100)</f>
        <v xml:space="preserve">     </v>
      </c>
      <c r="C39" s="49"/>
      <c r="D39" s="41" t="s">
        <v>24</v>
      </c>
      <c r="E39" s="35">
        <f>IF(E38-E23&gt;0,E38-E23,0)</f>
        <v>0</v>
      </c>
      <c r="G39" s="784" t="s">
        <v>825</v>
      </c>
      <c r="H39" s="760"/>
      <c r="I39" s="761"/>
      <c r="J39" s="762" t="str">
        <f>cert!F37</f>
        <v>Yes</v>
      </c>
      <c r="K39" s="522"/>
    </row>
    <row r="40" spans="2:11" x14ac:dyDescent="0.25">
      <c r="B40" s="41"/>
      <c r="C40" s="352" t="s">
        <v>536</v>
      </c>
      <c r="D40" s="626">
        <f>inputOth!$E$42</f>
        <v>2.5899999999999999E-2</v>
      </c>
      <c r="E40" s="21">
        <f>ROUND(IF(D40&gt;0,(E39*D40),0),0)</f>
        <v>0</v>
      </c>
      <c r="G40" s="770" t="str">
        <f>CONCATENATE("Computed ",E1," tax levy limit amount")</f>
        <v>Computed 2020 tax levy limit amount</v>
      </c>
      <c r="H40" s="771"/>
      <c r="I40" s="771"/>
      <c r="J40" s="772">
        <f>computation!J41</f>
        <v>127410</v>
      </c>
      <c r="K40" s="522"/>
    </row>
    <row r="41" spans="2:11" x14ac:dyDescent="0.25">
      <c r="B41" s="3"/>
      <c r="C41" s="892" t="str">
        <f>CONCATENATE("Amount of  ",$E$1-1," Ad Valorem Tax")</f>
        <v>Amount of  2019 Ad Valorem Tax</v>
      </c>
      <c r="D41" s="893"/>
      <c r="E41" s="35">
        <f>E39+E40</f>
        <v>0</v>
      </c>
      <c r="G41" s="773" t="str">
        <f>CONCATENATE("Total ",E1," tax levy amount")</f>
        <v>Total 2020 tax levy amount</v>
      </c>
      <c r="H41" s="774"/>
      <c r="I41" s="774"/>
      <c r="J41" s="775">
        <f>summ!H32</f>
        <v>176446</v>
      </c>
      <c r="K41" s="522"/>
    </row>
    <row r="42" spans="2:11" x14ac:dyDescent="0.25">
      <c r="B42" s="3"/>
      <c r="C42" s="483"/>
      <c r="D42" s="3"/>
      <c r="E42" s="3"/>
      <c r="G42" s="522"/>
      <c r="H42" s="522"/>
      <c r="I42" s="522"/>
      <c r="J42" s="522"/>
      <c r="K42" s="522"/>
    </row>
    <row r="43" spans="2:11" x14ac:dyDescent="0.25">
      <c r="B43" s="3"/>
      <c r="C43" s="483"/>
      <c r="D43" s="3"/>
      <c r="E43" s="3"/>
      <c r="G43" s="522"/>
      <c r="H43" s="522"/>
      <c r="I43" s="522"/>
      <c r="J43" s="522"/>
      <c r="K43" s="522"/>
    </row>
    <row r="44" spans="2:11" x14ac:dyDescent="0.25">
      <c r="B44" s="11" t="s">
        <v>6</v>
      </c>
      <c r="C44" s="54"/>
      <c r="D44" s="54"/>
      <c r="E44" s="54"/>
      <c r="G44" s="522"/>
      <c r="H44" s="522"/>
      <c r="I44" s="522"/>
      <c r="J44" s="522"/>
      <c r="K44" s="522"/>
    </row>
    <row r="45" spans="2:11" x14ac:dyDescent="0.25">
      <c r="B45" s="3"/>
      <c r="C45" s="340" t="s">
        <v>7</v>
      </c>
      <c r="D45" s="343" t="s">
        <v>8</v>
      </c>
      <c r="E45" s="12" t="s">
        <v>9</v>
      </c>
      <c r="G45" s="522"/>
      <c r="H45" s="522"/>
      <c r="I45" s="522"/>
      <c r="J45" s="522"/>
      <c r="K45" s="522"/>
    </row>
    <row r="46" spans="2:11" x14ac:dyDescent="0.25">
      <c r="B46" s="425">
        <f>inputPrYr!B26</f>
        <v>0</v>
      </c>
      <c r="C46" s="341" t="str">
        <f>C5</f>
        <v>Actual for 2018</v>
      </c>
      <c r="D46" s="341" t="str">
        <f>D5</f>
        <v>Estimate for 2019</v>
      </c>
      <c r="E46" s="15" t="str">
        <f>E5</f>
        <v>Year for 2020</v>
      </c>
      <c r="G46" s="522"/>
      <c r="H46" s="522"/>
      <c r="I46" s="522"/>
      <c r="J46" s="522"/>
      <c r="K46" s="522"/>
    </row>
    <row r="47" spans="2:11" x14ac:dyDescent="0.25">
      <c r="B47" s="16" t="s">
        <v>102</v>
      </c>
      <c r="C47" s="18"/>
      <c r="D47" s="342">
        <f>C76</f>
        <v>0</v>
      </c>
      <c r="E47" s="21">
        <f>D76</f>
        <v>0</v>
      </c>
      <c r="G47" s="522"/>
      <c r="H47" s="522"/>
      <c r="I47" s="522"/>
      <c r="J47" s="522"/>
      <c r="K47" s="522"/>
    </row>
    <row r="48" spans="2:11" x14ac:dyDescent="0.25">
      <c r="B48" s="16" t="s">
        <v>104</v>
      </c>
      <c r="C48" s="342"/>
      <c r="D48" s="342"/>
      <c r="E48" s="22"/>
      <c r="G48" s="522"/>
      <c r="H48" s="522"/>
      <c r="I48" s="522"/>
      <c r="J48" s="522"/>
      <c r="K48" s="522"/>
    </row>
    <row r="49" spans="2:11" x14ac:dyDescent="0.25">
      <c r="B49" s="16" t="s">
        <v>12</v>
      </c>
      <c r="C49" s="18"/>
      <c r="D49" s="342">
        <f>IF(inputPrYr!H18&gt;0,inputPrYr!G26,inputPrYr!E26)</f>
        <v>0</v>
      </c>
      <c r="E49" s="22" t="s">
        <v>249</v>
      </c>
      <c r="G49" s="522"/>
      <c r="H49" s="522"/>
      <c r="I49" s="522"/>
      <c r="J49" s="522"/>
      <c r="K49" s="522"/>
    </row>
    <row r="50" spans="2:11" x14ac:dyDescent="0.25">
      <c r="B50" s="16" t="s">
        <v>13</v>
      </c>
      <c r="C50" s="18"/>
      <c r="D50" s="18"/>
      <c r="E50" s="23"/>
      <c r="G50" s="522"/>
      <c r="H50" s="522"/>
      <c r="I50" s="522"/>
      <c r="J50" s="522"/>
      <c r="K50" s="522"/>
    </row>
    <row r="51" spans="2:11" x14ac:dyDescent="0.25">
      <c r="B51" s="16" t="s">
        <v>14</v>
      </c>
      <c r="C51" s="18"/>
      <c r="D51" s="18"/>
      <c r="E51" s="21">
        <f>mvalloc!D18</f>
        <v>0</v>
      </c>
      <c r="G51" s="522"/>
      <c r="H51" s="522"/>
      <c r="I51" s="522"/>
      <c r="J51" s="522"/>
      <c r="K51" s="522"/>
    </row>
    <row r="52" spans="2:11" x14ac:dyDescent="0.25">
      <c r="B52" s="16" t="s">
        <v>15</v>
      </c>
      <c r="C52" s="18"/>
      <c r="D52" s="18"/>
      <c r="E52" s="21">
        <f>mvalloc!E18</f>
        <v>0</v>
      </c>
      <c r="G52" s="522"/>
      <c r="H52" s="522"/>
      <c r="I52" s="522"/>
      <c r="J52" s="522"/>
      <c r="K52" s="522"/>
    </row>
    <row r="53" spans="2:11" x14ac:dyDescent="0.25">
      <c r="B53" s="16" t="s">
        <v>92</v>
      </c>
      <c r="C53" s="18"/>
      <c r="D53" s="18"/>
      <c r="E53" s="21">
        <f>mvalloc!F18</f>
        <v>0</v>
      </c>
      <c r="G53" s="522"/>
      <c r="H53" s="522"/>
      <c r="I53" s="522"/>
      <c r="J53" s="522"/>
      <c r="K53" s="522"/>
    </row>
    <row r="54" spans="2:11" x14ac:dyDescent="0.25">
      <c r="B54" s="754" t="s">
        <v>817</v>
      </c>
      <c r="C54" s="18"/>
      <c r="D54" s="18"/>
      <c r="E54" s="21">
        <f>mvalloc!G18</f>
        <v>0</v>
      </c>
      <c r="G54" s="522"/>
      <c r="H54" s="522"/>
      <c r="I54" s="522"/>
      <c r="J54" s="522"/>
      <c r="K54" s="522"/>
    </row>
    <row r="55" spans="2:11" x14ac:dyDescent="0.25">
      <c r="B55" s="754" t="s">
        <v>818</v>
      </c>
      <c r="C55" s="18"/>
      <c r="D55" s="18"/>
      <c r="E55" s="21">
        <f>mvalloc!H18</f>
        <v>0</v>
      </c>
      <c r="G55" s="522"/>
      <c r="H55" s="522"/>
      <c r="I55" s="522"/>
      <c r="J55" s="522"/>
      <c r="K55" s="522"/>
    </row>
    <row r="56" spans="2:11" x14ac:dyDescent="0.25">
      <c r="B56" s="27"/>
      <c r="C56" s="18"/>
      <c r="D56" s="18"/>
      <c r="E56" s="23"/>
      <c r="G56" s="904" t="str">
        <f>CONCATENATE("Desired Carryover Into ",E1+1,"")</f>
        <v>Desired Carryover Into 2021</v>
      </c>
      <c r="H56" s="905"/>
      <c r="I56" s="905"/>
      <c r="J56" s="906"/>
      <c r="K56" s="522"/>
    </row>
    <row r="57" spans="2:11" x14ac:dyDescent="0.25">
      <c r="B57" s="27"/>
      <c r="C57" s="18"/>
      <c r="D57" s="18"/>
      <c r="E57" s="23"/>
      <c r="G57" s="553"/>
      <c r="H57" s="554"/>
      <c r="I57" s="555"/>
      <c r="J57" s="556"/>
      <c r="K57" s="522"/>
    </row>
    <row r="58" spans="2:11" x14ac:dyDescent="0.25">
      <c r="B58" s="27"/>
      <c r="C58" s="18"/>
      <c r="D58" s="18"/>
      <c r="E58" s="23"/>
      <c r="G58" s="557" t="s">
        <v>624</v>
      </c>
      <c r="H58" s="555"/>
      <c r="I58" s="555"/>
      <c r="J58" s="558">
        <v>0</v>
      </c>
      <c r="K58" s="522"/>
    </row>
    <row r="59" spans="2:11" x14ac:dyDescent="0.25">
      <c r="B59" s="27" t="s">
        <v>18</v>
      </c>
      <c r="C59" s="18"/>
      <c r="D59" s="18"/>
      <c r="E59" s="23"/>
      <c r="G59" s="553" t="s">
        <v>625</v>
      </c>
      <c r="H59" s="554"/>
      <c r="I59" s="554"/>
      <c r="J59" s="559" t="str">
        <f>IF(J58=0,"",ROUND((J58+E82-G71)/inputOth!E7*1000,3)-G76)</f>
        <v/>
      </c>
      <c r="K59" s="522"/>
    </row>
    <row r="60" spans="2:11" x14ac:dyDescent="0.25">
      <c r="B60" s="24" t="s">
        <v>178</v>
      </c>
      <c r="C60" s="18"/>
      <c r="D60" s="18"/>
      <c r="E60" s="35">
        <f>nhood!E13*-1</f>
        <v>0</v>
      </c>
      <c r="G60" s="560" t="str">
        <f>CONCATENATE("",E1," Tot Exp/Non-Appr Must Be:")</f>
        <v>2020 Tot Exp/Non-Appr Must Be:</v>
      </c>
      <c r="H60" s="561"/>
      <c r="I60" s="562"/>
      <c r="J60" s="563">
        <f>IF(J58&gt;0,IF(E79&lt;E64,IF(J58=G71,E79,((J58-G71)*(1-D81))+E64),E79+(J58-G71)),0)</f>
        <v>0</v>
      </c>
      <c r="K60" s="522"/>
    </row>
    <row r="61" spans="2:11" x14ac:dyDescent="0.25">
      <c r="B61" s="28" t="s">
        <v>176</v>
      </c>
      <c r="C61" s="18"/>
      <c r="D61" s="18"/>
      <c r="E61" s="23"/>
      <c r="G61" s="564" t="s">
        <v>698</v>
      </c>
      <c r="H61" s="565"/>
      <c r="I61" s="565"/>
      <c r="J61" s="566">
        <f>IF(J58&gt;0,J60-E79,0)</f>
        <v>0</v>
      </c>
      <c r="K61" s="522"/>
    </row>
    <row r="62" spans="2:11" x14ac:dyDescent="0.25">
      <c r="B62" s="28" t="s">
        <v>177</v>
      </c>
      <c r="C62" s="339" t="str">
        <f>IF(C63*0.1&lt;C61,"Exceed 10% Rule","")</f>
        <v/>
      </c>
      <c r="D62" s="339" t="str">
        <f>IF(D63*0.1&lt;D61,"Exceed 10% Rule","")</f>
        <v/>
      </c>
      <c r="E62" s="34" t="str">
        <f>IF(E63*0.1+E82&lt;E61,"Exceed 10% Rule","")</f>
        <v/>
      </c>
      <c r="G62" s="522"/>
      <c r="H62" s="522"/>
      <c r="I62" s="522"/>
      <c r="J62" s="522"/>
      <c r="K62" s="522"/>
    </row>
    <row r="63" spans="2:11" x14ac:dyDescent="0.25">
      <c r="B63" s="30" t="s">
        <v>19</v>
      </c>
      <c r="C63" s="344">
        <f>SUM(C49:C61)</f>
        <v>0</v>
      </c>
      <c r="D63" s="344">
        <f>SUM(D49:D61)</f>
        <v>0</v>
      </c>
      <c r="E63" s="31">
        <f>SUM(E49:E61)</f>
        <v>0</v>
      </c>
      <c r="G63" s="904" t="str">
        <f>CONCATENATE("Projected Carryover Into ",E1+1,"")</f>
        <v>Projected Carryover Into 2021</v>
      </c>
      <c r="H63" s="914"/>
      <c r="I63" s="914"/>
      <c r="J63" s="908"/>
      <c r="K63" s="522"/>
    </row>
    <row r="64" spans="2:11" x14ac:dyDescent="0.25">
      <c r="B64" s="32" t="s">
        <v>20</v>
      </c>
      <c r="C64" s="344">
        <f>C63+C47</f>
        <v>0</v>
      </c>
      <c r="D64" s="344">
        <f>D63+D47</f>
        <v>0</v>
      </c>
      <c r="E64" s="31">
        <f>E63+E47</f>
        <v>0</v>
      </c>
      <c r="G64" s="605"/>
      <c r="H64" s="554"/>
      <c r="I64" s="554"/>
      <c r="J64" s="606"/>
      <c r="K64" s="522"/>
    </row>
    <row r="65" spans="2:11" x14ac:dyDescent="0.25">
      <c r="B65" s="16" t="s">
        <v>21</v>
      </c>
      <c r="C65" s="342"/>
      <c r="D65" s="342"/>
      <c r="E65" s="21"/>
      <c r="G65" s="571">
        <f>D76</f>
        <v>0</v>
      </c>
      <c r="H65" s="572" t="str">
        <f>CONCATENATE("",E1-1," Ending Cash Balance (est.)")</f>
        <v>2019 Ending Cash Balance (est.)</v>
      </c>
      <c r="I65" s="573"/>
      <c r="J65" s="606"/>
      <c r="K65" s="522"/>
    </row>
    <row r="66" spans="2:11" x14ac:dyDescent="0.25">
      <c r="B66" s="27"/>
      <c r="C66" s="18"/>
      <c r="D66" s="18"/>
      <c r="E66" s="23"/>
      <c r="G66" s="571">
        <f>E63</f>
        <v>0</v>
      </c>
      <c r="H66" s="555" t="str">
        <f>CONCATENATE("",E1," Non-AV Receipts (est.)")</f>
        <v>2020 Non-AV Receipts (est.)</v>
      </c>
      <c r="I66" s="555"/>
      <c r="J66" s="791"/>
      <c r="K66" s="790"/>
    </row>
    <row r="67" spans="2:11" x14ac:dyDescent="0.25">
      <c r="B67" s="27"/>
      <c r="C67" s="18"/>
      <c r="D67" s="18"/>
      <c r="E67" s="23"/>
      <c r="G67" s="578">
        <f>IF(E81&gt;0,E80,E82)</f>
        <v>0</v>
      </c>
      <c r="H67" s="555" t="str">
        <f>CONCATENATE("",E1," Ad Valorem Tax (est.)")</f>
        <v>2020 Ad Valorem Tax (est.)</v>
      </c>
      <c r="I67" s="555"/>
      <c r="J67" s="791"/>
      <c r="K67" s="669" t="str">
        <f>IF(G67=E82,"","Note: Does not include Delinquent Taxes")</f>
        <v/>
      </c>
    </row>
    <row r="68" spans="2:11" x14ac:dyDescent="0.25">
      <c r="B68" s="27"/>
      <c r="C68" s="18"/>
      <c r="D68" s="18"/>
      <c r="E68" s="23"/>
      <c r="G68" s="608">
        <f>SUM(G65:G67)</f>
        <v>0</v>
      </c>
      <c r="H68" s="555" t="str">
        <f>CONCATENATE("Total ",E1," Resources Available")</f>
        <v>Total 2020 Resources Available</v>
      </c>
      <c r="I68" s="609"/>
      <c r="J68" s="606"/>
      <c r="K68" s="522"/>
    </row>
    <row r="69" spans="2:11" x14ac:dyDescent="0.25">
      <c r="B69" s="27"/>
      <c r="C69" s="18"/>
      <c r="D69" s="18"/>
      <c r="E69" s="23"/>
      <c r="G69" s="610"/>
      <c r="H69" s="611"/>
      <c r="I69" s="554"/>
      <c r="J69" s="606"/>
      <c r="K69" s="522"/>
    </row>
    <row r="70" spans="2:11" x14ac:dyDescent="0.25">
      <c r="B70" s="27"/>
      <c r="C70" s="18"/>
      <c r="D70" s="18"/>
      <c r="E70" s="23"/>
      <c r="G70" s="578">
        <f>ROUND(C75*0.05+C75,0)</f>
        <v>0</v>
      </c>
      <c r="H70" s="555" t="str">
        <f>CONCATENATE("Less ",E1-2," Expenditures + 5%")</f>
        <v>Less 2018 Expenditures + 5%</v>
      </c>
      <c r="I70" s="609"/>
      <c r="J70" s="606"/>
      <c r="K70" s="522"/>
    </row>
    <row r="71" spans="2:11" x14ac:dyDescent="0.25">
      <c r="B71" s="27"/>
      <c r="C71" s="18"/>
      <c r="D71" s="18"/>
      <c r="E71" s="23"/>
      <c r="G71" s="586">
        <f>G68-G70</f>
        <v>0</v>
      </c>
      <c r="H71" s="587" t="str">
        <f>CONCATENATE("Projected ",E1+1," carryover (est.)")</f>
        <v>Projected 2021 carryover (est.)</v>
      </c>
      <c r="I71" s="612"/>
      <c r="J71" s="613"/>
      <c r="K71" s="522"/>
    </row>
    <row r="72" spans="2:11" x14ac:dyDescent="0.25">
      <c r="B72" s="24" t="str">
        <f>CONCATENATE("Cash Forward (",E1," column)")</f>
        <v>Cash Forward (2020 column)</v>
      </c>
      <c r="C72" s="18"/>
      <c r="D72" s="18"/>
      <c r="E72" s="23"/>
      <c r="G72" s="522"/>
      <c r="H72" s="522"/>
      <c r="I72" s="522"/>
      <c r="J72" s="522"/>
      <c r="K72" s="522"/>
    </row>
    <row r="73" spans="2:11" x14ac:dyDescent="0.25">
      <c r="B73" s="24" t="s">
        <v>176</v>
      </c>
      <c r="C73" s="18"/>
      <c r="D73" s="18"/>
      <c r="E73" s="23"/>
      <c r="G73" s="911" t="s">
        <v>699</v>
      </c>
      <c r="H73" s="912"/>
      <c r="I73" s="912"/>
      <c r="J73" s="913"/>
      <c r="K73" s="522"/>
    </row>
    <row r="74" spans="2:11" x14ac:dyDescent="0.25">
      <c r="B74" s="24" t="s">
        <v>533</v>
      </c>
      <c r="C74" s="339" t="str">
        <f>IF(C75*0.1&lt;C73,"Exceed 10% Rule","")</f>
        <v/>
      </c>
      <c r="D74" s="339" t="str">
        <f>IF(D75*0.1&lt;D73,"Exceed 10% Rule","")</f>
        <v/>
      </c>
      <c r="E74" s="34" t="str">
        <f>IF(E75*0.1&lt;E73,"Exceed 10% Rule","")</f>
        <v/>
      </c>
      <c r="G74" s="593"/>
      <c r="H74" s="572"/>
      <c r="I74" s="594"/>
      <c r="J74" s="595"/>
      <c r="K74" s="522"/>
    </row>
    <row r="75" spans="2:11" x14ac:dyDescent="0.25">
      <c r="B75" s="32" t="s">
        <v>22</v>
      </c>
      <c r="C75" s="344">
        <f>SUM(C66:C73)</f>
        <v>0</v>
      </c>
      <c r="D75" s="344">
        <f>SUM(D66:D73)</f>
        <v>0</v>
      </c>
      <c r="E75" s="31">
        <f>SUM(E66:E73)</f>
        <v>0</v>
      </c>
      <c r="G75" s="596" t="str">
        <f>summ!I25</f>
        <v xml:space="preserve"> </v>
      </c>
      <c r="H75" s="572" t="str">
        <f>CONCATENATE("",E1," Fund Mill Rate")</f>
        <v>2020 Fund Mill Rate</v>
      </c>
      <c r="I75" s="594"/>
      <c r="J75" s="595"/>
      <c r="K75" s="522"/>
    </row>
    <row r="76" spans="2:11" x14ac:dyDescent="0.25">
      <c r="B76" s="16" t="s">
        <v>103</v>
      </c>
      <c r="C76" s="337">
        <f>C64-C75</f>
        <v>0</v>
      </c>
      <c r="D76" s="337">
        <f>D64-D75</f>
        <v>0</v>
      </c>
      <c r="E76" s="22" t="s">
        <v>249</v>
      </c>
      <c r="G76" s="597" t="str">
        <f>summ!F25</f>
        <v xml:space="preserve">  </v>
      </c>
      <c r="H76" s="572" t="str">
        <f>CONCATENATE("",E1-1," Fund Mill Rate")</f>
        <v>2019 Fund Mill Rate</v>
      </c>
      <c r="I76" s="594"/>
      <c r="J76" s="595"/>
      <c r="K76" s="522"/>
    </row>
    <row r="77" spans="2:11" x14ac:dyDescent="0.25">
      <c r="B77" s="255" t="str">
        <f>CONCATENATE("",E1-2,"/",E1-1,"/",E1," Budget Authority Amount:")</f>
        <v>2018/2019/2020 Budget Authority Amount:</v>
      </c>
      <c r="C77" s="52">
        <f>inputOth!B55</f>
        <v>0</v>
      </c>
      <c r="D77" s="52">
        <f>inputPrYr!D26</f>
        <v>0</v>
      </c>
      <c r="E77" s="21">
        <f>E75</f>
        <v>0</v>
      </c>
      <c r="F77" s="39"/>
      <c r="G77" s="599">
        <f>summ!I32</f>
        <v>19.873000000000001</v>
      </c>
      <c r="H77" s="572" t="str">
        <f>CONCATENATE("Total ",E1," Mill Rate")</f>
        <v>Total 2020 Mill Rate</v>
      </c>
      <c r="I77" s="594"/>
      <c r="J77" s="595"/>
      <c r="K77" s="522"/>
    </row>
    <row r="78" spans="2:11" x14ac:dyDescent="0.25">
      <c r="B78" s="37"/>
      <c r="C78" s="894" t="s">
        <v>534</v>
      </c>
      <c r="D78" s="895"/>
      <c r="E78" s="25"/>
      <c r="F78" s="430" t="str">
        <f>IF(E75/0.95-E75&lt;E78,"Exceeds 5%","")</f>
        <v/>
      </c>
      <c r="G78" s="597">
        <f>summ!F32</f>
        <v>19.869</v>
      </c>
      <c r="H78" s="600" t="str">
        <f>CONCATENATE("Total ",E1-1," Mill Rate")</f>
        <v>Total 2019 Mill Rate</v>
      </c>
      <c r="I78" s="601"/>
      <c r="J78" s="602"/>
      <c r="K78" s="522"/>
    </row>
    <row r="79" spans="2:11" x14ac:dyDescent="0.25">
      <c r="B79" s="348" t="str">
        <f>CONCATENATE(C101,"     ",D101)</f>
        <v xml:space="preserve">     </v>
      </c>
      <c r="C79" s="896" t="s">
        <v>535</v>
      </c>
      <c r="D79" s="897"/>
      <c r="E79" s="21">
        <f>E75+E78</f>
        <v>0</v>
      </c>
    </row>
    <row r="80" spans="2:11" x14ac:dyDescent="0.25">
      <c r="B80" s="348" t="str">
        <f>CONCATENATE(C102,"     ",D102)</f>
        <v xml:space="preserve">     </v>
      </c>
      <c r="C80" s="49"/>
      <c r="D80" s="41" t="s">
        <v>24</v>
      </c>
      <c r="E80" s="35">
        <f>IF(E79-E64&gt;0,E79-E64,0)</f>
        <v>0</v>
      </c>
      <c r="G80" s="784" t="s">
        <v>825</v>
      </c>
      <c r="H80" s="760"/>
      <c r="I80" s="761"/>
      <c r="J80" s="762" t="str">
        <f>cert!F37</f>
        <v>Yes</v>
      </c>
    </row>
    <row r="81" spans="2:10" x14ac:dyDescent="0.25">
      <c r="B81" s="41"/>
      <c r="C81" s="352" t="s">
        <v>536</v>
      </c>
      <c r="D81" s="626">
        <f>inputOth!$E$42</f>
        <v>2.5899999999999999E-2</v>
      </c>
      <c r="E81" s="21">
        <f>ROUND(IF(D81&gt;0,(E80*D81),0),0)</f>
        <v>0</v>
      </c>
      <c r="G81" s="783" t="str">
        <f>CONCATENATE("Computed ",E1," tax levy limit amount")</f>
        <v>Computed 2020 tax levy limit amount</v>
      </c>
      <c r="H81" s="764"/>
      <c r="I81" s="764"/>
      <c r="J81" s="765">
        <f>computation!J41</f>
        <v>127410</v>
      </c>
    </row>
    <row r="82" spans="2:10" x14ac:dyDescent="0.25">
      <c r="B82" s="3"/>
      <c r="C82" s="892" t="str">
        <f>CONCATENATE("Amount of  ",$E$1-1," Ad Valorem Tax")</f>
        <v>Amount of  2019 Ad Valorem Tax</v>
      </c>
      <c r="D82" s="893"/>
      <c r="E82" s="35">
        <f>E80+E81</f>
        <v>0</v>
      </c>
      <c r="G82" s="782" t="str">
        <f>CONCATENATE("Total ",E1," tax levy amount")</f>
        <v>Total 2020 tax levy amount</v>
      </c>
      <c r="H82" s="767"/>
      <c r="I82" s="767"/>
      <c r="J82" s="768">
        <f>summ!H32</f>
        <v>176446</v>
      </c>
    </row>
    <row r="83" spans="2:10" x14ac:dyDescent="0.25">
      <c r="B83" s="3"/>
      <c r="C83" s="483"/>
      <c r="D83" s="483"/>
      <c r="E83" s="483"/>
      <c r="G83" s="818"/>
      <c r="H83" s="818"/>
      <c r="I83" s="818"/>
      <c r="J83" s="819"/>
    </row>
    <row r="84" spans="2:10" x14ac:dyDescent="0.25">
      <c r="B84" s="244" t="s">
        <v>967</v>
      </c>
      <c r="C84" s="814"/>
      <c r="D84" s="229"/>
      <c r="E84" s="234"/>
      <c r="G84" s="818"/>
      <c r="H84" s="818"/>
      <c r="I84" s="818"/>
      <c r="J84" s="819"/>
    </row>
    <row r="85" spans="2:10" x14ac:dyDescent="0.25">
      <c r="B85" s="815"/>
      <c r="C85" s="813"/>
      <c r="D85" s="8"/>
      <c r="E85" s="235"/>
      <c r="G85" s="818"/>
      <c r="H85" s="818"/>
      <c r="I85" s="818"/>
      <c r="J85" s="819"/>
    </row>
    <row r="86" spans="2:10" x14ac:dyDescent="0.25">
      <c r="B86" s="816"/>
      <c r="C86" s="817"/>
      <c r="D86" s="9"/>
      <c r="E86" s="237"/>
      <c r="G86" s="818"/>
      <c r="H86" s="818"/>
      <c r="I86" s="818"/>
      <c r="J86" s="819"/>
    </row>
    <row r="87" spans="2:10" x14ac:dyDescent="0.25">
      <c r="B87" s="3"/>
      <c r="C87" s="483"/>
      <c r="D87" s="483"/>
      <c r="E87" s="483"/>
      <c r="G87" s="818"/>
      <c r="H87" s="818"/>
      <c r="I87" s="818"/>
      <c r="J87" s="819"/>
    </row>
    <row r="88" spans="2:10" x14ac:dyDescent="0.25">
      <c r="B88" s="41" t="s">
        <v>5</v>
      </c>
      <c r="C88" s="734"/>
      <c r="D88" s="3"/>
      <c r="E88" s="3"/>
    </row>
    <row r="89" spans="2:10" x14ac:dyDescent="0.25">
      <c r="B89" s="68"/>
    </row>
    <row r="99" spans="3:4" hidden="1" x14ac:dyDescent="0.25">
      <c r="C99" s="5" t="str">
        <f>IF(C34&gt;C36,"See Tab A","")</f>
        <v/>
      </c>
      <c r="D99" s="5" t="str">
        <f>IF(D34&gt;D36,"See Tab C","")</f>
        <v/>
      </c>
    </row>
    <row r="100" spans="3:4" hidden="1" x14ac:dyDescent="0.25">
      <c r="C100" s="5" t="str">
        <f>IF(C35&lt;0,"See Tab B","")</f>
        <v/>
      </c>
      <c r="D100" s="5" t="str">
        <f>IF(D35&lt;0,"See Tab D","")</f>
        <v/>
      </c>
    </row>
    <row r="101" spans="3:4" hidden="1" x14ac:dyDescent="0.25">
      <c r="C101" s="5" t="str">
        <f>IF(C75&gt;C77,"See Tab A","")</f>
        <v/>
      </c>
      <c r="D101" s="5" t="str">
        <f>IF(D75&gt;D77,"See Tab C","")</f>
        <v/>
      </c>
    </row>
    <row r="102" spans="3:4" hidden="1" x14ac:dyDescent="0.25">
      <c r="C102" s="5" t="str">
        <f>IF(C76&lt;0,"See Tab B","")</f>
        <v/>
      </c>
      <c r="D102" s="5" t="str">
        <f>IF(D76&lt;0,"See Tab D","")</f>
        <v/>
      </c>
    </row>
  </sheetData>
  <sheetProtection sheet="1"/>
  <mergeCells count="12">
    <mergeCell ref="G73:J73"/>
    <mergeCell ref="C82:D82"/>
    <mergeCell ref="C41:D41"/>
    <mergeCell ref="C37:D37"/>
    <mergeCell ref="C38:D38"/>
    <mergeCell ref="C78:D78"/>
    <mergeCell ref="C79:D79"/>
    <mergeCell ref="G15:J15"/>
    <mergeCell ref="G22:J22"/>
    <mergeCell ref="G32:J32"/>
    <mergeCell ref="G56:J56"/>
    <mergeCell ref="G63:J63"/>
  </mergeCells>
  <phoneticPr fontId="0" type="noConversion"/>
  <conditionalFormatting sqref="C73">
    <cfRule type="cellIs" dxfId="58" priority="5" stopIfTrue="1" operator="greaterThan">
      <formula>$C$75*0.1</formula>
    </cfRule>
  </conditionalFormatting>
  <conditionalFormatting sqref="D73">
    <cfRule type="cellIs" dxfId="57" priority="6" stopIfTrue="1" operator="greaterThan">
      <formula>$D$75*0.1</formula>
    </cfRule>
  </conditionalFormatting>
  <conditionalFormatting sqref="E73">
    <cfRule type="cellIs" dxfId="56" priority="7" stopIfTrue="1" operator="greaterThan">
      <formula>$E$75*0.1</formula>
    </cfRule>
  </conditionalFormatting>
  <conditionalFormatting sqref="C61">
    <cfRule type="cellIs" dxfId="55" priority="8" stopIfTrue="1" operator="greaterThan">
      <formula>$C$63*0.1</formula>
    </cfRule>
  </conditionalFormatting>
  <conditionalFormatting sqref="D61">
    <cfRule type="cellIs" dxfId="54" priority="9" stopIfTrue="1" operator="greaterThan">
      <formula>$D$63*0.1</formula>
    </cfRule>
  </conditionalFormatting>
  <conditionalFormatting sqref="E37">
    <cfRule type="cellIs" dxfId="53" priority="10" stopIfTrue="1" operator="greaterThan">
      <formula>$E$34/0.95-$E$34</formula>
    </cfRule>
  </conditionalFormatting>
  <conditionalFormatting sqref="C32">
    <cfRule type="cellIs" dxfId="52" priority="11" stopIfTrue="1" operator="greaterThan">
      <formula>$C$34*0.1</formula>
    </cfRule>
  </conditionalFormatting>
  <conditionalFormatting sqref="D32">
    <cfRule type="cellIs" dxfId="51" priority="12" stopIfTrue="1" operator="greaterThan">
      <formula>$D$34*0.1</formula>
    </cfRule>
  </conditionalFormatting>
  <conditionalFormatting sqref="E32">
    <cfRule type="cellIs" dxfId="50" priority="13" stopIfTrue="1" operator="greaterThan">
      <formula>$E$34*0.1</formula>
    </cfRule>
  </conditionalFormatting>
  <conditionalFormatting sqref="C20">
    <cfRule type="cellIs" dxfId="49" priority="14" stopIfTrue="1" operator="greaterThan">
      <formula>$C$22*0.1</formula>
    </cfRule>
  </conditionalFormatting>
  <conditionalFormatting sqref="D20">
    <cfRule type="cellIs" dxfId="48" priority="15" stopIfTrue="1" operator="greaterThan">
      <formula>$D$22*0.1</formula>
    </cfRule>
  </conditionalFormatting>
  <conditionalFormatting sqref="C76 C35">
    <cfRule type="cellIs" dxfId="47" priority="18" stopIfTrue="1" operator="lessThan">
      <formula>0</formula>
    </cfRule>
  </conditionalFormatting>
  <conditionalFormatting sqref="C75">
    <cfRule type="cellIs" dxfId="46" priority="19" stopIfTrue="1" operator="greaterThan">
      <formula>$C$77</formula>
    </cfRule>
  </conditionalFormatting>
  <conditionalFormatting sqref="D75">
    <cfRule type="cellIs" dxfId="45" priority="20" stopIfTrue="1" operator="greaterThan">
      <formula>$D$77</formula>
    </cfRule>
  </conditionalFormatting>
  <conditionalFormatting sqref="C34">
    <cfRule type="cellIs" dxfId="44" priority="21" stopIfTrue="1" operator="greaterThan">
      <formula>$C$36</formula>
    </cfRule>
  </conditionalFormatting>
  <conditionalFormatting sqref="D34">
    <cfRule type="cellIs" dxfId="43" priority="22" stopIfTrue="1" operator="greaterThan">
      <formula>$D$36</formula>
    </cfRule>
  </conditionalFormatting>
  <conditionalFormatting sqref="D35 D76">
    <cfRule type="cellIs" dxfId="42" priority="3" stopIfTrue="1" operator="lessThan">
      <formula>0</formula>
    </cfRule>
  </conditionalFormatting>
  <conditionalFormatting sqref="E78">
    <cfRule type="cellIs" dxfId="41" priority="1" stopIfTrue="1" operator="greaterThan">
      <formula>$E$75/0.95-$E$75</formula>
    </cfRule>
  </conditionalFormatting>
  <conditionalFormatting sqref="E20">
    <cfRule type="cellIs" dxfId="40" priority="36" stopIfTrue="1" operator="greaterThan">
      <formula>$E$22*0.1+$E$41</formula>
    </cfRule>
  </conditionalFormatting>
  <conditionalFormatting sqref="E61">
    <cfRule type="cellIs" dxfId="39" priority="37" stopIfTrue="1" operator="greaterThan">
      <formula>$E$63*0.1+$E$82</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pageSetUpPr fitToPage="1"/>
  </sheetPr>
  <dimension ref="B1:K102"/>
  <sheetViews>
    <sheetView topLeftCell="A70" zoomScaleNormal="100" workbookViewId="0">
      <selection activeCell="L91" sqref="L91"/>
    </sheetView>
  </sheetViews>
  <sheetFormatPr defaultColWidth="8.796875" defaultRowHeight="15.75" x14ac:dyDescent="0.2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ol min="9" max="9" width="4.8984375" style="5" customWidth="1"/>
    <col min="10" max="10" width="9.8984375" style="5" customWidth="1"/>
    <col min="11" max="16384" width="8.796875" style="5"/>
  </cols>
  <sheetData>
    <row r="1" spans="2:11" x14ac:dyDescent="0.25">
      <c r="B1" s="2" t="str">
        <f>inputPrYr!D3</f>
        <v>ROVOHL TOWNSHIP</v>
      </c>
      <c r="C1" s="3"/>
      <c r="D1" s="3"/>
      <c r="E1" s="4">
        <f>inputPrYr!D6</f>
        <v>2020</v>
      </c>
    </row>
    <row r="2" spans="2:11" x14ac:dyDescent="0.25">
      <c r="B2" s="6"/>
      <c r="C2" s="3"/>
      <c r="D2" s="50"/>
      <c r="E2" s="51"/>
    </row>
    <row r="3" spans="2:11" x14ac:dyDescent="0.25">
      <c r="B3" s="480" t="s">
        <v>630</v>
      </c>
      <c r="C3" s="54"/>
      <c r="D3" s="54"/>
      <c r="E3" s="54"/>
    </row>
    <row r="4" spans="2:11" x14ac:dyDescent="0.25">
      <c r="B4" s="11" t="s">
        <v>6</v>
      </c>
      <c r="C4" s="340" t="s">
        <v>7</v>
      </c>
      <c r="D4" s="343" t="s">
        <v>8</v>
      </c>
      <c r="E4" s="12" t="s">
        <v>9</v>
      </c>
    </row>
    <row r="5" spans="2:11" x14ac:dyDescent="0.25">
      <c r="B5" s="349">
        <f>inputPrYr!B27</f>
        <v>0</v>
      </c>
      <c r="C5" s="341" t="str">
        <f>gen!C5</f>
        <v>Actual for 2018</v>
      </c>
      <c r="D5" s="341" t="str">
        <f>gen!D5</f>
        <v>Estimate for 2019</v>
      </c>
      <c r="E5" s="15" t="str">
        <f>gen!E5</f>
        <v>Year for 2020</v>
      </c>
    </row>
    <row r="6" spans="2:11" x14ac:dyDescent="0.25">
      <c r="B6" s="16" t="s">
        <v>102</v>
      </c>
      <c r="C6" s="18"/>
      <c r="D6" s="342">
        <f>C35</f>
        <v>0</v>
      </c>
      <c r="E6" s="21">
        <f>D35</f>
        <v>0</v>
      </c>
    </row>
    <row r="7" spans="2:11" x14ac:dyDescent="0.25">
      <c r="B7" s="16" t="s">
        <v>104</v>
      </c>
      <c r="C7" s="342"/>
      <c r="D7" s="342"/>
      <c r="E7" s="22"/>
    </row>
    <row r="8" spans="2:11" x14ac:dyDescent="0.25">
      <c r="B8" s="16" t="s">
        <v>12</v>
      </c>
      <c r="C8" s="18"/>
      <c r="D8" s="342">
        <f>IF(inputPrYr!H18&gt;0,inputPrYr!G27,inputPrYr!E27)</f>
        <v>0</v>
      </c>
      <c r="E8" s="22" t="s">
        <v>249</v>
      </c>
    </row>
    <row r="9" spans="2:11" x14ac:dyDescent="0.25">
      <c r="B9" s="16" t="s">
        <v>13</v>
      </c>
      <c r="C9" s="18"/>
      <c r="D9" s="18"/>
      <c r="E9" s="23"/>
    </row>
    <row r="10" spans="2:11" x14ac:dyDescent="0.25">
      <c r="B10" s="16" t="s">
        <v>14</v>
      </c>
      <c r="C10" s="18"/>
      <c r="D10" s="18"/>
      <c r="E10" s="21">
        <f>mvalloc!D19</f>
        <v>0</v>
      </c>
    </row>
    <row r="11" spans="2:11" x14ac:dyDescent="0.25">
      <c r="B11" s="16" t="s">
        <v>15</v>
      </c>
      <c r="C11" s="18"/>
      <c r="D11" s="18"/>
      <c r="E11" s="21">
        <f>mvalloc!E19</f>
        <v>0</v>
      </c>
    </row>
    <row r="12" spans="2:11" x14ac:dyDescent="0.25">
      <c r="B12" s="16" t="s">
        <v>92</v>
      </c>
      <c r="C12" s="18"/>
      <c r="D12" s="18"/>
      <c r="E12" s="21">
        <f>mvalloc!F19</f>
        <v>0</v>
      </c>
    </row>
    <row r="13" spans="2:11" x14ac:dyDescent="0.25">
      <c r="B13" s="754" t="s">
        <v>817</v>
      </c>
      <c r="C13" s="18"/>
      <c r="D13" s="18"/>
      <c r="E13" s="21">
        <f>mvalloc!G19</f>
        <v>0</v>
      </c>
    </row>
    <row r="14" spans="2:11" x14ac:dyDescent="0.25">
      <c r="B14" s="754" t="s">
        <v>818</v>
      </c>
      <c r="C14" s="18"/>
      <c r="D14" s="18"/>
      <c r="E14" s="21">
        <f>mvalloc!H19</f>
        <v>0</v>
      </c>
    </row>
    <row r="15" spans="2:11" x14ac:dyDescent="0.25">
      <c r="B15" s="27"/>
      <c r="C15" s="18"/>
      <c r="D15" s="18"/>
      <c r="E15" s="23"/>
      <c r="G15" s="904" t="str">
        <f>CONCATENATE("Desired Carryover Into ",E1+1,"")</f>
        <v>Desired Carryover Into 2021</v>
      </c>
      <c r="H15" s="905"/>
      <c r="I15" s="905"/>
      <c r="J15" s="906"/>
      <c r="K15" s="522"/>
    </row>
    <row r="16" spans="2:11" x14ac:dyDescent="0.25">
      <c r="B16" s="27"/>
      <c r="C16" s="18"/>
      <c r="D16" s="18"/>
      <c r="E16" s="23"/>
      <c r="G16" s="553"/>
      <c r="H16" s="554"/>
      <c r="I16" s="555"/>
      <c r="J16" s="556"/>
      <c r="K16" s="522"/>
    </row>
    <row r="17" spans="2:11" x14ac:dyDescent="0.25">
      <c r="B17" s="27"/>
      <c r="C17" s="18"/>
      <c r="D17" s="18"/>
      <c r="E17" s="23"/>
      <c r="G17" s="557" t="s">
        <v>624</v>
      </c>
      <c r="H17" s="555"/>
      <c r="I17" s="555"/>
      <c r="J17" s="558">
        <v>0</v>
      </c>
      <c r="K17" s="522"/>
    </row>
    <row r="18" spans="2:11" x14ac:dyDescent="0.25">
      <c r="B18" s="27" t="s">
        <v>18</v>
      </c>
      <c r="C18" s="18"/>
      <c r="D18" s="18"/>
      <c r="E18" s="23"/>
      <c r="G18" s="553" t="s">
        <v>625</v>
      </c>
      <c r="H18" s="554"/>
      <c r="I18" s="554"/>
      <c r="J18" s="559" t="str">
        <f>IF(J17=0,"",ROUND((J17+E41-G30)/inputOth!E7*1000,3)-G35)</f>
        <v/>
      </c>
      <c r="K18" s="522"/>
    </row>
    <row r="19" spans="2:11" x14ac:dyDescent="0.25">
      <c r="B19" s="24" t="s">
        <v>178</v>
      </c>
      <c r="C19" s="18"/>
      <c r="D19" s="18"/>
      <c r="E19" s="35">
        <f>nhood!E14*-1</f>
        <v>0</v>
      </c>
      <c r="G19" s="560" t="str">
        <f>CONCATENATE("",E1," Tot Exp/Non-Appr Must Be:")</f>
        <v>2020 Tot Exp/Non-Appr Must Be:</v>
      </c>
      <c r="H19" s="561"/>
      <c r="I19" s="562"/>
      <c r="J19" s="563">
        <f>IF(J17&gt;0,IF(E38&lt;E23,IF(J17=G30,E38,((J17-G30)*(1-D40))+E23),E38+(J17-G30)),0)</f>
        <v>0</v>
      </c>
      <c r="K19" s="522"/>
    </row>
    <row r="20" spans="2:11" x14ac:dyDescent="0.25">
      <c r="B20" s="28" t="s">
        <v>176</v>
      </c>
      <c r="C20" s="18"/>
      <c r="D20" s="18"/>
      <c r="E20" s="23"/>
      <c r="G20" s="564" t="s">
        <v>698</v>
      </c>
      <c r="H20" s="565"/>
      <c r="I20" s="565"/>
      <c r="J20" s="566">
        <f>IF(J17&gt;0,J19-E38,0)</f>
        <v>0</v>
      </c>
      <c r="K20" s="522"/>
    </row>
    <row r="21" spans="2:11" x14ac:dyDescent="0.25">
      <c r="B21" s="28" t="s">
        <v>177</v>
      </c>
      <c r="C21" s="339" t="str">
        <f>IF(C22*0.1&lt;C20,"Exceed 10% Rule","")</f>
        <v/>
      </c>
      <c r="D21" s="339" t="str">
        <f>IF(D22*0.1&lt;D20,"Exceed 10% Rule","")</f>
        <v/>
      </c>
      <c r="E21" s="34" t="str">
        <f>IF(E22*0.1+E41&lt;E20,"Exceed 10% Rule","")</f>
        <v/>
      </c>
      <c r="G21" s="522"/>
      <c r="H21" s="522"/>
      <c r="I21" s="522"/>
      <c r="J21" s="522"/>
      <c r="K21" s="522"/>
    </row>
    <row r="22" spans="2:11" x14ac:dyDescent="0.25">
      <c r="B22" s="30" t="s">
        <v>19</v>
      </c>
      <c r="C22" s="344">
        <f>SUM(C8:C20)</f>
        <v>0</v>
      </c>
      <c r="D22" s="344">
        <f>SUM(D8:D20)</f>
        <v>0</v>
      </c>
      <c r="E22" s="31">
        <f>SUM(E8:E20)</f>
        <v>0</v>
      </c>
      <c r="G22" s="904" t="str">
        <f>CONCATENATE("Projected Carryover Into ",E1+1,"")</f>
        <v>Projected Carryover Into 2021</v>
      </c>
      <c r="H22" s="907"/>
      <c r="I22" s="907"/>
      <c r="J22" s="908"/>
      <c r="K22" s="522"/>
    </row>
    <row r="23" spans="2:11" x14ac:dyDescent="0.25">
      <c r="B23" s="32" t="s">
        <v>20</v>
      </c>
      <c r="C23" s="344">
        <f>C22+C6</f>
        <v>0</v>
      </c>
      <c r="D23" s="344">
        <f>D22+D6</f>
        <v>0</v>
      </c>
      <c r="E23" s="31">
        <f>E22+E6</f>
        <v>0</v>
      </c>
      <c r="G23" s="553"/>
      <c r="H23" s="555"/>
      <c r="I23" s="555"/>
      <c r="J23" s="568"/>
      <c r="K23" s="522"/>
    </row>
    <row r="24" spans="2:11" x14ac:dyDescent="0.25">
      <c r="B24" s="16" t="s">
        <v>21</v>
      </c>
      <c r="C24" s="342"/>
      <c r="D24" s="342"/>
      <c r="E24" s="21"/>
      <c r="G24" s="571">
        <f>D35</f>
        <v>0</v>
      </c>
      <c r="H24" s="572" t="str">
        <f>CONCATENATE("",E1-1," Ending Cash Balance (est.)")</f>
        <v>2019 Ending Cash Balance (est.)</v>
      </c>
      <c r="I24" s="573"/>
      <c r="J24" s="568"/>
      <c r="K24" s="522"/>
    </row>
    <row r="25" spans="2:11" x14ac:dyDescent="0.25">
      <c r="B25" s="27"/>
      <c r="C25" s="18"/>
      <c r="D25" s="18"/>
      <c r="E25" s="23"/>
      <c r="G25" s="571">
        <f>E22</f>
        <v>0</v>
      </c>
      <c r="H25" s="555" t="str">
        <f>CONCATENATE("",E1," Non-AV Receipts (est.)")</f>
        <v>2020 Non-AV Receipts (est.)</v>
      </c>
      <c r="I25" s="555"/>
      <c r="J25" s="668"/>
      <c r="K25" s="790"/>
    </row>
    <row r="26" spans="2:11" x14ac:dyDescent="0.2">
      <c r="B26" s="27"/>
      <c r="C26" s="18"/>
      <c r="D26" s="18"/>
      <c r="E26" s="23"/>
      <c r="G26" s="578">
        <f>IF(E40&gt;0,E39,E41)</f>
        <v>0</v>
      </c>
      <c r="H26" s="555" t="str">
        <f>CONCATENATE("",E1," Ad Valorem Tax (est.)")</f>
        <v>2020 Ad Valorem Tax (est.)</v>
      </c>
      <c r="I26" s="555"/>
      <c r="J26" s="668"/>
      <c r="K26" s="669" t="str">
        <f>IF(G26=E41,"","Note: Does not include Delinquent Taxes")</f>
        <v/>
      </c>
    </row>
    <row r="27" spans="2:11" x14ac:dyDescent="0.25">
      <c r="B27" s="27"/>
      <c r="C27" s="18"/>
      <c r="D27" s="18"/>
      <c r="E27" s="23"/>
      <c r="G27" s="571">
        <f>SUM(G24:G26)</f>
        <v>0</v>
      </c>
      <c r="H27" s="555" t="str">
        <f>CONCATENATE("Total ",E1," Resources Available")</f>
        <v>Total 2020 Resources Available</v>
      </c>
      <c r="I27" s="573"/>
      <c r="J27" s="568"/>
      <c r="K27" s="522"/>
    </row>
    <row r="28" spans="2:11" x14ac:dyDescent="0.25">
      <c r="B28" s="18"/>
      <c r="C28" s="18"/>
      <c r="D28" s="18"/>
      <c r="E28" s="23"/>
      <c r="G28" s="582"/>
      <c r="H28" s="555"/>
      <c r="I28" s="555"/>
      <c r="J28" s="568"/>
      <c r="K28" s="522"/>
    </row>
    <row r="29" spans="2:11" x14ac:dyDescent="0.25">
      <c r="B29" s="18"/>
      <c r="C29" s="18"/>
      <c r="D29" s="18"/>
      <c r="E29" s="23"/>
      <c r="G29" s="578">
        <f>ROUND(C34*0.05+C34,)</f>
        <v>0</v>
      </c>
      <c r="H29" s="555" t="str">
        <f>CONCATENATE("Less ",E1-2," Expenditures + 5%")</f>
        <v>Less 2018 Expenditures + 5%</v>
      </c>
      <c r="I29" s="555"/>
      <c r="J29" s="568"/>
      <c r="K29" s="522"/>
    </row>
    <row r="30" spans="2:11" x14ac:dyDescent="0.25">
      <c r="B30" s="27"/>
      <c r="C30" s="18"/>
      <c r="D30" s="18"/>
      <c r="E30" s="23"/>
      <c r="G30" s="586">
        <f>G27-G29</f>
        <v>0</v>
      </c>
      <c r="H30" s="587" t="str">
        <f>CONCATENATE("Projected ",E1+1," carryover (est.)")</f>
        <v>Projected 2021 carryover (est.)</v>
      </c>
      <c r="I30" s="588"/>
      <c r="J30" s="589"/>
      <c r="K30" s="522"/>
    </row>
    <row r="31" spans="2:11" x14ac:dyDescent="0.25">
      <c r="B31" s="24" t="str">
        <f>CONCATENATE("Cash Forward (",E1," column)")</f>
        <v>Cash Forward (2020 column)</v>
      </c>
      <c r="C31" s="18"/>
      <c r="D31" s="18"/>
      <c r="E31" s="23"/>
      <c r="G31" s="522"/>
      <c r="H31" s="522"/>
      <c r="I31" s="522"/>
      <c r="J31" s="522"/>
      <c r="K31" s="522"/>
    </row>
    <row r="32" spans="2:11" x14ac:dyDescent="0.25">
      <c r="B32" s="24" t="s">
        <v>176</v>
      </c>
      <c r="C32" s="18"/>
      <c r="D32" s="18"/>
      <c r="E32" s="23"/>
      <c r="G32" s="911" t="s">
        <v>699</v>
      </c>
      <c r="H32" s="912"/>
      <c r="I32" s="912"/>
      <c r="J32" s="913"/>
      <c r="K32" s="522"/>
    </row>
    <row r="33" spans="2:11" x14ac:dyDescent="0.25">
      <c r="B33" s="24" t="s">
        <v>533</v>
      </c>
      <c r="C33" s="339" t="str">
        <f>IF(C34*0.1&lt;C32,"Exceed 10% Rule","")</f>
        <v/>
      </c>
      <c r="D33" s="339" t="str">
        <f>IF(D34*0.1&lt;D32,"Exceed 10% Rule","")</f>
        <v/>
      </c>
      <c r="E33" s="34" t="str">
        <f>IF(E34*0.1&lt;E32,"Exceed 10% Rule","")</f>
        <v/>
      </c>
      <c r="G33" s="593"/>
      <c r="H33" s="572"/>
      <c r="I33" s="594"/>
      <c r="J33" s="595"/>
      <c r="K33" s="522"/>
    </row>
    <row r="34" spans="2:11" x14ac:dyDescent="0.25">
      <c r="B34" s="32" t="s">
        <v>22</v>
      </c>
      <c r="C34" s="344">
        <f>SUM(C25:C32)</f>
        <v>0</v>
      </c>
      <c r="D34" s="344">
        <f>SUM(D25:D32)</f>
        <v>0</v>
      </c>
      <c r="E34" s="31">
        <f>SUM(E25:E32)</f>
        <v>0</v>
      </c>
      <c r="G34" s="596" t="str">
        <f>summ!I26</f>
        <v xml:space="preserve"> </v>
      </c>
      <c r="H34" s="572" t="str">
        <f>CONCATENATE("",E1," Fund Mill Rate")</f>
        <v>2020 Fund Mill Rate</v>
      </c>
      <c r="I34" s="594"/>
      <c r="J34" s="595"/>
      <c r="K34" s="522"/>
    </row>
    <row r="35" spans="2:11" x14ac:dyDescent="0.25">
      <c r="B35" s="16" t="s">
        <v>103</v>
      </c>
      <c r="C35" s="337">
        <f>C23-C34</f>
        <v>0</v>
      </c>
      <c r="D35" s="337">
        <f>D23-D34</f>
        <v>0</v>
      </c>
      <c r="E35" s="22" t="s">
        <v>249</v>
      </c>
      <c r="G35" s="597" t="str">
        <f>summ!F26</f>
        <v xml:space="preserve">  </v>
      </c>
      <c r="H35" s="572" t="str">
        <f>CONCATENATE("",E1-1," Fund Mill Rate")</f>
        <v>2019 Fund Mill Rate</v>
      </c>
      <c r="I35" s="594"/>
      <c r="J35" s="595"/>
      <c r="K35" s="522"/>
    </row>
    <row r="36" spans="2:11" x14ac:dyDescent="0.25">
      <c r="B36" s="255" t="str">
        <f>CONCATENATE("",E1-2,"/",E1-1,"/",E1," Budget Authority Amount:")</f>
        <v>2018/2019/2020 Budget Authority Amount:</v>
      </c>
      <c r="C36" s="52">
        <f>inputOth!B56</f>
        <v>0</v>
      </c>
      <c r="D36" s="52">
        <f>inputPrYr!D27</f>
        <v>0</v>
      </c>
      <c r="E36" s="21">
        <f>E34</f>
        <v>0</v>
      </c>
      <c r="F36" s="39"/>
      <c r="G36" s="599">
        <f>summ!I32</f>
        <v>19.873000000000001</v>
      </c>
      <c r="H36" s="572" t="str">
        <f>CONCATENATE("Total ",E1," Mill Rate")</f>
        <v>Total 2020 Mill Rate</v>
      </c>
      <c r="I36" s="594"/>
      <c r="J36" s="595"/>
      <c r="K36" s="522"/>
    </row>
    <row r="37" spans="2:11" x14ac:dyDescent="0.25">
      <c r="B37" s="37"/>
      <c r="C37" s="894" t="s">
        <v>534</v>
      </c>
      <c r="D37" s="895"/>
      <c r="E37" s="23"/>
      <c r="F37" s="430" t="str">
        <f>IF(E34/0.95-E34&lt;E37,"Exceeds 5%","")</f>
        <v/>
      </c>
      <c r="G37" s="597">
        <f>summ!F32</f>
        <v>19.869</v>
      </c>
      <c r="H37" s="600" t="str">
        <f>CONCATENATE("Total ",E1-1," Mill Rate")</f>
        <v>Total 2019 Mill Rate</v>
      </c>
      <c r="I37" s="601"/>
      <c r="J37" s="602"/>
      <c r="K37" s="522"/>
    </row>
    <row r="38" spans="2:11" x14ac:dyDescent="0.25">
      <c r="B38" s="348" t="str">
        <f>CONCATENATE(C99,"     ",D99)</f>
        <v xml:space="preserve">     </v>
      </c>
      <c r="C38" s="896" t="s">
        <v>535</v>
      </c>
      <c r="D38" s="897"/>
      <c r="E38" s="21">
        <f>E34+E37</f>
        <v>0</v>
      </c>
      <c r="G38" s="522"/>
      <c r="H38" s="522"/>
      <c r="I38" s="522"/>
      <c r="J38" s="522"/>
      <c r="K38" s="522"/>
    </row>
    <row r="39" spans="2:11" x14ac:dyDescent="0.25">
      <c r="B39" s="348" t="str">
        <f>CONCATENATE(C100,"     ",D100)</f>
        <v xml:space="preserve">     </v>
      </c>
      <c r="C39" s="49"/>
      <c r="D39" s="41" t="s">
        <v>24</v>
      </c>
      <c r="E39" s="35">
        <f>IF(E38-E23&gt;0,E38-E23,0)</f>
        <v>0</v>
      </c>
      <c r="G39" s="784" t="s">
        <v>825</v>
      </c>
      <c r="H39" s="760"/>
      <c r="I39" s="761"/>
      <c r="J39" s="762" t="str">
        <f>cert!F37</f>
        <v>Yes</v>
      </c>
      <c r="K39" s="522"/>
    </row>
    <row r="40" spans="2:11" x14ac:dyDescent="0.25">
      <c r="B40" s="41"/>
      <c r="C40" s="352" t="s">
        <v>536</v>
      </c>
      <c r="D40" s="626">
        <f>inputOth!$E$42</f>
        <v>2.5899999999999999E-2</v>
      </c>
      <c r="E40" s="21">
        <f>ROUND(IF(D40&gt;0,(E39*D40),0),0)</f>
        <v>0</v>
      </c>
      <c r="G40" s="770" t="str">
        <f>CONCATENATE("Computed ",E1," tax levy limit amount")</f>
        <v>Computed 2020 tax levy limit amount</v>
      </c>
      <c r="H40" s="771"/>
      <c r="I40" s="771"/>
      <c r="J40" s="772">
        <f>computation!J41</f>
        <v>127410</v>
      </c>
      <c r="K40" s="522"/>
    </row>
    <row r="41" spans="2:11" x14ac:dyDescent="0.25">
      <c r="B41" s="3"/>
      <c r="C41" s="892" t="str">
        <f>CONCATENATE("Amount of  ",$E$1-1," Ad Valorem Tax")</f>
        <v>Amount of  2019 Ad Valorem Tax</v>
      </c>
      <c r="D41" s="893"/>
      <c r="E41" s="35">
        <f>E39+E40</f>
        <v>0</v>
      </c>
      <c r="G41" s="773" t="str">
        <f>CONCATENATE("Total ",E1," tax levy amount")</f>
        <v>Total 2020 tax levy amount</v>
      </c>
      <c r="H41" s="774"/>
      <c r="I41" s="774"/>
      <c r="J41" s="775">
        <f>summ!H32</f>
        <v>176446</v>
      </c>
      <c r="K41" s="522"/>
    </row>
    <row r="42" spans="2:11" x14ac:dyDescent="0.25">
      <c r="B42" s="3"/>
      <c r="C42" s="483"/>
      <c r="D42" s="3"/>
      <c r="E42" s="3"/>
      <c r="G42" s="522"/>
      <c r="H42" s="522"/>
      <c r="I42" s="522"/>
      <c r="J42" s="522"/>
      <c r="K42" s="522"/>
    </row>
    <row r="43" spans="2:11" x14ac:dyDescent="0.25">
      <c r="B43" s="3"/>
      <c r="C43" s="483"/>
      <c r="D43" s="3"/>
      <c r="E43" s="3"/>
      <c r="G43" s="522"/>
      <c r="H43" s="522"/>
      <c r="I43" s="522"/>
      <c r="J43" s="522"/>
      <c r="K43" s="522"/>
    </row>
    <row r="44" spans="2:11" x14ac:dyDescent="0.25">
      <c r="B44" s="11" t="s">
        <v>6</v>
      </c>
      <c r="C44" s="54"/>
      <c r="D44" s="54"/>
      <c r="E44" s="54"/>
      <c r="G44" s="522"/>
      <c r="H44" s="522"/>
      <c r="I44" s="522"/>
      <c r="J44" s="522"/>
      <c r="K44" s="522"/>
    </row>
    <row r="45" spans="2:11" x14ac:dyDescent="0.25">
      <c r="B45" s="3"/>
      <c r="C45" s="340" t="s">
        <v>7</v>
      </c>
      <c r="D45" s="343" t="s">
        <v>8</v>
      </c>
      <c r="E45" s="12" t="s">
        <v>9</v>
      </c>
      <c r="G45" s="522"/>
      <c r="H45" s="522"/>
      <c r="I45" s="522"/>
      <c r="J45" s="522"/>
      <c r="K45" s="522"/>
    </row>
    <row r="46" spans="2:11" x14ac:dyDescent="0.25">
      <c r="B46" s="425">
        <f>inputPrYr!B28</f>
        <v>0</v>
      </c>
      <c r="C46" s="341" t="str">
        <f>C5</f>
        <v>Actual for 2018</v>
      </c>
      <c r="D46" s="341" t="str">
        <f>D5</f>
        <v>Estimate for 2019</v>
      </c>
      <c r="E46" s="15" t="str">
        <f>E5</f>
        <v>Year for 2020</v>
      </c>
      <c r="G46" s="522"/>
      <c r="H46" s="522"/>
      <c r="I46" s="522"/>
      <c r="J46" s="522"/>
      <c r="K46" s="522"/>
    </row>
    <row r="47" spans="2:11" x14ac:dyDescent="0.25">
      <c r="B47" s="16" t="s">
        <v>102</v>
      </c>
      <c r="C47" s="18"/>
      <c r="D47" s="342">
        <f>C76</f>
        <v>0</v>
      </c>
      <c r="E47" s="21">
        <f>D76</f>
        <v>0</v>
      </c>
      <c r="G47" s="522"/>
      <c r="H47" s="522"/>
      <c r="I47" s="522"/>
      <c r="J47" s="522"/>
      <c r="K47" s="522"/>
    </row>
    <row r="48" spans="2:11" x14ac:dyDescent="0.25">
      <c r="B48" s="16" t="s">
        <v>104</v>
      </c>
      <c r="C48" s="342"/>
      <c r="D48" s="342"/>
      <c r="E48" s="22"/>
      <c r="G48" s="522"/>
      <c r="H48" s="522"/>
      <c r="I48" s="522"/>
      <c r="J48" s="522"/>
      <c r="K48" s="522"/>
    </row>
    <row r="49" spans="2:11" x14ac:dyDescent="0.25">
      <c r="B49" s="16" t="s">
        <v>12</v>
      </c>
      <c r="C49" s="18"/>
      <c r="D49" s="342">
        <f>IF(inputPrYr!H18&gt;0,inputPrYr!G28,inputPrYr!E28)</f>
        <v>0</v>
      </c>
      <c r="E49" s="22" t="s">
        <v>249</v>
      </c>
      <c r="G49" s="522"/>
      <c r="H49" s="522"/>
      <c r="I49" s="522"/>
      <c r="J49" s="522"/>
      <c r="K49" s="522"/>
    </row>
    <row r="50" spans="2:11" x14ac:dyDescent="0.25">
      <c r="B50" s="16" t="s">
        <v>13</v>
      </c>
      <c r="C50" s="18"/>
      <c r="D50" s="18"/>
      <c r="E50" s="23"/>
      <c r="G50" s="522"/>
      <c r="H50" s="522"/>
      <c r="I50" s="522"/>
      <c r="J50" s="522"/>
      <c r="K50" s="522"/>
    </row>
    <row r="51" spans="2:11" x14ac:dyDescent="0.25">
      <c r="B51" s="16" t="s">
        <v>14</v>
      </c>
      <c r="C51" s="18"/>
      <c r="D51" s="18"/>
      <c r="E51" s="21">
        <f>mvalloc!D20</f>
        <v>0</v>
      </c>
      <c r="G51" s="522"/>
      <c r="H51" s="522"/>
      <c r="I51" s="522"/>
      <c r="J51" s="522"/>
      <c r="K51" s="522"/>
    </row>
    <row r="52" spans="2:11" x14ac:dyDescent="0.25">
      <c r="B52" s="16" t="s">
        <v>15</v>
      </c>
      <c r="C52" s="18"/>
      <c r="D52" s="18"/>
      <c r="E52" s="21">
        <f>mvalloc!E20</f>
        <v>0</v>
      </c>
      <c r="G52" s="522"/>
      <c r="H52" s="522"/>
      <c r="I52" s="522"/>
      <c r="J52" s="522"/>
      <c r="K52" s="522"/>
    </row>
    <row r="53" spans="2:11" x14ac:dyDescent="0.25">
      <c r="B53" s="16" t="s">
        <v>92</v>
      </c>
      <c r="C53" s="18"/>
      <c r="D53" s="18"/>
      <c r="E53" s="21">
        <f>mvalloc!F20</f>
        <v>0</v>
      </c>
      <c r="G53" s="522"/>
      <c r="H53" s="522"/>
      <c r="I53" s="522"/>
      <c r="J53" s="522"/>
      <c r="K53" s="522"/>
    </row>
    <row r="54" spans="2:11" x14ac:dyDescent="0.25">
      <c r="B54" s="754" t="s">
        <v>817</v>
      </c>
      <c r="C54" s="18"/>
      <c r="D54" s="18"/>
      <c r="E54" s="21">
        <f>mvalloc!G20</f>
        <v>0</v>
      </c>
      <c r="G54" s="522"/>
      <c r="H54" s="522"/>
      <c r="I54" s="522"/>
      <c r="J54" s="522"/>
      <c r="K54" s="522"/>
    </row>
    <row r="55" spans="2:11" x14ac:dyDescent="0.25">
      <c r="B55" s="754" t="s">
        <v>818</v>
      </c>
      <c r="C55" s="18"/>
      <c r="D55" s="18"/>
      <c r="E55" s="21">
        <f>mvalloc!H20</f>
        <v>0</v>
      </c>
      <c r="G55" s="522"/>
      <c r="H55" s="522"/>
      <c r="I55" s="522"/>
      <c r="J55" s="522"/>
      <c r="K55" s="522"/>
    </row>
    <row r="56" spans="2:11" x14ac:dyDescent="0.25">
      <c r="B56" s="26"/>
      <c r="C56" s="18"/>
      <c r="D56" s="18"/>
      <c r="E56" s="23"/>
      <c r="G56" s="904" t="str">
        <f>CONCATENATE("Desired Carryover Into ",E1+1,"")</f>
        <v>Desired Carryover Into 2021</v>
      </c>
      <c r="H56" s="905"/>
      <c r="I56" s="905"/>
      <c r="J56" s="906"/>
      <c r="K56" s="522"/>
    </row>
    <row r="57" spans="2:11" x14ac:dyDescent="0.25">
      <c r="B57" s="26"/>
      <c r="C57" s="18"/>
      <c r="D57" s="18"/>
      <c r="E57" s="23"/>
      <c r="G57" s="553"/>
      <c r="H57" s="554"/>
      <c r="I57" s="555"/>
      <c r="J57" s="556"/>
      <c r="K57" s="522"/>
    </row>
    <row r="58" spans="2:11" x14ac:dyDescent="0.25">
      <c r="B58" s="27"/>
      <c r="C58" s="18"/>
      <c r="D58" s="18"/>
      <c r="E58" s="23"/>
      <c r="G58" s="557" t="s">
        <v>624</v>
      </c>
      <c r="H58" s="555"/>
      <c r="I58" s="555"/>
      <c r="J58" s="558">
        <v>0</v>
      </c>
      <c r="K58" s="522"/>
    </row>
    <row r="59" spans="2:11" x14ac:dyDescent="0.25">
      <c r="B59" s="27" t="s">
        <v>18</v>
      </c>
      <c r="C59" s="18"/>
      <c r="D59" s="18"/>
      <c r="E59" s="23"/>
      <c r="G59" s="553" t="s">
        <v>625</v>
      </c>
      <c r="H59" s="554"/>
      <c r="I59" s="554"/>
      <c r="J59" s="559" t="str">
        <f>IF(J58=0,"",ROUND((J58+E82-G71)/inputOth!E7*1000,3)-G76)</f>
        <v/>
      </c>
      <c r="K59" s="522"/>
    </row>
    <row r="60" spans="2:11" x14ac:dyDescent="0.25">
      <c r="B60" s="24" t="s">
        <v>178</v>
      </c>
      <c r="C60" s="18"/>
      <c r="D60" s="18"/>
      <c r="E60" s="35">
        <f>nhood!E15*-1</f>
        <v>0</v>
      </c>
      <c r="G60" s="560" t="str">
        <f>CONCATENATE("",E1," Tot Exp/Non-Appr Must Be:")</f>
        <v>2020 Tot Exp/Non-Appr Must Be:</v>
      </c>
      <c r="H60" s="561"/>
      <c r="I60" s="562"/>
      <c r="J60" s="563">
        <f>IF(J58&gt;0,IF(E79&lt;E64,IF(J58=G71,E79,((J58-G71)*(1-D81))+E64),E79+(J58-G71)),0)</f>
        <v>0</v>
      </c>
      <c r="K60" s="522"/>
    </row>
    <row r="61" spans="2:11" x14ac:dyDescent="0.25">
      <c r="B61" s="28" t="s">
        <v>176</v>
      </c>
      <c r="C61" s="18"/>
      <c r="D61" s="18"/>
      <c r="E61" s="23"/>
      <c r="G61" s="564" t="s">
        <v>698</v>
      </c>
      <c r="H61" s="565"/>
      <c r="I61" s="565"/>
      <c r="J61" s="566">
        <f>IF(J58&gt;0,J60-E79,0)</f>
        <v>0</v>
      </c>
      <c r="K61" s="522"/>
    </row>
    <row r="62" spans="2:11" x14ac:dyDescent="0.25">
      <c r="B62" s="28" t="s">
        <v>177</v>
      </c>
      <c r="C62" s="339" t="str">
        <f>IF(C63*0.1&lt;C61,"Exceed 10% Rule","")</f>
        <v/>
      </c>
      <c r="D62" s="339" t="str">
        <f>IF(D63*0.1&lt;D61,"Exceed 10% Rule","")</f>
        <v/>
      </c>
      <c r="E62" s="34" t="str">
        <f>IF(E63*0.1+E82&lt;E61,"Exceed 10% Rule","")</f>
        <v/>
      </c>
      <c r="G62" s="522"/>
      <c r="H62" s="522"/>
      <c r="I62" s="522"/>
      <c r="J62" s="522"/>
      <c r="K62" s="522"/>
    </row>
    <row r="63" spans="2:11" x14ac:dyDescent="0.25">
      <c r="B63" s="30" t="s">
        <v>19</v>
      </c>
      <c r="C63" s="344">
        <f>SUM(C49:C61)</f>
        <v>0</v>
      </c>
      <c r="D63" s="344">
        <f>SUM(D49:D61)</f>
        <v>0</v>
      </c>
      <c r="E63" s="31">
        <f>SUM(E49:E61)</f>
        <v>0</v>
      </c>
      <c r="G63" s="904" t="str">
        <f>CONCATENATE("Projected Carryover Into ",E1+1,"")</f>
        <v>Projected Carryover Into 2021</v>
      </c>
      <c r="H63" s="914"/>
      <c r="I63" s="914"/>
      <c r="J63" s="908"/>
      <c r="K63" s="522"/>
    </row>
    <row r="64" spans="2:11" x14ac:dyDescent="0.25">
      <c r="B64" s="32" t="s">
        <v>20</v>
      </c>
      <c r="C64" s="344">
        <f>C63+C47</f>
        <v>0</v>
      </c>
      <c r="D64" s="344">
        <f>D63+D47</f>
        <v>0</v>
      </c>
      <c r="E64" s="31">
        <f>E63+E47</f>
        <v>0</v>
      </c>
      <c r="G64" s="605"/>
      <c r="H64" s="554"/>
      <c r="I64" s="554"/>
      <c r="J64" s="606"/>
      <c r="K64" s="522"/>
    </row>
    <row r="65" spans="2:11" x14ac:dyDescent="0.25">
      <c r="B65" s="16" t="s">
        <v>21</v>
      </c>
      <c r="C65" s="342"/>
      <c r="D65" s="342"/>
      <c r="E65" s="21"/>
      <c r="G65" s="571">
        <f>D76</f>
        <v>0</v>
      </c>
      <c r="H65" s="572" t="str">
        <f>CONCATENATE("",E1-1," Ending Cash Balance (est.)")</f>
        <v>2019 Ending Cash Balance (est.)</v>
      </c>
      <c r="I65" s="573"/>
      <c r="J65" s="606"/>
      <c r="K65" s="522"/>
    </row>
    <row r="66" spans="2:11" x14ac:dyDescent="0.25">
      <c r="B66" s="27"/>
      <c r="C66" s="18"/>
      <c r="D66" s="18"/>
      <c r="E66" s="23"/>
      <c r="G66" s="571">
        <f>E63</f>
        <v>0</v>
      </c>
      <c r="H66" s="555" t="str">
        <f>CONCATENATE("",E1," Non-AV Receipts (est.)")</f>
        <v>2020 Non-AV Receipts (est.)</v>
      </c>
      <c r="I66" s="573"/>
      <c r="J66" s="606"/>
      <c r="K66" s="522"/>
    </row>
    <row r="67" spans="2:11" x14ac:dyDescent="0.25">
      <c r="B67" s="27"/>
      <c r="C67" s="18"/>
      <c r="D67" s="18"/>
      <c r="E67" s="23"/>
      <c r="G67" s="578">
        <f>IF(E81&gt;0,E80,E82)</f>
        <v>0</v>
      </c>
      <c r="H67" s="555" t="str">
        <f>CONCATENATE("",E1," Ad Valorem Tax (est.)")</f>
        <v>2020 Ad Valorem Tax (est.)</v>
      </c>
      <c r="I67" s="573"/>
      <c r="J67" s="606"/>
      <c r="K67" s="579" t="str">
        <f>IF(G67=E82,"","Note: Does not include Delinquent Taxes")</f>
        <v/>
      </c>
    </row>
    <row r="68" spans="2:11" x14ac:dyDescent="0.25">
      <c r="B68" s="27"/>
      <c r="C68" s="18"/>
      <c r="D68" s="18"/>
      <c r="E68" s="23"/>
      <c r="G68" s="608">
        <f>SUM(G65:G67)</f>
        <v>0</v>
      </c>
      <c r="H68" s="555" t="str">
        <f>CONCATENATE("Total ",E1," Resources Available")</f>
        <v>Total 2020 Resources Available</v>
      </c>
      <c r="I68" s="609"/>
      <c r="J68" s="606"/>
      <c r="K68" s="522"/>
    </row>
    <row r="69" spans="2:11" x14ac:dyDescent="0.25">
      <c r="B69" s="27"/>
      <c r="C69" s="18"/>
      <c r="D69" s="18"/>
      <c r="E69" s="23"/>
      <c r="G69" s="610"/>
      <c r="H69" s="611"/>
      <c r="I69" s="554"/>
      <c r="J69" s="606"/>
      <c r="K69" s="522"/>
    </row>
    <row r="70" spans="2:11" x14ac:dyDescent="0.25">
      <c r="B70" s="27"/>
      <c r="C70" s="18"/>
      <c r="D70" s="18"/>
      <c r="E70" s="23"/>
      <c r="G70" s="578">
        <f>ROUND(C75*0.05+C75,0)</f>
        <v>0</v>
      </c>
      <c r="H70" s="555" t="str">
        <f>CONCATENATE("Less ",E1-2," Expenditures + 5%")</f>
        <v>Less 2018 Expenditures + 5%</v>
      </c>
      <c r="I70" s="609"/>
      <c r="J70" s="606"/>
      <c r="K70" s="522"/>
    </row>
    <row r="71" spans="2:11" x14ac:dyDescent="0.25">
      <c r="B71" s="27"/>
      <c r="C71" s="18"/>
      <c r="D71" s="18"/>
      <c r="E71" s="23"/>
      <c r="G71" s="586">
        <f>G68-G70</f>
        <v>0</v>
      </c>
      <c r="H71" s="587" t="str">
        <f>CONCATENATE("Projected ",E1+1," carryover (est.)")</f>
        <v>Projected 2021 carryover (est.)</v>
      </c>
      <c r="I71" s="612"/>
      <c r="J71" s="613"/>
      <c r="K71" s="522"/>
    </row>
    <row r="72" spans="2:11" x14ac:dyDescent="0.25">
      <c r="B72" s="24" t="str">
        <f>CONCATENATE("Cash Forward (",E1," column)")</f>
        <v>Cash Forward (2020 column)</v>
      </c>
      <c r="C72" s="18"/>
      <c r="D72" s="18"/>
      <c r="E72" s="23"/>
      <c r="G72" s="522"/>
      <c r="H72" s="522"/>
      <c r="I72" s="522"/>
      <c r="J72" s="522"/>
      <c r="K72" s="522"/>
    </row>
    <row r="73" spans="2:11" x14ac:dyDescent="0.25">
      <c r="B73" s="24" t="s">
        <v>176</v>
      </c>
      <c r="C73" s="18"/>
      <c r="D73" s="18"/>
      <c r="E73" s="23"/>
      <c r="G73" s="911" t="s">
        <v>699</v>
      </c>
      <c r="H73" s="912"/>
      <c r="I73" s="912"/>
      <c r="J73" s="913"/>
      <c r="K73" s="522"/>
    </row>
    <row r="74" spans="2:11" x14ac:dyDescent="0.25">
      <c r="B74" s="24" t="s">
        <v>533</v>
      </c>
      <c r="C74" s="339" t="str">
        <f>IF(C75*0.1&lt;C73,"Exceed 10% Rule","")</f>
        <v/>
      </c>
      <c r="D74" s="339" t="str">
        <f>IF(D75*0.1&lt;D73,"Exceed 10% Rule","")</f>
        <v/>
      </c>
      <c r="E74" s="34" t="str">
        <f>IF(E75*0.1&lt;E73,"Exceed 10% Rule","")</f>
        <v/>
      </c>
      <c r="G74" s="593"/>
      <c r="H74" s="572"/>
      <c r="I74" s="594"/>
      <c r="J74" s="595"/>
      <c r="K74" s="522"/>
    </row>
    <row r="75" spans="2:11" x14ac:dyDescent="0.25">
      <c r="B75" s="32" t="s">
        <v>22</v>
      </c>
      <c r="C75" s="344">
        <f>SUM(C66:C73)</f>
        <v>0</v>
      </c>
      <c r="D75" s="344">
        <f>SUM(D66:D73)</f>
        <v>0</v>
      </c>
      <c r="E75" s="31">
        <f>SUM(E66:E73)</f>
        <v>0</v>
      </c>
      <c r="G75" s="596" t="str">
        <f>summ!I27</f>
        <v xml:space="preserve"> </v>
      </c>
      <c r="H75" s="572" t="str">
        <f>CONCATENATE("",E1," Fund Mill Rate")</f>
        <v>2020 Fund Mill Rate</v>
      </c>
      <c r="I75" s="594"/>
      <c r="J75" s="595"/>
      <c r="K75" s="522"/>
    </row>
    <row r="76" spans="2:11" x14ac:dyDescent="0.25">
      <c r="B76" s="16" t="s">
        <v>103</v>
      </c>
      <c r="C76" s="337">
        <f>C64-C75</f>
        <v>0</v>
      </c>
      <c r="D76" s="337">
        <f>D64-D75</f>
        <v>0</v>
      </c>
      <c r="E76" s="22" t="s">
        <v>249</v>
      </c>
      <c r="G76" s="597" t="str">
        <f>summ!F27</f>
        <v xml:space="preserve">  </v>
      </c>
      <c r="H76" s="572" t="str">
        <f>CONCATENATE("",E1-1," Fund Mill Rate")</f>
        <v>2019 Fund Mill Rate</v>
      </c>
      <c r="I76" s="594"/>
      <c r="J76" s="595"/>
      <c r="K76" s="522"/>
    </row>
    <row r="77" spans="2:11" x14ac:dyDescent="0.25">
      <c r="B77" s="255" t="str">
        <f>CONCATENATE("",E1-2,"/",E1-1,"/",E1," Budget Authority Amount:")</f>
        <v>2018/2019/2020 Budget Authority Amount:</v>
      </c>
      <c r="C77" s="52">
        <f>inputOth!B57</f>
        <v>0</v>
      </c>
      <c r="D77" s="52">
        <f>inputPrYr!D28</f>
        <v>0</v>
      </c>
      <c r="E77" s="21">
        <f>E75</f>
        <v>0</v>
      </c>
      <c r="F77" s="39"/>
      <c r="G77" s="599">
        <f>summ!I32</f>
        <v>19.873000000000001</v>
      </c>
      <c r="H77" s="572" t="str">
        <f>CONCATENATE("Total ",E1," Mill Rate")</f>
        <v>Total 2020 Mill Rate</v>
      </c>
      <c r="I77" s="594"/>
      <c r="J77" s="595"/>
      <c r="K77" s="522"/>
    </row>
    <row r="78" spans="2:11" x14ac:dyDescent="0.25">
      <c r="B78" s="37"/>
      <c r="C78" s="894" t="s">
        <v>534</v>
      </c>
      <c r="D78" s="895"/>
      <c r="E78" s="23"/>
      <c r="F78" s="430" t="str">
        <f>IF(E75/0.95-E75&lt;E78,"Exceeds 5%","")</f>
        <v/>
      </c>
      <c r="G78" s="597">
        <f>summ!F32</f>
        <v>19.869</v>
      </c>
      <c r="H78" s="600" t="str">
        <f>CONCATENATE("Total ",E1-1," Mill Rate")</f>
        <v>Total 2019 Mill Rate</v>
      </c>
      <c r="I78" s="601"/>
      <c r="J78" s="602"/>
      <c r="K78" s="522"/>
    </row>
    <row r="79" spans="2:11" x14ac:dyDescent="0.25">
      <c r="B79" s="37"/>
      <c r="C79" s="896" t="s">
        <v>535</v>
      </c>
      <c r="D79" s="897"/>
      <c r="E79" s="21">
        <f>E75+E78</f>
        <v>0</v>
      </c>
    </row>
    <row r="80" spans="2:11" x14ac:dyDescent="0.25">
      <c r="B80" s="37"/>
      <c r="C80" s="49"/>
      <c r="D80" s="41" t="s">
        <v>24</v>
      </c>
      <c r="E80" s="35">
        <f>IF(E79-E64&gt;0,E79-E64,0)</f>
        <v>0</v>
      </c>
      <c r="G80" s="784" t="s">
        <v>825</v>
      </c>
      <c r="H80" s="760"/>
      <c r="I80" s="761"/>
      <c r="J80" s="762" t="str">
        <f>cert!F37</f>
        <v>Yes</v>
      </c>
    </row>
    <row r="81" spans="2:10" x14ac:dyDescent="0.25">
      <c r="B81" s="41"/>
      <c r="C81" s="352" t="s">
        <v>536</v>
      </c>
      <c r="D81" s="626">
        <f>inputOth!$E$42</f>
        <v>2.5899999999999999E-2</v>
      </c>
      <c r="E81" s="21">
        <f>ROUND(IF(D81&gt;0,(E80*D81),0),0)</f>
        <v>0</v>
      </c>
      <c r="G81" s="763" t="str">
        <f>CONCATENATE("Computed ",E1," tax levy limit amount")</f>
        <v>Computed 2020 tax levy limit amount</v>
      </c>
      <c r="H81" s="764"/>
      <c r="I81" s="764"/>
      <c r="J81" s="765">
        <f>computation!J41</f>
        <v>127410</v>
      </c>
    </row>
    <row r="82" spans="2:10" x14ac:dyDescent="0.25">
      <c r="B82" s="3"/>
      <c r="C82" s="892" t="str">
        <f>CONCATENATE("Amount of  ",$E$1-1," Ad Valorem Tax")</f>
        <v>Amount of  2019 Ad Valorem Tax</v>
      </c>
      <c r="D82" s="893"/>
      <c r="E82" s="35">
        <f>E80+E81</f>
        <v>0</v>
      </c>
      <c r="G82" s="766" t="str">
        <f>CONCATENATE("Total ",E1," tax levy amount")</f>
        <v>Total 2020 tax levy amount</v>
      </c>
      <c r="H82" s="767"/>
      <c r="I82" s="767"/>
      <c r="J82" s="768">
        <f>summ!H32</f>
        <v>176446</v>
      </c>
    </row>
    <row r="83" spans="2:10" x14ac:dyDescent="0.25">
      <c r="B83" s="3"/>
      <c r="C83" s="483"/>
      <c r="D83" s="483"/>
      <c r="E83" s="483"/>
      <c r="G83" s="820"/>
      <c r="H83" s="818"/>
      <c r="I83" s="818"/>
      <c r="J83" s="819"/>
    </row>
    <row r="84" spans="2:10" x14ac:dyDescent="0.25">
      <c r="B84" s="244" t="s">
        <v>967</v>
      </c>
      <c r="C84" s="814"/>
      <c r="D84" s="229"/>
      <c r="E84" s="234"/>
      <c r="G84" s="820"/>
      <c r="H84" s="818"/>
      <c r="I84" s="818"/>
      <c r="J84" s="819"/>
    </row>
    <row r="85" spans="2:10" x14ac:dyDescent="0.25">
      <c r="B85" s="815"/>
      <c r="C85" s="813"/>
      <c r="D85" s="8"/>
      <c r="E85" s="235"/>
      <c r="G85" s="820"/>
      <c r="H85" s="818"/>
      <c r="I85" s="818"/>
      <c r="J85" s="819"/>
    </row>
    <row r="86" spans="2:10" x14ac:dyDescent="0.25">
      <c r="B86" s="816"/>
      <c r="C86" s="817"/>
      <c r="D86" s="9"/>
      <c r="E86" s="237"/>
      <c r="G86" s="820"/>
      <c r="H86" s="818"/>
      <c r="I86" s="818"/>
      <c r="J86" s="819"/>
    </row>
    <row r="87" spans="2:10" x14ac:dyDescent="0.25">
      <c r="B87" s="3"/>
      <c r="C87" s="483"/>
      <c r="D87" s="483"/>
      <c r="E87" s="483"/>
      <c r="G87" s="820"/>
      <c r="H87" s="818"/>
      <c r="I87" s="818"/>
      <c r="J87" s="819"/>
    </row>
    <row r="88" spans="2:10" x14ac:dyDescent="0.25">
      <c r="B88" s="41" t="s">
        <v>5</v>
      </c>
      <c r="C88" s="734"/>
      <c r="D88" s="3"/>
      <c r="E88" s="3"/>
    </row>
    <row r="89" spans="2:10" x14ac:dyDescent="0.25">
      <c r="B89" s="68"/>
    </row>
    <row r="99" spans="3:4" hidden="1" x14ac:dyDescent="0.25">
      <c r="C99" s="5" t="str">
        <f>IF(C34&gt;C36,"See Tab A","")</f>
        <v/>
      </c>
      <c r="D99" s="5" t="str">
        <f>IF(D34&gt;D36,"See Tab C","")</f>
        <v/>
      </c>
    </row>
    <row r="100" spans="3:4" hidden="1" x14ac:dyDescent="0.25">
      <c r="C100" s="5" t="str">
        <f>IF(C35&lt;0,"See Tab B","")</f>
        <v/>
      </c>
      <c r="D100" s="5" t="str">
        <f>IF(D35&lt;0,"See Tab D","")</f>
        <v/>
      </c>
    </row>
    <row r="101" spans="3:4" hidden="1" x14ac:dyDescent="0.25">
      <c r="C101" s="5" t="str">
        <f>IF(C75&gt;C77,"See Tab A","")</f>
        <v/>
      </c>
      <c r="D101" s="5" t="str">
        <f>IF(D75&gt;D77,"See Tab C","")</f>
        <v/>
      </c>
    </row>
    <row r="102" spans="3:4" hidden="1" x14ac:dyDescent="0.25">
      <c r="C102" s="5" t="str">
        <f>IF(C76&lt;0,"See Tab B","")</f>
        <v/>
      </c>
      <c r="D102" s="5" t="str">
        <f>IF(D76&lt;0,"See Tab D","")</f>
        <v/>
      </c>
    </row>
  </sheetData>
  <sheetProtection sheet="1"/>
  <mergeCells count="12">
    <mergeCell ref="C37:D37"/>
    <mergeCell ref="C38:D38"/>
    <mergeCell ref="G73:J73"/>
    <mergeCell ref="C82:D82"/>
    <mergeCell ref="C41:D41"/>
    <mergeCell ref="C78:D78"/>
    <mergeCell ref="C79:D79"/>
    <mergeCell ref="G15:J15"/>
    <mergeCell ref="G22:J22"/>
    <mergeCell ref="G32:J32"/>
    <mergeCell ref="G56:J56"/>
    <mergeCell ref="G63:J63"/>
  </mergeCells>
  <phoneticPr fontId="0" type="noConversion"/>
  <conditionalFormatting sqref="E78">
    <cfRule type="cellIs" dxfId="38" priority="3" stopIfTrue="1" operator="greaterThan">
      <formula>$E$75/0.95-$E$75</formula>
    </cfRule>
  </conditionalFormatting>
  <conditionalFormatting sqref="C73">
    <cfRule type="cellIs" dxfId="37" priority="4" stopIfTrue="1" operator="greaterThan">
      <formula>$C$75*0.1</formula>
    </cfRule>
  </conditionalFormatting>
  <conditionalFormatting sqref="D73">
    <cfRule type="cellIs" dxfId="36" priority="5" stopIfTrue="1" operator="greaterThan">
      <formula>$D$75*0.1</formula>
    </cfRule>
  </conditionalFormatting>
  <conditionalFormatting sqref="E73">
    <cfRule type="cellIs" dxfId="35" priority="6" stopIfTrue="1" operator="greaterThan">
      <formula>$E$75*0.1</formula>
    </cfRule>
  </conditionalFormatting>
  <conditionalFormatting sqref="C61">
    <cfRule type="cellIs" dxfId="34" priority="7" stopIfTrue="1" operator="greaterThan">
      <formula>$C$63*0.1</formula>
    </cfRule>
  </conditionalFormatting>
  <conditionalFormatting sqref="D61">
    <cfRule type="cellIs" dxfId="33" priority="8" stopIfTrue="1" operator="greaterThan">
      <formula>$D$63*0.1</formula>
    </cfRule>
  </conditionalFormatting>
  <conditionalFormatting sqref="E37">
    <cfRule type="cellIs" dxfId="32" priority="9" stopIfTrue="1" operator="greaterThan">
      <formula>$E$34/0.95-$E$34</formula>
    </cfRule>
  </conditionalFormatting>
  <conditionalFormatting sqref="C32">
    <cfRule type="cellIs" dxfId="31" priority="10" stopIfTrue="1" operator="greaterThan">
      <formula>$C$34*0.1</formula>
    </cfRule>
  </conditionalFormatting>
  <conditionalFormatting sqref="D32">
    <cfRule type="cellIs" dxfId="30" priority="11" stopIfTrue="1" operator="greaterThan">
      <formula>$D$34*0.1</formula>
    </cfRule>
  </conditionalFormatting>
  <conditionalFormatting sqref="E32">
    <cfRule type="cellIs" dxfId="29" priority="12" stopIfTrue="1" operator="greaterThan">
      <formula>$E$34*0.1</formula>
    </cfRule>
  </conditionalFormatting>
  <conditionalFormatting sqref="C20">
    <cfRule type="cellIs" dxfId="28" priority="13" stopIfTrue="1" operator="greaterThan">
      <formula>$C$22*0.1</formula>
    </cfRule>
  </conditionalFormatting>
  <conditionalFormatting sqref="D20">
    <cfRule type="cellIs" dxfId="27" priority="14" stopIfTrue="1" operator="greaterThan">
      <formula>$D$22*0.1</formula>
    </cfRule>
  </conditionalFormatting>
  <conditionalFormatting sqref="C76 C35">
    <cfRule type="cellIs" dxfId="26" priority="17" stopIfTrue="1" operator="lessThan">
      <formula>0</formula>
    </cfRule>
  </conditionalFormatting>
  <conditionalFormatting sqref="C75">
    <cfRule type="cellIs" dxfId="25" priority="18" stopIfTrue="1" operator="greaterThan">
      <formula>$C$77</formula>
    </cfRule>
  </conditionalFormatting>
  <conditionalFormatting sqref="D75">
    <cfRule type="cellIs" dxfId="24" priority="19" stopIfTrue="1" operator="greaterThan">
      <formula>$D$77</formula>
    </cfRule>
  </conditionalFormatting>
  <conditionalFormatting sqref="C34">
    <cfRule type="cellIs" dxfId="23" priority="20" stopIfTrue="1" operator="greaterThan">
      <formula>$C$36</formula>
    </cfRule>
  </conditionalFormatting>
  <conditionalFormatting sqref="D34">
    <cfRule type="cellIs" dxfId="22" priority="21" stopIfTrue="1" operator="greaterThan">
      <formula>$D$36</formula>
    </cfRule>
  </conditionalFormatting>
  <conditionalFormatting sqref="D35 D76">
    <cfRule type="cellIs" dxfId="21" priority="2" stopIfTrue="1" operator="lessThan">
      <formula>0</formula>
    </cfRule>
  </conditionalFormatting>
  <conditionalFormatting sqref="E20">
    <cfRule type="cellIs" dxfId="20" priority="38" stopIfTrue="1" operator="greaterThan">
      <formula>$E$22*0.1+$E$41</formula>
    </cfRule>
  </conditionalFormatting>
  <conditionalFormatting sqref="E61">
    <cfRule type="cellIs" dxfId="19" priority="39" stopIfTrue="1" operator="greaterThan">
      <formula>$E$63*0.1+$E$82</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88"/>
  <sheetViews>
    <sheetView topLeftCell="A46" workbookViewId="0">
      <selection activeCell="F64" sqref="F64"/>
    </sheetView>
  </sheetViews>
  <sheetFormatPr defaultColWidth="8.796875" defaultRowHeight="15.75" x14ac:dyDescent="0.25"/>
  <cols>
    <col min="1" max="1" width="10.69921875" style="5" customWidth="1"/>
    <col min="2" max="2" width="21"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ols>
  <sheetData>
    <row r="1" spans="1:8" x14ac:dyDescent="0.25">
      <c r="A1" s="839" t="s">
        <v>792</v>
      </c>
      <c r="B1" s="840"/>
      <c r="C1" s="840"/>
      <c r="D1" s="840"/>
      <c r="E1" s="840"/>
    </row>
    <row r="2" spans="1:8" x14ac:dyDescent="0.25">
      <c r="A2" s="271"/>
      <c r="B2" s="3"/>
      <c r="C2" s="3"/>
      <c r="D2" s="3"/>
      <c r="E2" s="3"/>
    </row>
    <row r="3" spans="1:8" x14ac:dyDescent="0.25">
      <c r="A3" s="56" t="s">
        <v>799</v>
      </c>
      <c r="B3" s="3"/>
      <c r="C3" s="3"/>
      <c r="D3" s="675" t="s">
        <v>982</v>
      </c>
      <c r="E3" s="8"/>
    </row>
    <row r="4" spans="1:8" x14ac:dyDescent="0.25">
      <c r="A4" s="56" t="s">
        <v>800</v>
      </c>
      <c r="B4" s="3"/>
      <c r="C4" s="3"/>
      <c r="D4" s="675" t="s">
        <v>983</v>
      </c>
      <c r="E4" s="8"/>
    </row>
    <row r="5" spans="1:8" x14ac:dyDescent="0.25">
      <c r="A5" s="3"/>
      <c r="B5" s="3"/>
      <c r="C5" s="3"/>
      <c r="D5" s="3"/>
      <c r="E5" s="3"/>
    </row>
    <row r="6" spans="1:8" x14ac:dyDescent="0.25">
      <c r="A6" s="6" t="s">
        <v>793</v>
      </c>
      <c r="B6" s="3"/>
      <c r="C6" s="3"/>
      <c r="D6" s="272">
        <v>2020</v>
      </c>
      <c r="E6" s="3"/>
    </row>
    <row r="7" spans="1:8" x14ac:dyDescent="0.25">
      <c r="A7" s="6"/>
      <c r="B7" s="3"/>
      <c r="C7" s="3"/>
      <c r="D7" s="3"/>
      <c r="E7" s="3"/>
    </row>
    <row r="8" spans="1:8" x14ac:dyDescent="0.25">
      <c r="A8" s="6" t="s">
        <v>964</v>
      </c>
      <c r="B8" s="3"/>
      <c r="C8" s="3"/>
      <c r="D8" s="794">
        <v>2.5000000000000001E-2</v>
      </c>
      <c r="E8" s="3"/>
    </row>
    <row r="9" spans="1:8" x14ac:dyDescent="0.25">
      <c r="A9" s="3"/>
      <c r="B9" s="3"/>
      <c r="C9" s="3"/>
      <c r="D9" s="3"/>
      <c r="E9" s="3"/>
    </row>
    <row r="10" spans="1:8" ht="15.75" customHeight="1" x14ac:dyDescent="0.25">
      <c r="A10" s="841" t="s">
        <v>794</v>
      </c>
      <c r="B10" s="841"/>
      <c r="C10" s="841"/>
      <c r="D10" s="841"/>
      <c r="E10" s="841"/>
      <c r="F10" s="3"/>
      <c r="G10" s="842" t="s">
        <v>796</v>
      </c>
      <c r="H10" s="843"/>
    </row>
    <row r="11" spans="1:8" x14ac:dyDescent="0.25">
      <c r="A11" s="841"/>
      <c r="B11" s="841"/>
      <c r="C11" s="841"/>
      <c r="D11" s="841"/>
      <c r="E11" s="841"/>
      <c r="F11" s="3"/>
      <c r="G11" s="844"/>
      <c r="H11" s="845"/>
    </row>
    <row r="12" spans="1:8" x14ac:dyDescent="0.25">
      <c r="A12" s="841"/>
      <c r="B12" s="841"/>
      <c r="C12" s="841"/>
      <c r="D12" s="841"/>
      <c r="E12" s="841"/>
      <c r="F12" s="3"/>
      <c r="G12" s="844"/>
      <c r="H12" s="845"/>
    </row>
    <row r="13" spans="1:8" x14ac:dyDescent="0.25">
      <c r="A13" s="837" t="s">
        <v>795</v>
      </c>
      <c r="B13" s="838"/>
      <c r="C13" s="838"/>
      <c r="D13" s="838"/>
      <c r="E13" s="838"/>
      <c r="F13" s="3"/>
      <c r="G13" s="844"/>
      <c r="H13" s="845"/>
    </row>
    <row r="14" spans="1:8" x14ac:dyDescent="0.25">
      <c r="A14" s="56"/>
      <c r="B14" s="3"/>
      <c r="C14" s="3"/>
      <c r="D14" s="3"/>
      <c r="E14" s="3"/>
      <c r="F14" s="3"/>
      <c r="G14" s="844"/>
      <c r="H14" s="845"/>
    </row>
    <row r="15" spans="1:8" x14ac:dyDescent="0.25">
      <c r="A15" s="729" t="s">
        <v>117</v>
      </c>
      <c r="B15" s="728"/>
      <c r="C15" s="3"/>
      <c r="D15" s="38"/>
      <c r="E15" s="273"/>
      <c r="F15" s="3"/>
      <c r="G15" s="844"/>
      <c r="H15" s="845"/>
    </row>
    <row r="16" spans="1:8" x14ac:dyDescent="0.25">
      <c r="A16" s="727" t="str">
        <f>CONCATENATE("the ",D6-1," Budget, Certificate Page:")</f>
        <v>the 2019 Budget, Certificate Page:</v>
      </c>
      <c r="B16" s="726"/>
      <c r="C16" s="38"/>
      <c r="D16" s="3"/>
      <c r="E16" s="3"/>
      <c r="F16" s="3"/>
      <c r="G16" s="846"/>
      <c r="H16" s="847"/>
    </row>
    <row r="17" spans="1:8" x14ac:dyDescent="0.25">
      <c r="A17" s="725" t="s">
        <v>259</v>
      </c>
      <c r="B17" s="724"/>
      <c r="C17" s="38"/>
      <c r="D17" s="274">
        <f>$D$6-1</f>
        <v>2019</v>
      </c>
      <c r="E17" s="275">
        <f>$D$6-2</f>
        <v>2018</v>
      </c>
      <c r="F17" s="520"/>
      <c r="G17" s="158" t="s">
        <v>634</v>
      </c>
      <c r="H17" s="166" t="s">
        <v>25</v>
      </c>
    </row>
    <row r="18" spans="1:8" x14ac:dyDescent="0.25">
      <c r="A18" s="11" t="s">
        <v>231</v>
      </c>
      <c r="B18" s="3"/>
      <c r="C18" s="276" t="s">
        <v>230</v>
      </c>
      <c r="D18" s="277" t="s">
        <v>276</v>
      </c>
      <c r="E18" s="278" t="s">
        <v>12</v>
      </c>
      <c r="F18" s="520"/>
      <c r="G18" s="164" t="str">
        <f>CONCATENATE("",E17," Ad Valorem Tax")</f>
        <v>2018 Ad Valorem Tax</v>
      </c>
      <c r="H18" s="662">
        <v>0</v>
      </c>
    </row>
    <row r="19" spans="1:8" x14ac:dyDescent="0.25">
      <c r="A19" s="3"/>
      <c r="B19" s="60" t="s">
        <v>232</v>
      </c>
      <c r="C19" s="148" t="s">
        <v>233</v>
      </c>
      <c r="D19" s="174">
        <v>222200</v>
      </c>
      <c r="E19" s="174">
        <v>123381</v>
      </c>
      <c r="F19" s="520"/>
      <c r="G19" s="21">
        <f>IF(H18&gt;0,ROUND(E19-(E19*H18),0),0)</f>
        <v>0</v>
      </c>
    </row>
    <row r="20" spans="1:8" x14ac:dyDescent="0.25">
      <c r="A20" s="3"/>
      <c r="B20" s="60" t="s">
        <v>257</v>
      </c>
      <c r="C20" s="148" t="s">
        <v>122</v>
      </c>
      <c r="D20" s="174"/>
      <c r="E20" s="174"/>
      <c r="F20" s="520"/>
      <c r="G20" s="21">
        <f>IF(H18&gt;0,ROUND(E20-(E20*H18),0),0)</f>
        <v>0</v>
      </c>
    </row>
    <row r="21" spans="1:8" x14ac:dyDescent="0.25">
      <c r="A21" s="3"/>
      <c r="B21" s="60" t="s">
        <v>702</v>
      </c>
      <c r="C21" s="619" t="s">
        <v>703</v>
      </c>
      <c r="D21" s="174"/>
      <c r="E21" s="174"/>
      <c r="F21" s="520"/>
      <c r="G21" s="21">
        <f>IF(H18&gt;0,ROUND(E21-(E21*H18),0),0)</f>
        <v>0</v>
      </c>
    </row>
    <row r="22" spans="1:8" x14ac:dyDescent="0.25">
      <c r="A22" s="3"/>
      <c r="B22" s="60" t="s">
        <v>234</v>
      </c>
      <c r="C22" s="166" t="s">
        <v>258</v>
      </c>
      <c r="D22" s="174"/>
      <c r="E22" s="174"/>
      <c r="F22" s="520"/>
      <c r="G22" s="21">
        <f>IF(H18&gt;0,ROUND(E22-(E22*H18),0),0)</f>
        <v>0</v>
      </c>
    </row>
    <row r="23" spans="1:8" x14ac:dyDescent="0.25">
      <c r="A23" s="3"/>
      <c r="B23" s="334"/>
      <c r="C23" s="335"/>
      <c r="D23" s="174"/>
      <c r="E23" s="174"/>
      <c r="F23" s="520"/>
      <c r="G23" s="21">
        <f>IF(H18&gt;0,ROUND(E23-(E23*H18),0),0)</f>
        <v>0</v>
      </c>
    </row>
    <row r="24" spans="1:8" x14ac:dyDescent="0.25">
      <c r="A24" s="3"/>
      <c r="B24" s="174"/>
      <c r="C24" s="346"/>
      <c r="D24" s="174"/>
      <c r="E24" s="174"/>
      <c r="F24" s="520"/>
      <c r="G24" s="21">
        <f>IF(H18&gt;0,ROUND(E24-(E24*H18),0),0)</f>
        <v>0</v>
      </c>
    </row>
    <row r="25" spans="1:8" x14ac:dyDescent="0.25">
      <c r="A25" s="3"/>
      <c r="B25" s="64"/>
      <c r="C25" s="346"/>
      <c r="D25" s="174"/>
      <c r="E25" s="174"/>
      <c r="F25" s="520"/>
      <c r="G25" s="21">
        <f>IF(H18&gt;0,ROUND(E25-(E25*H18),0),0)</f>
        <v>0</v>
      </c>
    </row>
    <row r="26" spans="1:8" x14ac:dyDescent="0.25">
      <c r="A26" s="3"/>
      <c r="B26" s="64"/>
      <c r="C26" s="346"/>
      <c r="D26" s="174"/>
      <c r="E26" s="174"/>
      <c r="F26" s="520"/>
      <c r="G26" s="21">
        <f>IF(H18&gt;0,ROUND(E26-(E26*H18),0),0)</f>
        <v>0</v>
      </c>
    </row>
    <row r="27" spans="1:8" x14ac:dyDescent="0.25">
      <c r="A27" s="3"/>
      <c r="B27" s="64"/>
      <c r="C27" s="346"/>
      <c r="D27" s="174"/>
      <c r="E27" s="174"/>
      <c r="F27" s="520"/>
      <c r="G27" s="21">
        <f>IF(H18&gt;0,ROUND(E27-(E27*H18),0),0)</f>
        <v>0</v>
      </c>
    </row>
    <row r="28" spans="1:8" x14ac:dyDescent="0.25">
      <c r="A28" s="3"/>
      <c r="B28" s="64"/>
      <c r="C28" s="346"/>
      <c r="D28" s="174"/>
      <c r="E28" s="174"/>
      <c r="F28" s="520"/>
      <c r="G28" s="21">
        <f>IF(H18&gt;0,ROUND(E28-(E28*H18),0),0)</f>
        <v>0</v>
      </c>
    </row>
    <row r="29" spans="1:8" x14ac:dyDescent="0.25">
      <c r="A29" s="279" t="str">
        <f>CONCATENATE("Total Ad Valorem Tax for ",D6-1," Budgeted Year")</f>
        <v>Total Ad Valorem Tax for 2019 Budgeted Year</v>
      </c>
      <c r="B29" s="9"/>
      <c r="C29" s="245"/>
      <c r="D29" s="280"/>
      <c r="E29" s="281">
        <f>SUM(E19:E28)</f>
        <v>123381</v>
      </c>
      <c r="F29" s="730"/>
    </row>
    <row r="30" spans="1:8" x14ac:dyDescent="0.25">
      <c r="A30" s="8"/>
      <c r="B30" s="8"/>
      <c r="C30" s="8"/>
      <c r="D30" s="13"/>
      <c r="E30" s="127"/>
    </row>
    <row r="31" spans="1:8" x14ac:dyDescent="0.25">
      <c r="A31" s="3" t="s">
        <v>113</v>
      </c>
      <c r="B31" s="3"/>
      <c r="C31" s="3"/>
      <c r="D31" s="3"/>
      <c r="E31" s="3"/>
    </row>
    <row r="32" spans="1:8" x14ac:dyDescent="0.25">
      <c r="A32" s="3"/>
      <c r="B32" s="211"/>
      <c r="C32" s="3"/>
      <c r="D32" s="25"/>
      <c r="E32" s="8"/>
    </row>
    <row r="33" spans="1:5" x14ac:dyDescent="0.25">
      <c r="A33" s="3"/>
      <c r="B33" s="211"/>
      <c r="C33" s="3"/>
      <c r="D33" s="25"/>
      <c r="E33" s="8"/>
    </row>
    <row r="34" spans="1:5" x14ac:dyDescent="0.25">
      <c r="A34" s="279" t="str">
        <f>CONCATENATE("Total Expenditures for ",D6-1,"")</f>
        <v>Total Expenditures for 2019</v>
      </c>
      <c r="B34" s="282"/>
      <c r="C34" s="237"/>
      <c r="D34" s="145">
        <f>SUM(D19:D28,D32:D33)</f>
        <v>222200</v>
      </c>
      <c r="E34" s="3"/>
    </row>
    <row r="35" spans="1:5" x14ac:dyDescent="0.25">
      <c r="A35" s="3"/>
      <c r="B35" s="3"/>
      <c r="C35" s="3"/>
      <c r="D35" s="3"/>
      <c r="E35" s="3"/>
    </row>
    <row r="36" spans="1:5" x14ac:dyDescent="0.25">
      <c r="A36" s="250" t="s">
        <v>275</v>
      </c>
      <c r="B36" s="8"/>
      <c r="C36" s="3"/>
      <c r="D36" s="3"/>
      <c r="E36" s="3"/>
    </row>
    <row r="37" spans="1:5" x14ac:dyDescent="0.25">
      <c r="A37" s="283">
        <v>1</v>
      </c>
      <c r="B37" s="211"/>
      <c r="C37" s="3"/>
      <c r="D37" s="3"/>
      <c r="E37" s="3"/>
    </row>
    <row r="38" spans="1:5" x14ac:dyDescent="0.25">
      <c r="A38" s="283">
        <v>2</v>
      </c>
      <c r="B38" s="211"/>
      <c r="C38" s="3"/>
      <c r="D38" s="3"/>
      <c r="E38" s="3"/>
    </row>
    <row r="39" spans="1:5" x14ac:dyDescent="0.25">
      <c r="A39" s="283">
        <v>3</v>
      </c>
      <c r="B39" s="211"/>
      <c r="C39" s="3"/>
      <c r="D39" s="3"/>
      <c r="E39" s="3"/>
    </row>
    <row r="40" spans="1:5" x14ac:dyDescent="0.25">
      <c r="A40" s="283">
        <v>4</v>
      </c>
      <c r="B40" s="211"/>
      <c r="C40" s="3"/>
      <c r="D40" s="3"/>
      <c r="E40" s="3"/>
    </row>
    <row r="41" spans="1:5" x14ac:dyDescent="0.25">
      <c r="A41" s="283">
        <v>5</v>
      </c>
      <c r="B41" s="211"/>
      <c r="C41" s="3"/>
      <c r="D41" s="3"/>
      <c r="E41" s="3"/>
    </row>
    <row r="42" spans="1:5" x14ac:dyDescent="0.25">
      <c r="A42" s="3"/>
      <c r="B42" s="3"/>
      <c r="C42" s="3"/>
      <c r="D42" s="3"/>
      <c r="E42" s="3"/>
    </row>
    <row r="43" spans="1:5" ht="15.75" customHeight="1" x14ac:dyDescent="0.25">
      <c r="A43" s="729" t="s">
        <v>117</v>
      </c>
      <c r="B43" s="728"/>
      <c r="C43" s="3"/>
      <c r="D43" s="835" t="str">
        <f>CONCATENATE("",D6-3," Tax Rate                    (",D6-2," Column)")</f>
        <v>2017 Tax Rate                    (2018 Column)</v>
      </c>
      <c r="E43" s="3"/>
    </row>
    <row r="44" spans="1:5" x14ac:dyDescent="0.25">
      <c r="A44" s="725" t="str">
        <f>CONCATENATE("the ",D6-1," Budget, Budget Summary Page:")</f>
        <v>the 2019 Budget, Budget Summary Page:</v>
      </c>
      <c r="B44" s="722"/>
      <c r="C44" s="3"/>
      <c r="D44" s="836"/>
      <c r="E44" s="3"/>
    </row>
    <row r="45" spans="1:5" x14ac:dyDescent="0.25">
      <c r="A45" s="3"/>
      <c r="B45" s="723" t="str">
        <f>B19</f>
        <v>General</v>
      </c>
      <c r="C45" s="3"/>
      <c r="D45" s="284">
        <v>15.962999999999999</v>
      </c>
      <c r="E45" s="3"/>
    </row>
    <row r="46" spans="1:5" x14ac:dyDescent="0.25">
      <c r="A46" s="3"/>
      <c r="B46" s="72" t="str">
        <f>B20</f>
        <v>Debt Service</v>
      </c>
      <c r="C46" s="3"/>
      <c r="D46" s="285"/>
      <c r="E46" s="3"/>
    </row>
    <row r="47" spans="1:5" x14ac:dyDescent="0.25">
      <c r="A47" s="3"/>
      <c r="B47" s="72" t="str">
        <f>B21</f>
        <v>Library</v>
      </c>
      <c r="C47" s="3"/>
      <c r="D47" s="285"/>
      <c r="E47" s="3"/>
    </row>
    <row r="48" spans="1:5" x14ac:dyDescent="0.25">
      <c r="A48" s="3"/>
      <c r="B48" s="72" t="str">
        <f t="shared" ref="B48:B54" si="0">B22</f>
        <v>Road</v>
      </c>
      <c r="C48" s="3"/>
      <c r="D48" s="285"/>
      <c r="E48" s="3"/>
    </row>
    <row r="49" spans="1:5" x14ac:dyDescent="0.25">
      <c r="A49" s="3"/>
      <c r="B49" s="60">
        <f t="shared" si="0"/>
        <v>0</v>
      </c>
      <c r="C49" s="3"/>
      <c r="D49" s="285"/>
      <c r="E49" s="3"/>
    </row>
    <row r="50" spans="1:5" x14ac:dyDescent="0.25">
      <c r="A50" s="3"/>
      <c r="B50" s="60">
        <f t="shared" si="0"/>
        <v>0</v>
      </c>
      <c r="C50" s="3"/>
      <c r="D50" s="285"/>
      <c r="E50" s="3"/>
    </row>
    <row r="51" spans="1:5" x14ac:dyDescent="0.25">
      <c r="A51" s="3"/>
      <c r="B51" s="60">
        <f t="shared" si="0"/>
        <v>0</v>
      </c>
      <c r="C51" s="3"/>
      <c r="D51" s="285"/>
      <c r="E51" s="3"/>
    </row>
    <row r="52" spans="1:5" x14ac:dyDescent="0.25">
      <c r="A52" s="3"/>
      <c r="B52" s="60">
        <f t="shared" si="0"/>
        <v>0</v>
      </c>
      <c r="C52" s="3"/>
      <c r="D52" s="285"/>
      <c r="E52" s="3"/>
    </row>
    <row r="53" spans="1:5" x14ac:dyDescent="0.25">
      <c r="A53" s="3"/>
      <c r="B53" s="60">
        <f t="shared" si="0"/>
        <v>0</v>
      </c>
      <c r="C53" s="3"/>
      <c r="D53" s="285"/>
      <c r="E53" s="3"/>
    </row>
    <row r="54" spans="1:5" x14ac:dyDescent="0.25">
      <c r="A54" s="3"/>
      <c r="B54" s="60">
        <f t="shared" si="0"/>
        <v>0</v>
      </c>
      <c r="C54" s="3"/>
      <c r="D54" s="285"/>
      <c r="E54" s="3"/>
    </row>
    <row r="55" spans="1:5" ht="16.5" thickBot="1" x14ac:dyDescent="0.3">
      <c r="A55" s="59" t="str">
        <f>CONCATENATE("Total ",D6-3," Tax Levy Rate")</f>
        <v>Total 2017 Tax Levy Rate</v>
      </c>
      <c r="B55" s="286"/>
      <c r="C55" s="237"/>
      <c r="D55" s="287">
        <f>SUM(D45:D54)</f>
        <v>15.962999999999999</v>
      </c>
      <c r="E55" s="3"/>
    </row>
    <row r="56" spans="1:5" ht="16.5" thickTop="1" x14ac:dyDescent="0.25">
      <c r="A56" s="3"/>
      <c r="B56" s="3"/>
      <c r="C56" s="3"/>
      <c r="D56" s="3"/>
      <c r="E56" s="3"/>
    </row>
    <row r="57" spans="1:5" x14ac:dyDescent="0.25">
      <c r="A57" s="721" t="str">
        <f>CONCATENATE("Total Tax Levied (",D6-2," budget column)")</f>
        <v>Total Tax Levied (2018 budget column)</v>
      </c>
      <c r="B57" s="720"/>
      <c r="C57" s="9"/>
      <c r="D57" s="237"/>
      <c r="E57" s="174">
        <v>91191</v>
      </c>
    </row>
    <row r="58" spans="1:5" x14ac:dyDescent="0.25">
      <c r="A58" s="721" t="str">
        <f>CONCATENATE("Assessed Valuation (",D6-2," budget column)")</f>
        <v>Assessed Valuation (2018 budget column)</v>
      </c>
      <c r="B58" s="720"/>
      <c r="C58" s="245"/>
      <c r="D58" s="17"/>
      <c r="E58" s="174">
        <v>5712965</v>
      </c>
    </row>
    <row r="59" spans="1:5" x14ac:dyDescent="0.25">
      <c r="A59" s="250"/>
      <c r="B59" s="8"/>
      <c r="C59" s="8"/>
      <c r="D59" s="8"/>
      <c r="E59" s="256"/>
    </row>
    <row r="60" spans="1:5" x14ac:dyDescent="0.25">
      <c r="A60" s="3"/>
      <c r="B60" s="3"/>
      <c r="C60" s="3"/>
      <c r="D60" s="3"/>
      <c r="E60" s="44"/>
    </row>
    <row r="61" spans="1:5" x14ac:dyDescent="0.25">
      <c r="A61" s="719" t="s">
        <v>165</v>
      </c>
      <c r="B61" s="728"/>
      <c r="C61" s="116"/>
      <c r="D61" s="289">
        <f>D6-3</f>
        <v>2017</v>
      </c>
      <c r="E61" s="289">
        <f>D6-2</f>
        <v>2018</v>
      </c>
    </row>
    <row r="62" spans="1:5" x14ac:dyDescent="0.25">
      <c r="A62" s="718" t="s">
        <v>131</v>
      </c>
      <c r="B62" s="717"/>
      <c r="C62" s="290"/>
      <c r="D62" s="25">
        <v>0</v>
      </c>
      <c r="E62" s="25">
        <v>0</v>
      </c>
    </row>
    <row r="63" spans="1:5" x14ac:dyDescent="0.25">
      <c r="A63" s="716" t="s">
        <v>132</v>
      </c>
      <c r="B63" s="720"/>
      <c r="C63" s="291"/>
      <c r="D63" s="25">
        <v>0</v>
      </c>
      <c r="E63" s="25">
        <v>0</v>
      </c>
    </row>
    <row r="64" spans="1:5" x14ac:dyDescent="0.25">
      <c r="A64" s="716" t="s">
        <v>133</v>
      </c>
      <c r="B64" s="720"/>
      <c r="C64" s="291"/>
      <c r="D64" s="25">
        <v>0</v>
      </c>
      <c r="E64" s="25">
        <v>28962</v>
      </c>
    </row>
    <row r="65" spans="1:5" x14ac:dyDescent="0.25">
      <c r="A65" s="716"/>
      <c r="B65" s="720"/>
      <c r="C65" s="292"/>
      <c r="D65" s="25"/>
      <c r="E65" s="25"/>
    </row>
    <row r="66" spans="1:5" x14ac:dyDescent="0.25">
      <c r="A66" s="1"/>
      <c r="B66" s="1"/>
      <c r="C66" s="1"/>
      <c r="D66" s="1"/>
      <c r="E66" s="1"/>
    </row>
    <row r="67" spans="1:5" x14ac:dyDescent="0.25">
      <c r="A67" s="1"/>
      <c r="B67" s="1"/>
      <c r="C67" s="1"/>
      <c r="D67" s="1"/>
      <c r="E67" s="1"/>
    </row>
    <row r="68" spans="1:5" x14ac:dyDescent="0.25">
      <c r="A68" s="1"/>
      <c r="B68" s="1"/>
      <c r="C68" s="1"/>
      <c r="D68" s="1"/>
      <c r="E68" s="1"/>
    </row>
    <row r="69" spans="1:5" x14ac:dyDescent="0.25">
      <c r="A69" s="1"/>
      <c r="B69" s="1"/>
      <c r="C69" s="1"/>
      <c r="D69" s="1"/>
      <c r="E69" s="1"/>
    </row>
    <row r="70" spans="1:5" x14ac:dyDescent="0.25">
      <c r="A70" s="1"/>
      <c r="B70" s="1"/>
      <c r="C70" s="1"/>
      <c r="D70" s="1"/>
      <c r="E70" s="1"/>
    </row>
    <row r="71" spans="1:5" x14ac:dyDescent="0.25">
      <c r="A71" s="1"/>
      <c r="B71" s="1"/>
      <c r="C71" s="1"/>
      <c r="D71" s="1"/>
      <c r="E71" s="1"/>
    </row>
    <row r="72" spans="1:5" x14ac:dyDescent="0.25">
      <c r="A72" s="1"/>
      <c r="B72" s="1"/>
      <c r="C72" s="1"/>
      <c r="D72" s="1"/>
      <c r="E72" s="1"/>
    </row>
    <row r="73" spans="1:5" x14ac:dyDescent="0.25">
      <c r="A73" s="1"/>
      <c r="B73" s="1"/>
      <c r="C73" s="1"/>
      <c r="D73" s="1"/>
      <c r="E73" s="1"/>
    </row>
    <row r="74" spans="1:5" x14ac:dyDescent="0.25">
      <c r="A74" s="1"/>
      <c r="B74" s="1"/>
      <c r="C74" s="1"/>
      <c r="D74" s="1"/>
      <c r="E74" s="1"/>
    </row>
    <row r="75" spans="1:5" x14ac:dyDescent="0.25">
      <c r="A75" s="1"/>
      <c r="B75" s="1"/>
      <c r="C75" s="1"/>
      <c r="D75" s="1"/>
      <c r="E75" s="1"/>
    </row>
    <row r="76" spans="1:5" s="293" customFormat="1" x14ac:dyDescent="0.25">
      <c r="A76" s="1"/>
      <c r="B76" s="1"/>
      <c r="C76" s="1"/>
      <c r="D76" s="1"/>
      <c r="E76" s="1"/>
    </row>
    <row r="77" spans="1:5" x14ac:dyDescent="0.25">
      <c r="A77" s="1"/>
      <c r="B77" s="1"/>
      <c r="C77" s="1"/>
      <c r="D77" s="1"/>
      <c r="E77" s="1"/>
    </row>
    <row r="78" spans="1:5" x14ac:dyDescent="0.25">
      <c r="A78" s="1"/>
      <c r="B78" s="1"/>
      <c r="C78" s="1"/>
      <c r="D78" s="1"/>
      <c r="E78" s="1"/>
    </row>
    <row r="79" spans="1:5" x14ac:dyDescent="0.25">
      <c r="A79" s="1"/>
      <c r="B79" s="1"/>
      <c r="C79" s="1"/>
      <c r="D79" s="1"/>
      <c r="E79" s="1"/>
    </row>
    <row r="80" spans="1:5" x14ac:dyDescent="0.25">
      <c r="A80" s="1"/>
      <c r="B80" s="1"/>
      <c r="C80" s="1"/>
      <c r="D80" s="1"/>
      <c r="E80" s="1"/>
    </row>
    <row r="81" spans="1:7" x14ac:dyDescent="0.25">
      <c r="A81" s="1"/>
      <c r="B81" s="1"/>
      <c r="C81" s="1"/>
      <c r="D81" s="1"/>
      <c r="E81" s="1"/>
    </row>
    <row r="82" spans="1:7" x14ac:dyDescent="0.25">
      <c r="A82" s="1"/>
      <c r="B82" s="1"/>
      <c r="C82" s="1"/>
      <c r="D82" s="1"/>
      <c r="E82" s="1"/>
    </row>
    <row r="83" spans="1:7" x14ac:dyDescent="0.25">
      <c r="A83" s="1"/>
      <c r="B83" s="1"/>
      <c r="C83" s="1"/>
      <c r="D83" s="1"/>
      <c r="E83" s="1"/>
    </row>
    <row r="84" spans="1:7" x14ac:dyDescent="0.25">
      <c r="A84" s="1"/>
      <c r="B84" s="1"/>
      <c r="C84" s="1"/>
      <c r="D84" s="1"/>
      <c r="E84" s="1"/>
    </row>
    <row r="85" spans="1:7" x14ac:dyDescent="0.25">
      <c r="A85" s="1"/>
      <c r="B85" s="1"/>
      <c r="C85" s="1"/>
      <c r="D85" s="1"/>
      <c r="E85" s="1"/>
    </row>
    <row r="86" spans="1:7" s="68" customFormat="1" x14ac:dyDescent="0.25">
      <c r="A86" s="1"/>
      <c r="B86" s="1"/>
      <c r="C86" s="1"/>
      <c r="D86" s="1"/>
      <c r="E86" s="1"/>
      <c r="G86" s="5"/>
    </row>
    <row r="87" spans="1:7" s="68" customFormat="1" x14ac:dyDescent="0.25">
      <c r="A87" s="1"/>
      <c r="B87" s="1"/>
      <c r="C87" s="1"/>
      <c r="D87" s="1"/>
      <c r="E87" s="1"/>
      <c r="G87" s="5"/>
    </row>
    <row r="88" spans="1:7" x14ac:dyDescent="0.25">
      <c r="A88" s="1"/>
      <c r="B88" s="1"/>
      <c r="C88" s="1"/>
      <c r="D88" s="1"/>
      <c r="E88" s="1"/>
    </row>
  </sheetData>
  <mergeCells count="5">
    <mergeCell ref="D43:D44"/>
    <mergeCell ref="A13:E13"/>
    <mergeCell ref="A1:E1"/>
    <mergeCell ref="A10:E12"/>
    <mergeCell ref="G10:H16"/>
  </mergeCells>
  <phoneticPr fontId="0" type="noConversion"/>
  <pageMargins left="0.3" right="0.3" top="0.5" bottom="0.5" header="0.3" footer="0.3"/>
  <pageSetup fitToHeight="2" orientation="portrait" blackAndWhite="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pageSetUpPr fitToPage="1"/>
  </sheetPr>
  <dimension ref="B1:E65"/>
  <sheetViews>
    <sheetView topLeftCell="A58" workbookViewId="0">
      <selection activeCell="J63" sqref="J63"/>
    </sheetView>
  </sheetViews>
  <sheetFormatPr defaultColWidth="8.796875" defaultRowHeight="15.75" x14ac:dyDescent="0.25"/>
  <cols>
    <col min="1" max="1" width="2.3984375" style="68" customWidth="1"/>
    <col min="2" max="2" width="31" style="68" customWidth="1"/>
    <col min="3" max="5" width="14.19921875" style="68" customWidth="1"/>
    <col min="6" max="16384" width="8.796875" style="68"/>
  </cols>
  <sheetData>
    <row r="1" spans="2:5" x14ac:dyDescent="0.25">
      <c r="B1" s="2" t="str">
        <f>inputPrYr!D3</f>
        <v>ROVOHL TOWNSHIP</v>
      </c>
      <c r="C1" s="3"/>
      <c r="D1" s="3"/>
      <c r="E1" s="4">
        <f>inputPrYr!D6</f>
        <v>2020</v>
      </c>
    </row>
    <row r="2" spans="2:5" x14ac:dyDescent="0.25">
      <c r="B2" s="3"/>
      <c r="C2" s="3"/>
      <c r="D2" s="3"/>
      <c r="E2" s="41"/>
    </row>
    <row r="3" spans="2:5" x14ac:dyDescent="0.25">
      <c r="B3" s="6" t="s">
        <v>114</v>
      </c>
      <c r="C3" s="54"/>
      <c r="D3" s="54"/>
      <c r="E3" s="54"/>
    </row>
    <row r="4" spans="2:5" x14ac:dyDescent="0.25">
      <c r="B4" s="11" t="s">
        <v>6</v>
      </c>
      <c r="C4" s="57" t="s">
        <v>7</v>
      </c>
      <c r="D4" s="12" t="s">
        <v>8</v>
      </c>
      <c r="E4" s="12" t="s">
        <v>9</v>
      </c>
    </row>
    <row r="5" spans="2:5" x14ac:dyDescent="0.25">
      <c r="B5" s="349">
        <f>inputPrYr!B32</f>
        <v>0</v>
      </c>
      <c r="C5" s="15" t="str">
        <f>gen!C5</f>
        <v>Actual for 2018</v>
      </c>
      <c r="D5" s="15" t="str">
        <f>gen!D5</f>
        <v>Estimate for 2019</v>
      </c>
      <c r="E5" s="15" t="str">
        <f>gen!E5</f>
        <v>Year for 2020</v>
      </c>
    </row>
    <row r="6" spans="2:5" x14ac:dyDescent="0.25">
      <c r="B6" s="70" t="s">
        <v>115</v>
      </c>
      <c r="C6" s="23"/>
      <c r="D6" s="21">
        <f>C28</f>
        <v>0</v>
      </c>
      <c r="E6" s="21">
        <f>D28</f>
        <v>0</v>
      </c>
    </row>
    <row r="7" spans="2:5" s="5" customFormat="1" x14ac:dyDescent="0.25">
      <c r="B7" s="71" t="s">
        <v>104</v>
      </c>
      <c r="C7" s="72"/>
      <c r="D7" s="72"/>
      <c r="E7" s="72"/>
    </row>
    <row r="8" spans="2:5" x14ac:dyDescent="0.25">
      <c r="B8" s="26"/>
      <c r="C8" s="23"/>
      <c r="D8" s="23"/>
      <c r="E8" s="23"/>
    </row>
    <row r="9" spans="2:5" x14ac:dyDescent="0.25">
      <c r="B9" s="26"/>
      <c r="C9" s="23"/>
      <c r="D9" s="23"/>
      <c r="E9" s="23"/>
    </row>
    <row r="10" spans="2:5" x14ac:dyDescent="0.25">
      <c r="B10" s="26"/>
      <c r="C10" s="23"/>
      <c r="D10" s="23"/>
      <c r="E10" s="23"/>
    </row>
    <row r="11" spans="2:5" x14ac:dyDescent="0.25">
      <c r="B11" s="26"/>
      <c r="C11" s="23"/>
      <c r="D11" s="23"/>
      <c r="E11" s="23"/>
    </row>
    <row r="12" spans="2:5" x14ac:dyDescent="0.25">
      <c r="B12" s="73" t="s">
        <v>18</v>
      </c>
      <c r="C12" s="23"/>
      <c r="D12" s="23"/>
      <c r="E12" s="23"/>
    </row>
    <row r="13" spans="2:5" x14ac:dyDescent="0.25">
      <c r="B13" s="28" t="s">
        <v>176</v>
      </c>
      <c r="C13" s="23"/>
      <c r="D13" s="19"/>
      <c r="E13" s="19"/>
    </row>
    <row r="14" spans="2:5" x14ac:dyDescent="0.25">
      <c r="B14" s="28" t="s">
        <v>177</v>
      </c>
      <c r="C14" s="34" t="str">
        <f>IF(C15*0.1&lt;C13,"Exceed 10% Rule","")</f>
        <v/>
      </c>
      <c r="D14" s="29" t="str">
        <f>IF(D15*0.1&lt;D13,"Exceed 10% Rule","")</f>
        <v/>
      </c>
      <c r="E14" s="29" t="str">
        <f>IF(E15*0.1&lt;E13,"Exceed 10% Rule","")</f>
        <v/>
      </c>
    </row>
    <row r="15" spans="2:5" x14ac:dyDescent="0.25">
      <c r="B15" s="32" t="s">
        <v>19</v>
      </c>
      <c r="C15" s="31">
        <f>SUM(C8:C13)</f>
        <v>0</v>
      </c>
      <c r="D15" s="31">
        <f>SUM(D8:D13)</f>
        <v>0</v>
      </c>
      <c r="E15" s="31">
        <f>SUM(E8:E13)</f>
        <v>0</v>
      </c>
    </row>
    <row r="16" spans="2:5" x14ac:dyDescent="0.25">
      <c r="B16" s="32" t="s">
        <v>20</v>
      </c>
      <c r="C16" s="31">
        <f>C6+C15</f>
        <v>0</v>
      </c>
      <c r="D16" s="31">
        <f>D6+D15</f>
        <v>0</v>
      </c>
      <c r="E16" s="31">
        <f>E6+E15</f>
        <v>0</v>
      </c>
    </row>
    <row r="17" spans="2:5" x14ac:dyDescent="0.25">
      <c r="B17" s="16" t="s">
        <v>21</v>
      </c>
      <c r="C17" s="21"/>
      <c r="D17" s="21"/>
      <c r="E17" s="21"/>
    </row>
    <row r="18" spans="2:5" x14ac:dyDescent="0.25">
      <c r="B18" s="26"/>
      <c r="C18" s="23"/>
      <c r="D18" s="23"/>
      <c r="E18" s="23"/>
    </row>
    <row r="19" spans="2:5" x14ac:dyDescent="0.25">
      <c r="B19" s="26"/>
      <c r="C19" s="23"/>
      <c r="D19" s="23"/>
      <c r="E19" s="23"/>
    </row>
    <row r="20" spans="2:5" x14ac:dyDescent="0.25">
      <c r="B20" s="26"/>
      <c r="C20" s="23"/>
      <c r="D20" s="23"/>
      <c r="E20" s="23"/>
    </row>
    <row r="21" spans="2:5" x14ac:dyDescent="0.25">
      <c r="B21" s="26"/>
      <c r="C21" s="23"/>
      <c r="D21" s="23"/>
      <c r="E21" s="23"/>
    </row>
    <row r="22" spans="2:5" x14ac:dyDescent="0.25">
      <c r="B22" s="26"/>
      <c r="C22" s="23"/>
      <c r="D22" s="23"/>
      <c r="E22" s="23"/>
    </row>
    <row r="23" spans="2:5" x14ac:dyDescent="0.25">
      <c r="B23" s="26"/>
      <c r="C23" s="23"/>
      <c r="D23" s="23"/>
      <c r="E23" s="23"/>
    </row>
    <row r="24" spans="2:5" x14ac:dyDescent="0.25">
      <c r="B24" s="24" t="str">
        <f>CONCATENATE("Cash Forward (",E1," column)")</f>
        <v>Cash Forward (2020 column)</v>
      </c>
      <c r="C24" s="23"/>
      <c r="D24" s="23"/>
      <c r="E24" s="23"/>
    </row>
    <row r="25" spans="2:5" x14ac:dyDescent="0.25">
      <c r="B25" s="24" t="s">
        <v>176</v>
      </c>
      <c r="C25" s="23"/>
      <c r="D25" s="19"/>
      <c r="E25" s="19"/>
    </row>
    <row r="26" spans="2:5" x14ac:dyDescent="0.25">
      <c r="B26" s="24" t="s">
        <v>533</v>
      </c>
      <c r="C26" s="34" t="str">
        <f>IF(C27*0.1&lt;C25,"Exceed 10% Rule","")</f>
        <v/>
      </c>
      <c r="D26" s="29" t="str">
        <f>IF(D27*0.1&lt;D25,"Exceed 10% Rule","")</f>
        <v/>
      </c>
      <c r="E26" s="29" t="str">
        <f>IF(E27*0.1&lt;E25,"Exceed 10% Rule","")</f>
        <v/>
      </c>
    </row>
    <row r="27" spans="2:5" x14ac:dyDescent="0.25">
      <c r="B27" s="32" t="s">
        <v>22</v>
      </c>
      <c r="C27" s="31">
        <f>SUM(C18:C25)</f>
        <v>0</v>
      </c>
      <c r="D27" s="31">
        <f>SUM(D18:D25)</f>
        <v>0</v>
      </c>
      <c r="E27" s="31">
        <f>SUM(E18:E25)</f>
        <v>0</v>
      </c>
    </row>
    <row r="28" spans="2:5" x14ac:dyDescent="0.25">
      <c r="B28" s="16" t="s">
        <v>103</v>
      </c>
      <c r="C28" s="35">
        <f>C16-C27</f>
        <v>0</v>
      </c>
      <c r="D28" s="35">
        <f>D16-D27</f>
        <v>0</v>
      </c>
      <c r="E28" s="35">
        <f>E16-E27</f>
        <v>0</v>
      </c>
    </row>
    <row r="29" spans="2:5" x14ac:dyDescent="0.25">
      <c r="B29" s="255" t="str">
        <f>CONCATENATE("",E1-2,"/",E1-1,"/",E1," Budget Authority Amount:")</f>
        <v>2018/2019/2020 Budget Authority Amount:</v>
      </c>
      <c r="C29" s="52">
        <f>inputOth!B58</f>
        <v>0</v>
      </c>
      <c r="D29" s="52">
        <f>inputPrYr!D32</f>
        <v>0</v>
      </c>
      <c r="E29" s="686">
        <f>E27</f>
        <v>0</v>
      </c>
    </row>
    <row r="30" spans="2:5" x14ac:dyDescent="0.25">
      <c r="B30" s="37"/>
      <c r="C30" s="40" t="str">
        <f>IF(C27&gt;C29,"See Tab A","")</f>
        <v/>
      </c>
      <c r="D30" s="40" t="str">
        <f>IF(D27&gt;D29,"See Tab C","")</f>
        <v/>
      </c>
      <c r="E30" s="687" t="str">
        <f>IF(E28&lt;0,"See Tab E","")</f>
        <v/>
      </c>
    </row>
    <row r="31" spans="2:5" x14ac:dyDescent="0.25">
      <c r="B31" s="37"/>
      <c r="C31" s="40" t="str">
        <f>IF(C28&lt;0,"See Tab B","")</f>
        <v/>
      </c>
      <c r="D31" s="74" t="str">
        <f>IF(D28&lt;0,"See Tab D","")</f>
        <v/>
      </c>
      <c r="E31" s="44"/>
    </row>
    <row r="32" spans="2:5" x14ac:dyDescent="0.25">
      <c r="B32" s="3"/>
      <c r="C32" s="44"/>
      <c r="D32" s="44"/>
      <c r="E32" s="44"/>
    </row>
    <row r="33" spans="2:5" x14ac:dyDescent="0.25">
      <c r="B33" s="11" t="s">
        <v>6</v>
      </c>
      <c r="C33" s="54"/>
      <c r="D33" s="54"/>
      <c r="E33" s="54"/>
    </row>
    <row r="34" spans="2:5" x14ac:dyDescent="0.25">
      <c r="B34" s="3"/>
      <c r="C34" s="57" t="s">
        <v>7</v>
      </c>
      <c r="D34" s="12" t="s">
        <v>8</v>
      </c>
      <c r="E34" s="12" t="s">
        <v>9</v>
      </c>
    </row>
    <row r="35" spans="2:5" x14ac:dyDescent="0.25">
      <c r="B35" s="425">
        <f>inputPrYr!B33</f>
        <v>0</v>
      </c>
      <c r="C35" s="15" t="str">
        <f>C5</f>
        <v>Actual for 2018</v>
      </c>
      <c r="D35" s="15" t="str">
        <f>D5</f>
        <v>Estimate for 2019</v>
      </c>
      <c r="E35" s="15" t="str">
        <f>E5</f>
        <v>Year for 2020</v>
      </c>
    </row>
    <row r="36" spans="2:5" x14ac:dyDescent="0.25">
      <c r="B36" s="70" t="s">
        <v>115</v>
      </c>
      <c r="C36" s="23"/>
      <c r="D36" s="21">
        <f>C58</f>
        <v>0</v>
      </c>
      <c r="E36" s="21">
        <f>D58</f>
        <v>0</v>
      </c>
    </row>
    <row r="37" spans="2:5" s="5" customFormat="1" x14ac:dyDescent="0.25">
      <c r="B37" s="70" t="s">
        <v>104</v>
      </c>
      <c r="C37" s="72"/>
      <c r="D37" s="72"/>
      <c r="E37" s="72"/>
    </row>
    <row r="38" spans="2:5" x14ac:dyDescent="0.25">
      <c r="B38" s="26"/>
      <c r="C38" s="23"/>
      <c r="D38" s="23"/>
      <c r="E38" s="23"/>
    </row>
    <row r="39" spans="2:5" x14ac:dyDescent="0.25">
      <c r="B39" s="26"/>
      <c r="C39" s="23"/>
      <c r="D39" s="23"/>
      <c r="E39" s="23"/>
    </row>
    <row r="40" spans="2:5" x14ac:dyDescent="0.25">
      <c r="B40" s="26"/>
      <c r="C40" s="23"/>
      <c r="D40" s="23"/>
      <c r="E40" s="23"/>
    </row>
    <row r="41" spans="2:5" x14ac:dyDescent="0.25">
      <c r="B41" s="26"/>
      <c r="C41" s="23"/>
      <c r="D41" s="23"/>
      <c r="E41" s="23"/>
    </row>
    <row r="42" spans="2:5" x14ac:dyDescent="0.25">
      <c r="B42" s="73" t="s">
        <v>18</v>
      </c>
      <c r="C42" s="23"/>
      <c r="D42" s="23"/>
      <c r="E42" s="23"/>
    </row>
    <row r="43" spans="2:5" x14ac:dyDescent="0.25">
      <c r="B43" s="28" t="s">
        <v>176</v>
      </c>
      <c r="C43" s="23"/>
      <c r="D43" s="19"/>
      <c r="E43" s="19"/>
    </row>
    <row r="44" spans="2:5" x14ac:dyDescent="0.25">
      <c r="B44" s="28" t="s">
        <v>177</v>
      </c>
      <c r="C44" s="34" t="str">
        <f>IF(C45*0.1&lt;C43,"Exceed 10% Rule","")</f>
        <v/>
      </c>
      <c r="D44" s="29" t="str">
        <f>IF(D45*0.1&lt;D43,"Exceed 10% Rule","")</f>
        <v/>
      </c>
      <c r="E44" s="29" t="str">
        <f>IF(E45*0.1&lt;E43,"Exceed 10% Rule","")</f>
        <v/>
      </c>
    </row>
    <row r="45" spans="2:5" x14ac:dyDescent="0.25">
      <c r="B45" s="32" t="s">
        <v>19</v>
      </c>
      <c r="C45" s="31">
        <f>SUM(C38:C43)</f>
        <v>0</v>
      </c>
      <c r="D45" s="31">
        <f>SUM(D38:D43)</f>
        <v>0</v>
      </c>
      <c r="E45" s="31">
        <f>SUM(E38:E43)</f>
        <v>0</v>
      </c>
    </row>
    <row r="46" spans="2:5" x14ac:dyDescent="0.25">
      <c r="B46" s="32" t="s">
        <v>20</v>
      </c>
      <c r="C46" s="31">
        <f>C36+C45</f>
        <v>0</v>
      </c>
      <c r="D46" s="31">
        <f>D36+D45</f>
        <v>0</v>
      </c>
      <c r="E46" s="31">
        <f>E36+E45</f>
        <v>0</v>
      </c>
    </row>
    <row r="47" spans="2:5" x14ac:dyDescent="0.25">
      <c r="B47" s="16" t="s">
        <v>21</v>
      </c>
      <c r="C47" s="21"/>
      <c r="D47" s="21"/>
      <c r="E47" s="21"/>
    </row>
    <row r="48" spans="2:5" x14ac:dyDescent="0.25">
      <c r="B48" s="26"/>
      <c r="C48" s="23"/>
      <c r="D48" s="23"/>
      <c r="E48" s="23"/>
    </row>
    <row r="49" spans="2:5" x14ac:dyDescent="0.25">
      <c r="B49" s="26"/>
      <c r="C49" s="23"/>
      <c r="D49" s="23"/>
      <c r="E49" s="23"/>
    </row>
    <row r="50" spans="2:5" x14ac:dyDescent="0.25">
      <c r="B50" s="26"/>
      <c r="C50" s="23"/>
      <c r="D50" s="23"/>
      <c r="E50" s="23"/>
    </row>
    <row r="51" spans="2:5" x14ac:dyDescent="0.25">
      <c r="B51" s="26"/>
      <c r="C51" s="23"/>
      <c r="D51" s="23"/>
      <c r="E51" s="23"/>
    </row>
    <row r="52" spans="2:5" x14ac:dyDescent="0.25">
      <c r="B52" s="26"/>
      <c r="C52" s="23"/>
      <c r="D52" s="23"/>
      <c r="E52" s="23"/>
    </row>
    <row r="53" spans="2:5" x14ac:dyDescent="0.25">
      <c r="B53" s="26"/>
      <c r="C53" s="23"/>
      <c r="D53" s="23"/>
      <c r="E53" s="23"/>
    </row>
    <row r="54" spans="2:5" x14ac:dyDescent="0.25">
      <c r="B54" s="24" t="str">
        <f>CONCATENATE("Cash Forward (",E1," column)")</f>
        <v>Cash Forward (2020 column)</v>
      </c>
      <c r="C54" s="23"/>
      <c r="D54" s="23"/>
      <c r="E54" s="23"/>
    </row>
    <row r="55" spans="2:5" x14ac:dyDescent="0.25">
      <c r="B55" s="24" t="s">
        <v>176</v>
      </c>
      <c r="C55" s="23"/>
      <c r="D55" s="19"/>
      <c r="E55" s="19"/>
    </row>
    <row r="56" spans="2:5" x14ac:dyDescent="0.25">
      <c r="B56" s="24" t="s">
        <v>533</v>
      </c>
      <c r="C56" s="34" t="str">
        <f>IF(C57*0.1&lt;C55,"Exceed 10% Rule","")</f>
        <v/>
      </c>
      <c r="D56" s="29" t="str">
        <f>IF(D57*0.1&lt;D55,"Exceed 10% Rule","")</f>
        <v/>
      </c>
      <c r="E56" s="29" t="str">
        <f>IF(E57*0.1&lt;E55,"Exceed 10% Rule","")</f>
        <v/>
      </c>
    </row>
    <row r="57" spans="2:5" x14ac:dyDescent="0.25">
      <c r="B57" s="32" t="s">
        <v>22</v>
      </c>
      <c r="C57" s="31">
        <f>SUM(C48:C55)</f>
        <v>0</v>
      </c>
      <c r="D57" s="31">
        <f>SUM(D48:D55)</f>
        <v>0</v>
      </c>
      <c r="E57" s="31">
        <f>SUM(E48:E55)</f>
        <v>0</v>
      </c>
    </row>
    <row r="58" spans="2:5" x14ac:dyDescent="0.25">
      <c r="B58" s="16" t="s">
        <v>103</v>
      </c>
      <c r="C58" s="35">
        <f>C46-C57</f>
        <v>0</v>
      </c>
      <c r="D58" s="35">
        <f>D46-D57</f>
        <v>0</v>
      </c>
      <c r="E58" s="35">
        <f>E46-E57</f>
        <v>0</v>
      </c>
    </row>
    <row r="59" spans="2:5" x14ac:dyDescent="0.25">
      <c r="B59" s="255" t="str">
        <f>CONCATENATE("",E1-2,"/",E1-1,"/",E1," Budget Authority Amount:")</f>
        <v>2018/2019/2020 Budget Authority Amount:</v>
      </c>
      <c r="C59" s="52">
        <f>inputOth!B59</f>
        <v>0</v>
      </c>
      <c r="D59" s="52">
        <f>inputPrYr!D33</f>
        <v>0</v>
      </c>
      <c r="E59" s="686">
        <f>E57</f>
        <v>0</v>
      </c>
    </row>
    <row r="60" spans="2:5" x14ac:dyDescent="0.25">
      <c r="B60" s="37"/>
      <c r="C60" s="40" t="str">
        <f>IF(C57&gt;C59,"See Tab A","")</f>
        <v/>
      </c>
      <c r="D60" s="40" t="str">
        <f>IF(D57&gt;D59,"See Tab C","")</f>
        <v/>
      </c>
      <c r="E60" s="688" t="str">
        <f>IF(E58&lt;0,"See Tab E","")</f>
        <v/>
      </c>
    </row>
    <row r="61" spans="2:5" x14ac:dyDescent="0.25">
      <c r="B61" s="244" t="s">
        <v>967</v>
      </c>
      <c r="C61" s="814"/>
      <c r="D61" s="229"/>
      <c r="E61" s="234"/>
    </row>
    <row r="62" spans="2:5" x14ac:dyDescent="0.25">
      <c r="B62" s="815"/>
      <c r="C62" s="813"/>
      <c r="D62" s="8"/>
      <c r="E62" s="235"/>
    </row>
    <row r="63" spans="2:5" x14ac:dyDescent="0.25">
      <c r="B63" s="816"/>
      <c r="C63" s="817"/>
      <c r="D63" s="9"/>
      <c r="E63" s="237"/>
    </row>
    <row r="64" spans="2:5" x14ac:dyDescent="0.25">
      <c r="B64" s="3"/>
      <c r="C64" s="3"/>
      <c r="D64" s="3"/>
      <c r="E64" s="3"/>
    </row>
    <row r="65" spans="2:5" x14ac:dyDescent="0.25">
      <c r="B65" s="41" t="s">
        <v>5</v>
      </c>
      <c r="C65" s="734"/>
      <c r="D65" s="3"/>
      <c r="E65" s="3"/>
    </row>
  </sheetData>
  <sheetProtection sheet="1"/>
  <phoneticPr fontId="10" type="noConversion"/>
  <conditionalFormatting sqref="C55">
    <cfRule type="cellIs" dxfId="18" priority="3" stopIfTrue="1" operator="greaterThan">
      <formula>$C$57*0.1</formula>
    </cfRule>
  </conditionalFormatting>
  <conditionalFormatting sqref="D55">
    <cfRule type="cellIs" dxfId="17" priority="4" stopIfTrue="1" operator="greaterThan">
      <formula>$D$57*0.1</formula>
    </cfRule>
  </conditionalFormatting>
  <conditionalFormatting sqref="E55">
    <cfRule type="cellIs" dxfId="16" priority="5" stopIfTrue="1" operator="greaterThan">
      <formula>$E$57*0.1</formula>
    </cfRule>
  </conditionalFormatting>
  <conditionalFormatting sqref="C43">
    <cfRule type="cellIs" dxfId="15" priority="6" stopIfTrue="1" operator="greaterThan">
      <formula>$C$45*0.1</formula>
    </cfRule>
  </conditionalFormatting>
  <conditionalFormatting sqref="D43">
    <cfRule type="cellIs" dxfId="14" priority="7" stopIfTrue="1" operator="greaterThan">
      <formula>$D$45*0.1</formula>
    </cfRule>
  </conditionalFormatting>
  <conditionalFormatting sqref="E43">
    <cfRule type="cellIs" dxfId="13" priority="8" stopIfTrue="1" operator="greaterThan">
      <formula>$E$45*0.1</formula>
    </cfRule>
  </conditionalFormatting>
  <conditionalFormatting sqref="C25">
    <cfRule type="cellIs" dxfId="12" priority="9" stopIfTrue="1" operator="greaterThan">
      <formula>$C$27*0.1</formula>
    </cfRule>
  </conditionalFormatting>
  <conditionalFormatting sqref="D25">
    <cfRule type="cellIs" dxfId="11" priority="10" stopIfTrue="1" operator="greaterThan">
      <formula>$D$27*0.1</formula>
    </cfRule>
  </conditionalFormatting>
  <conditionalFormatting sqref="E25">
    <cfRule type="cellIs" dxfId="10" priority="11" stopIfTrue="1" operator="greaterThan">
      <formula>$E$27*0.1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7">
    <cfRule type="cellIs" dxfId="6" priority="15" stopIfTrue="1" operator="greaterThan">
      <formula>$C$59</formula>
    </cfRule>
  </conditionalFormatting>
  <conditionalFormatting sqref="C58 E58 E28 C28">
    <cfRule type="cellIs" dxfId="5" priority="16" stopIfTrue="1" operator="lessThan">
      <formula>0</formula>
    </cfRule>
  </conditionalFormatting>
  <conditionalFormatting sqref="C27">
    <cfRule type="cellIs" dxfId="4" priority="17" stopIfTrue="1" operator="greaterThan">
      <formula>$C$29</formula>
    </cfRule>
  </conditionalFormatting>
  <conditionalFormatting sqref="D27">
    <cfRule type="cellIs" dxfId="3" priority="18" stopIfTrue="1" operator="greaterThan">
      <formula>$D$29</formula>
    </cfRule>
  </conditionalFormatting>
  <conditionalFormatting sqref="D57">
    <cfRule type="cellIs" dxfId="2" priority="19" stopIfTrue="1" operator="greaterThan">
      <formula>$D$59</formula>
    </cfRule>
  </conditionalFormatting>
  <conditionalFormatting sqref="D28">
    <cfRule type="cellIs" dxfId="1" priority="2" stopIfTrue="1" operator="lessThan">
      <formula>0</formula>
    </cfRule>
  </conditionalFormatting>
  <conditionalFormatting sqref="D58">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pageSetUpPr fitToPage="1"/>
  </sheetPr>
  <dimension ref="A1:L44"/>
  <sheetViews>
    <sheetView workbookViewId="0">
      <selection activeCell="L22" sqref="L22"/>
    </sheetView>
  </sheetViews>
  <sheetFormatPr defaultColWidth="8.796875" defaultRowHeight="15.75" x14ac:dyDescent="0.25"/>
  <cols>
    <col min="1" max="1" width="10.3984375" style="68" customWidth="1"/>
    <col min="2" max="2" width="6.69921875" style="68" customWidth="1"/>
    <col min="3" max="3" width="10.3984375" style="68" customWidth="1"/>
    <col min="4" max="4" width="6.69921875" style="68" customWidth="1"/>
    <col min="5" max="5" width="10.3984375" style="68" customWidth="1"/>
    <col min="6" max="6" width="6.69921875" style="68" customWidth="1"/>
    <col min="7" max="7" width="10.3984375" style="68" customWidth="1"/>
    <col min="8" max="8" width="6.69921875" style="68" customWidth="1"/>
    <col min="9" max="9" width="10.3984375" style="68" customWidth="1"/>
    <col min="10" max="16384" width="8.796875" style="68"/>
  </cols>
  <sheetData>
    <row r="1" spans="1:11" x14ac:dyDescent="0.25">
      <c r="A1" s="75" t="str">
        <f>inputPrYr!$D$3</f>
        <v>ROVOHL TOWNSHIP</v>
      </c>
      <c r="B1" s="76"/>
      <c r="C1" s="77"/>
      <c r="D1" s="77"/>
      <c r="E1" s="77"/>
      <c r="F1" s="78" t="s">
        <v>263</v>
      </c>
      <c r="G1" s="77"/>
      <c r="H1" s="77"/>
      <c r="I1" s="77"/>
      <c r="J1" s="77"/>
      <c r="K1" s="77">
        <f>inputPrYr!$D$6</f>
        <v>2020</v>
      </c>
    </row>
    <row r="2" spans="1:11" x14ac:dyDescent="0.25">
      <c r="A2" s="77"/>
      <c r="B2" s="77"/>
      <c r="C2" s="77"/>
      <c r="D2" s="77"/>
      <c r="E2" s="77"/>
      <c r="F2" s="79" t="str">
        <f>CONCATENATE("(Only the actual budget year for ",K1-2," is to be shown)")</f>
        <v>(Only the actual budget year for 2018 is to be shown)</v>
      </c>
      <c r="G2" s="77"/>
      <c r="H2" s="77"/>
      <c r="I2" s="77"/>
      <c r="J2" s="77"/>
      <c r="K2" s="77"/>
    </row>
    <row r="3" spans="1:11" x14ac:dyDescent="0.25">
      <c r="A3" s="77" t="s">
        <v>264</v>
      </c>
      <c r="B3" s="77"/>
      <c r="C3" s="77"/>
      <c r="D3" s="77"/>
      <c r="E3" s="77"/>
      <c r="F3" s="76"/>
      <c r="G3" s="77"/>
      <c r="H3" s="77"/>
      <c r="I3" s="77"/>
      <c r="J3" s="77"/>
      <c r="K3" s="77"/>
    </row>
    <row r="4" spans="1:11" x14ac:dyDescent="0.25">
      <c r="A4" s="77" t="s">
        <v>265</v>
      </c>
      <c r="B4" s="77"/>
      <c r="C4" s="77" t="s">
        <v>266</v>
      </c>
      <c r="D4" s="77"/>
      <c r="E4" s="77" t="s">
        <v>267</v>
      </c>
      <c r="F4" s="76"/>
      <c r="G4" s="77" t="s">
        <v>268</v>
      </c>
      <c r="H4" s="77"/>
      <c r="I4" s="77" t="s">
        <v>269</v>
      </c>
      <c r="J4" s="77"/>
      <c r="K4" s="77"/>
    </row>
    <row r="5" spans="1:11" x14ac:dyDescent="0.25">
      <c r="A5" s="918">
        <f>inputPrYr!B37</f>
        <v>0</v>
      </c>
      <c r="B5" s="919"/>
      <c r="C5" s="918">
        <f>inputPrYr!B38</f>
        <v>0</v>
      </c>
      <c r="D5" s="919"/>
      <c r="E5" s="918">
        <f>inputPrYr!B39</f>
        <v>0</v>
      </c>
      <c r="F5" s="919"/>
      <c r="G5" s="920">
        <f>inputPrYr!B40</f>
        <v>0</v>
      </c>
      <c r="H5" s="919"/>
      <c r="I5" s="920">
        <f>inputPrYr!B41</f>
        <v>0</v>
      </c>
      <c r="J5" s="919"/>
      <c r="K5" s="81"/>
    </row>
    <row r="6" spans="1:11" x14ac:dyDescent="0.25">
      <c r="A6" s="82" t="s">
        <v>270</v>
      </c>
      <c r="B6" s="83"/>
      <c r="C6" s="84" t="s">
        <v>270</v>
      </c>
      <c r="D6" s="85"/>
      <c r="E6" s="84" t="s">
        <v>270</v>
      </c>
      <c r="F6" s="86"/>
      <c r="G6" s="84" t="s">
        <v>270</v>
      </c>
      <c r="H6" s="80"/>
      <c r="I6" s="84" t="s">
        <v>270</v>
      </c>
      <c r="J6" s="77"/>
      <c r="K6" s="87" t="s">
        <v>235</v>
      </c>
    </row>
    <row r="7" spans="1:11" x14ac:dyDescent="0.25">
      <c r="A7" s="88" t="s">
        <v>271</v>
      </c>
      <c r="B7" s="89"/>
      <c r="C7" s="90" t="s">
        <v>271</v>
      </c>
      <c r="D7" s="89"/>
      <c r="E7" s="90" t="s">
        <v>271</v>
      </c>
      <c r="F7" s="89"/>
      <c r="G7" s="90" t="s">
        <v>271</v>
      </c>
      <c r="H7" s="89"/>
      <c r="I7" s="90" t="s">
        <v>271</v>
      </c>
      <c r="J7" s="89"/>
      <c r="K7" s="91">
        <f>SUM(B7+D7+F7+H7+J7)</f>
        <v>0</v>
      </c>
    </row>
    <row r="8" spans="1:11" x14ac:dyDescent="0.25">
      <c r="A8" s="92" t="s">
        <v>104</v>
      </c>
      <c r="B8" s="93"/>
      <c r="C8" s="92" t="s">
        <v>104</v>
      </c>
      <c r="D8" s="94"/>
      <c r="E8" s="92" t="s">
        <v>104</v>
      </c>
      <c r="F8" s="76"/>
      <c r="G8" s="92" t="s">
        <v>104</v>
      </c>
      <c r="H8" s="77"/>
      <c r="I8" s="92" t="s">
        <v>104</v>
      </c>
      <c r="J8" s="77"/>
      <c r="K8" s="76"/>
    </row>
    <row r="9" spans="1:11" x14ac:dyDescent="0.25">
      <c r="A9" s="95"/>
      <c r="B9" s="89"/>
      <c r="C9" s="95"/>
      <c r="D9" s="89"/>
      <c r="E9" s="95"/>
      <c r="F9" s="89"/>
      <c r="G9" s="95"/>
      <c r="H9" s="89"/>
      <c r="I9" s="95"/>
      <c r="J9" s="89"/>
      <c r="K9" s="76"/>
    </row>
    <row r="10" spans="1:11" x14ac:dyDescent="0.25">
      <c r="A10" s="95"/>
      <c r="B10" s="89"/>
      <c r="C10" s="95"/>
      <c r="D10" s="89"/>
      <c r="E10" s="95"/>
      <c r="F10" s="89"/>
      <c r="G10" s="95"/>
      <c r="H10" s="89"/>
      <c r="I10" s="95"/>
      <c r="J10" s="89"/>
      <c r="K10" s="76"/>
    </row>
    <row r="11" spans="1:11" x14ac:dyDescent="0.25">
      <c r="A11" s="95"/>
      <c r="B11" s="89"/>
      <c r="C11" s="96"/>
      <c r="D11" s="97"/>
      <c r="E11" s="96"/>
      <c r="F11" s="89"/>
      <c r="G11" s="96"/>
      <c r="H11" s="89"/>
      <c r="I11" s="98"/>
      <c r="J11" s="89"/>
      <c r="K11" s="76"/>
    </row>
    <row r="12" spans="1:11" x14ac:dyDescent="0.25">
      <c r="A12" s="95"/>
      <c r="B12" s="99"/>
      <c r="C12" s="95"/>
      <c r="D12" s="100"/>
      <c r="E12" s="101"/>
      <c r="F12" s="89"/>
      <c r="G12" s="101"/>
      <c r="H12" s="89"/>
      <c r="I12" s="101"/>
      <c r="J12" s="89"/>
      <c r="K12" s="76"/>
    </row>
    <row r="13" spans="1:11" x14ac:dyDescent="0.25">
      <c r="A13" s="102"/>
      <c r="B13" s="103"/>
      <c r="C13" s="104"/>
      <c r="D13" s="100"/>
      <c r="E13" s="104"/>
      <c r="F13" s="89"/>
      <c r="G13" s="104"/>
      <c r="H13" s="89"/>
      <c r="I13" s="98"/>
      <c r="J13" s="89"/>
      <c r="K13" s="76"/>
    </row>
    <row r="14" spans="1:11" x14ac:dyDescent="0.25">
      <c r="A14" s="95"/>
      <c r="B14" s="89"/>
      <c r="C14" s="101"/>
      <c r="D14" s="100"/>
      <c r="E14" s="101"/>
      <c r="F14" s="89"/>
      <c r="G14" s="101"/>
      <c r="H14" s="89"/>
      <c r="I14" s="101"/>
      <c r="J14" s="89"/>
      <c r="K14" s="76"/>
    </row>
    <row r="15" spans="1:11" x14ac:dyDescent="0.25">
      <c r="A15" s="95"/>
      <c r="B15" s="89"/>
      <c r="C15" s="101"/>
      <c r="D15" s="100"/>
      <c r="E15" s="101"/>
      <c r="F15" s="89"/>
      <c r="G15" s="101"/>
      <c r="H15" s="89"/>
      <c r="I15" s="101"/>
      <c r="J15" s="89"/>
      <c r="K15" s="76"/>
    </row>
    <row r="16" spans="1:11" x14ac:dyDescent="0.25">
      <c r="A16" s="95"/>
      <c r="B16" s="103"/>
      <c r="C16" s="95"/>
      <c r="D16" s="100"/>
      <c r="E16" s="95"/>
      <c r="F16" s="89"/>
      <c r="G16" s="101"/>
      <c r="H16" s="89"/>
      <c r="I16" s="95"/>
      <c r="J16" s="89"/>
      <c r="K16" s="76"/>
    </row>
    <row r="17" spans="1:12" x14ac:dyDescent="0.25">
      <c r="A17" s="92" t="s">
        <v>19</v>
      </c>
      <c r="B17" s="91">
        <f>SUM(B9:B16)</f>
        <v>0</v>
      </c>
      <c r="C17" s="92" t="s">
        <v>19</v>
      </c>
      <c r="D17" s="91">
        <f>SUM(D9:D16)</f>
        <v>0</v>
      </c>
      <c r="E17" s="92" t="s">
        <v>19</v>
      </c>
      <c r="F17" s="105">
        <f>SUM(F9:F16)</f>
        <v>0</v>
      </c>
      <c r="G17" s="92" t="s">
        <v>19</v>
      </c>
      <c r="H17" s="91">
        <f>SUM(H9:H16)</f>
        <v>0</v>
      </c>
      <c r="I17" s="92" t="s">
        <v>19</v>
      </c>
      <c r="J17" s="91">
        <f>SUM(J9:J16)</f>
        <v>0</v>
      </c>
      <c r="K17" s="91">
        <f>SUM(B17+D17+F17+H17+J17)</f>
        <v>0</v>
      </c>
    </row>
    <row r="18" spans="1:12" x14ac:dyDescent="0.25">
      <c r="A18" s="92" t="s">
        <v>20</v>
      </c>
      <c r="B18" s="91">
        <f>SUM(B7+B17)</f>
        <v>0</v>
      </c>
      <c r="C18" s="92" t="s">
        <v>20</v>
      </c>
      <c r="D18" s="91">
        <f>SUM(D7+D17)</f>
        <v>0</v>
      </c>
      <c r="E18" s="92" t="s">
        <v>20</v>
      </c>
      <c r="F18" s="91">
        <f>SUM(F7+F17)</f>
        <v>0</v>
      </c>
      <c r="G18" s="92" t="s">
        <v>20</v>
      </c>
      <c r="H18" s="91">
        <f>SUM(H7+H17)</f>
        <v>0</v>
      </c>
      <c r="I18" s="92" t="s">
        <v>20</v>
      </c>
      <c r="J18" s="91">
        <f>SUM(J7+J17)</f>
        <v>0</v>
      </c>
      <c r="K18" s="91">
        <f>SUM(B18+D18+F18+H18+J18)</f>
        <v>0</v>
      </c>
    </row>
    <row r="19" spans="1:12" x14ac:dyDescent="0.25">
      <c r="A19" s="92" t="s">
        <v>21</v>
      </c>
      <c r="B19" s="93"/>
      <c r="C19" s="92" t="s">
        <v>21</v>
      </c>
      <c r="D19" s="94"/>
      <c r="E19" s="92" t="s">
        <v>21</v>
      </c>
      <c r="F19" s="76"/>
      <c r="G19" s="92" t="s">
        <v>21</v>
      </c>
      <c r="H19" s="77"/>
      <c r="I19" s="92" t="s">
        <v>21</v>
      </c>
      <c r="J19" s="77"/>
      <c r="K19" s="76"/>
    </row>
    <row r="20" spans="1:12" x14ac:dyDescent="0.25">
      <c r="A20" s="95"/>
      <c r="B20" s="89"/>
      <c r="C20" s="101"/>
      <c r="D20" s="89"/>
      <c r="E20" s="101"/>
      <c r="F20" s="89"/>
      <c r="G20" s="101"/>
      <c r="H20" s="89"/>
      <c r="I20" s="101"/>
      <c r="J20" s="89"/>
      <c r="K20" s="76"/>
    </row>
    <row r="21" spans="1:12" x14ac:dyDescent="0.25">
      <c r="A21" s="95"/>
      <c r="B21" s="89"/>
      <c r="C21" s="101"/>
      <c r="D21" s="89"/>
      <c r="E21" s="101"/>
      <c r="F21" s="89"/>
      <c r="G21" s="101"/>
      <c r="H21" s="89"/>
      <c r="I21" s="101"/>
      <c r="J21" s="89"/>
      <c r="K21" s="76"/>
    </row>
    <row r="22" spans="1:12" x14ac:dyDescent="0.25">
      <c r="A22" s="95"/>
      <c r="B22" s="89"/>
      <c r="C22" s="104"/>
      <c r="D22" s="89"/>
      <c r="E22" s="104"/>
      <c r="F22" s="89"/>
      <c r="G22" s="104"/>
      <c r="H22" s="89"/>
      <c r="I22" s="98"/>
      <c r="J22" s="89"/>
      <c r="K22" s="76"/>
    </row>
    <row r="23" spans="1:12" x14ac:dyDescent="0.25">
      <c r="A23" s="95"/>
      <c r="B23" s="89"/>
      <c r="C23" s="101"/>
      <c r="D23" s="89"/>
      <c r="E23" s="101"/>
      <c r="F23" s="89"/>
      <c r="G23" s="101"/>
      <c r="H23" s="89"/>
      <c r="I23" s="101"/>
      <c r="J23" s="89"/>
      <c r="K23" s="76"/>
    </row>
    <row r="24" spans="1:12" x14ac:dyDescent="0.25">
      <c r="A24" s="95"/>
      <c r="B24" s="89"/>
      <c r="C24" s="104"/>
      <c r="D24" s="89"/>
      <c r="E24" s="104"/>
      <c r="F24" s="89"/>
      <c r="G24" s="104"/>
      <c r="H24" s="89"/>
      <c r="I24" s="98"/>
      <c r="J24" s="89"/>
      <c r="K24" s="76"/>
    </row>
    <row r="25" spans="1:12" x14ac:dyDescent="0.25">
      <c r="A25" s="95"/>
      <c r="B25" s="89"/>
      <c r="C25" s="101"/>
      <c r="D25" s="89"/>
      <c r="E25" s="101"/>
      <c r="F25" s="89"/>
      <c r="G25" s="101"/>
      <c r="H25" s="89"/>
      <c r="I25" s="101"/>
      <c r="J25" s="89"/>
      <c r="K25" s="76"/>
    </row>
    <row r="26" spans="1:12" x14ac:dyDescent="0.25">
      <c r="A26" s="95"/>
      <c r="B26" s="89"/>
      <c r="C26" s="101"/>
      <c r="D26" s="89"/>
      <c r="E26" s="101"/>
      <c r="F26" s="89"/>
      <c r="G26" s="101"/>
      <c r="H26" s="89"/>
      <c r="I26" s="101"/>
      <c r="J26" s="89"/>
      <c r="K26" s="76"/>
    </row>
    <row r="27" spans="1:12" x14ac:dyDescent="0.25">
      <c r="A27" s="95"/>
      <c r="B27" s="89"/>
      <c r="C27" s="95"/>
      <c r="D27" s="89"/>
      <c r="E27" s="95"/>
      <c r="F27" s="89"/>
      <c r="G27" s="101"/>
      <c r="H27" s="89"/>
      <c r="I27" s="101"/>
      <c r="J27" s="89"/>
      <c r="K27" s="76"/>
    </row>
    <row r="28" spans="1:12" x14ac:dyDescent="0.25">
      <c r="A28" s="92" t="s">
        <v>22</v>
      </c>
      <c r="B28" s="91">
        <f>SUM(B20:B27)</f>
        <v>0</v>
      </c>
      <c r="C28" s="92" t="s">
        <v>22</v>
      </c>
      <c r="D28" s="91">
        <f>SUM(D20:D27)</f>
        <v>0</v>
      </c>
      <c r="E28" s="92" t="s">
        <v>22</v>
      </c>
      <c r="F28" s="105">
        <f>SUM(F20:F27)</f>
        <v>0</v>
      </c>
      <c r="G28" s="92" t="s">
        <v>22</v>
      </c>
      <c r="H28" s="105">
        <f>SUM(H20:H27)</f>
        <v>0</v>
      </c>
      <c r="I28" s="92" t="s">
        <v>22</v>
      </c>
      <c r="J28" s="91">
        <f>SUM(J20:J27)</f>
        <v>0</v>
      </c>
      <c r="K28" s="91">
        <f>SUM(B28+D28+F28+H28+J28)</f>
        <v>0</v>
      </c>
    </row>
    <row r="29" spans="1:12" x14ac:dyDescent="0.25">
      <c r="A29" s="92" t="s">
        <v>272</v>
      </c>
      <c r="B29" s="91">
        <f>SUM(B18-B28)</f>
        <v>0</v>
      </c>
      <c r="C29" s="92" t="s">
        <v>272</v>
      </c>
      <c r="D29" s="91">
        <f>SUM(D18-D28)</f>
        <v>0</v>
      </c>
      <c r="E29" s="92" t="s">
        <v>272</v>
      </c>
      <c r="F29" s="91">
        <f>SUM(F18-F28)</f>
        <v>0</v>
      </c>
      <c r="G29" s="92" t="s">
        <v>272</v>
      </c>
      <c r="H29" s="91">
        <f>SUM(H18-H28)</f>
        <v>0</v>
      </c>
      <c r="I29" s="92" t="s">
        <v>272</v>
      </c>
      <c r="J29" s="91">
        <f>SUM(J18-J28)</f>
        <v>0</v>
      </c>
      <c r="K29" s="106">
        <f>SUM(B29+D29+F29+H29+J29)</f>
        <v>0</v>
      </c>
      <c r="L29" s="68" t="s">
        <v>273</v>
      </c>
    </row>
    <row r="30" spans="1:12" x14ac:dyDescent="0.25">
      <c r="A30" s="92"/>
      <c r="B30" s="111" t="str">
        <f>IF(B29&lt;0,"See Tab B","")</f>
        <v/>
      </c>
      <c r="C30" s="92"/>
      <c r="D30" s="111" t="str">
        <f>IF(D29&lt;0,"See Tab B","")</f>
        <v/>
      </c>
      <c r="E30" s="92"/>
      <c r="F30" s="111" t="str">
        <f>IF(F29&lt;0,"See Tab B","")</f>
        <v/>
      </c>
      <c r="G30" s="77"/>
      <c r="H30" s="111" t="str">
        <f>IF(H29&lt;0,"See Tab B","")</f>
        <v/>
      </c>
      <c r="I30" s="77"/>
      <c r="J30" s="111" t="str">
        <f>IF(J29&lt;0,"See Tab B","")</f>
        <v/>
      </c>
      <c r="K30" s="106">
        <f>SUM(K7+K17-K28)</f>
        <v>0</v>
      </c>
      <c r="L30" s="68" t="s">
        <v>273</v>
      </c>
    </row>
    <row r="31" spans="1:12" x14ac:dyDescent="0.25">
      <c r="A31" s="77"/>
      <c r="B31" s="107"/>
      <c r="C31" s="77"/>
      <c r="D31" s="76"/>
      <c r="E31" s="77"/>
      <c r="F31" s="77"/>
      <c r="G31" s="108" t="s">
        <v>274</v>
      </c>
      <c r="H31" s="108"/>
      <c r="I31" s="108"/>
      <c r="J31" s="108"/>
      <c r="K31" s="77"/>
    </row>
    <row r="32" spans="1:12" x14ac:dyDescent="0.25">
      <c r="A32" s="244" t="s">
        <v>967</v>
      </c>
      <c r="B32" s="814"/>
      <c r="C32" s="229"/>
      <c r="D32" s="229"/>
      <c r="E32" s="821"/>
      <c r="F32" s="821"/>
      <c r="G32" s="821"/>
      <c r="H32" s="821"/>
      <c r="I32" s="821"/>
      <c r="J32" s="822"/>
      <c r="K32" s="77"/>
    </row>
    <row r="33" spans="1:11" x14ac:dyDescent="0.25">
      <c r="A33" s="815"/>
      <c r="B33" s="813"/>
      <c r="C33" s="8"/>
      <c r="D33" s="8"/>
      <c r="E33" s="493"/>
      <c r="F33" s="493"/>
      <c r="G33" s="493"/>
      <c r="H33" s="493"/>
      <c r="I33" s="493"/>
      <c r="J33" s="823"/>
      <c r="K33" s="77"/>
    </row>
    <row r="34" spans="1:11" x14ac:dyDescent="0.25">
      <c r="A34" s="816"/>
      <c r="B34" s="817"/>
      <c r="C34" s="9"/>
      <c r="D34" s="9"/>
      <c r="E34" s="81"/>
      <c r="F34" s="81"/>
      <c r="G34" s="81"/>
      <c r="H34" s="81"/>
      <c r="I34" s="81"/>
      <c r="J34" s="824"/>
      <c r="K34" s="77"/>
    </row>
    <row r="35" spans="1:11" x14ac:dyDescent="0.25">
      <c r="A35" s="77"/>
      <c r="B35" s="107"/>
      <c r="C35" s="77"/>
      <c r="D35" s="77"/>
      <c r="E35" s="77"/>
      <c r="F35" s="77"/>
      <c r="G35" s="77"/>
      <c r="H35" s="77"/>
      <c r="I35" s="77"/>
      <c r="J35" s="77"/>
      <c r="K35" s="77"/>
    </row>
    <row r="36" spans="1:11" x14ac:dyDescent="0.25">
      <c r="A36" s="77"/>
      <c r="B36" s="107"/>
      <c r="C36" s="77"/>
      <c r="D36" s="77"/>
      <c r="E36" s="109" t="s">
        <v>5</v>
      </c>
      <c r="F36" s="734"/>
      <c r="G36" s="77"/>
      <c r="H36" s="77"/>
      <c r="I36" s="77"/>
      <c r="J36" s="77"/>
      <c r="K36" s="77"/>
    </row>
    <row r="37" spans="1:11" x14ac:dyDescent="0.25">
      <c r="B37" s="110"/>
    </row>
    <row r="38" spans="1:11" x14ac:dyDescent="0.25">
      <c r="B38" s="110"/>
    </row>
    <row r="39" spans="1:11" x14ac:dyDescent="0.25">
      <c r="B39" s="110"/>
    </row>
    <row r="40" spans="1:11" x14ac:dyDescent="0.25">
      <c r="B40" s="110"/>
    </row>
    <row r="41" spans="1:11" x14ac:dyDescent="0.25">
      <c r="B41" s="110"/>
    </row>
    <row r="42" spans="1:11" x14ac:dyDescent="0.25">
      <c r="B42" s="110"/>
    </row>
    <row r="43" spans="1:11" x14ac:dyDescent="0.25">
      <c r="B43" s="110"/>
    </row>
    <row r="44" spans="1:11" x14ac:dyDescent="0.25">
      <c r="B44" s="110"/>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25"/>
  <sheetViews>
    <sheetView workbookViewId="0">
      <selection activeCell="M66" sqref="M66"/>
    </sheetView>
  </sheetViews>
  <sheetFormatPr defaultColWidth="8.796875" defaultRowHeight="15.75" x14ac:dyDescent="0.25"/>
  <cols>
    <col min="1" max="1" width="62.3984375" style="1" customWidth="1"/>
    <col min="2" max="16384" width="8.796875" style="1"/>
  </cols>
  <sheetData>
    <row r="1" spans="1:1" ht="20.25" x14ac:dyDescent="0.25">
      <c r="A1" s="150" t="s">
        <v>277</v>
      </c>
    </row>
    <row r="2" spans="1:1" ht="54.75" customHeight="1" x14ac:dyDescent="0.25">
      <c r="A2" s="151" t="s">
        <v>278</v>
      </c>
    </row>
    <row r="3" spans="1:1" x14ac:dyDescent="0.25">
      <c r="A3" s="152"/>
    </row>
    <row r="4" spans="1:1" ht="56.25" customHeight="1" x14ac:dyDescent="0.25">
      <c r="A4" s="151" t="s">
        <v>279</v>
      </c>
    </row>
    <row r="5" spans="1:1" x14ac:dyDescent="0.25">
      <c r="A5" s="68"/>
    </row>
    <row r="6" spans="1:1" ht="50.25" customHeight="1" x14ac:dyDescent="0.25">
      <c r="A6" s="151" t="s">
        <v>280</v>
      </c>
    </row>
    <row r="7" spans="1:1" ht="16.5" customHeight="1" x14ac:dyDescent="0.25">
      <c r="A7" s="151"/>
    </row>
    <row r="8" spans="1:1" ht="50.25" customHeight="1" x14ac:dyDescent="0.25">
      <c r="A8" s="429" t="s">
        <v>623</v>
      </c>
    </row>
    <row r="9" spans="1:1" x14ac:dyDescent="0.25">
      <c r="A9" s="152"/>
    </row>
    <row r="10" spans="1:1" ht="40.5" customHeight="1" x14ac:dyDescent="0.25">
      <c r="A10" s="151" t="s">
        <v>281</v>
      </c>
    </row>
    <row r="11" spans="1:1" x14ac:dyDescent="0.25">
      <c r="A11" s="68"/>
    </row>
    <row r="12" spans="1:1" ht="40.5" customHeight="1" x14ac:dyDescent="0.25">
      <c r="A12" s="151" t="s">
        <v>282</v>
      </c>
    </row>
    <row r="13" spans="1:1" x14ac:dyDescent="0.25">
      <c r="A13" s="152"/>
    </row>
    <row r="14" spans="1:1" ht="71.25" customHeight="1" x14ac:dyDescent="0.25">
      <c r="A14" s="151" t="s">
        <v>283</v>
      </c>
    </row>
    <row r="15" spans="1:1" x14ac:dyDescent="0.25">
      <c r="A15" s="152"/>
    </row>
    <row r="16" spans="1:1" ht="40.5" customHeight="1" x14ac:dyDescent="0.25">
      <c r="A16" s="151" t="s">
        <v>284</v>
      </c>
    </row>
    <row r="17" spans="1:1" x14ac:dyDescent="0.25">
      <c r="A17" s="68"/>
    </row>
    <row r="18" spans="1:1" ht="49.5" customHeight="1" x14ac:dyDescent="0.25">
      <c r="A18" s="151" t="s">
        <v>285</v>
      </c>
    </row>
    <row r="19" spans="1:1" x14ac:dyDescent="0.25">
      <c r="A19" s="152"/>
    </row>
    <row r="20" spans="1:1" ht="52.5" customHeight="1" x14ac:dyDescent="0.25">
      <c r="A20" s="151" t="s">
        <v>286</v>
      </c>
    </row>
    <row r="21" spans="1:1" x14ac:dyDescent="0.25">
      <c r="A21" s="152"/>
    </row>
    <row r="22" spans="1:1" ht="48.75" customHeight="1" x14ac:dyDescent="0.25">
      <c r="A22" s="151" t="s">
        <v>287</v>
      </c>
    </row>
    <row r="23" spans="1:1" x14ac:dyDescent="0.25">
      <c r="A23" s="152"/>
    </row>
    <row r="24" spans="1:1" x14ac:dyDescent="0.25">
      <c r="A24" s="68"/>
    </row>
    <row r="25" spans="1:1" ht="51.75" customHeight="1" x14ac:dyDescent="0.25">
      <c r="A25" s="151" t="s">
        <v>288</v>
      </c>
    </row>
  </sheetData>
  <sheetProtection sheet="1"/>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pageSetUpPr fitToPage="1"/>
  </sheetPr>
  <dimension ref="B1:N108"/>
  <sheetViews>
    <sheetView topLeftCell="A4" zoomScaleNormal="100" workbookViewId="0">
      <selection activeCell="L12" sqref="L12"/>
    </sheetView>
  </sheetViews>
  <sheetFormatPr defaultColWidth="8.796875" defaultRowHeight="15.75" x14ac:dyDescent="0.2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ols>
  <sheetData>
    <row r="1" spans="2:10" x14ac:dyDescent="0.25">
      <c r="B1" s="3"/>
      <c r="C1" s="3"/>
      <c r="D1" s="3"/>
      <c r="E1" s="3"/>
      <c r="F1" s="3"/>
      <c r="G1" s="3"/>
      <c r="H1" s="3"/>
      <c r="I1" s="132">
        <f>inputPrYr!D6</f>
        <v>2020</v>
      </c>
    </row>
    <row r="2" spans="2:10" x14ac:dyDescent="0.25">
      <c r="B2" s="878" t="s">
        <v>66</v>
      </c>
      <c r="C2" s="858"/>
      <c r="D2" s="858"/>
      <c r="E2" s="858"/>
      <c r="F2" s="858"/>
      <c r="G2" s="858"/>
      <c r="H2" s="858"/>
      <c r="I2" s="858"/>
    </row>
    <row r="3" spans="2:10" x14ac:dyDescent="0.25">
      <c r="B3" s="3"/>
      <c r="C3" s="3"/>
      <c r="D3" s="3"/>
      <c r="E3" s="3"/>
      <c r="F3" s="3"/>
      <c r="G3" s="11" t="s">
        <v>32</v>
      </c>
      <c r="H3" s="11" t="s">
        <v>33</v>
      </c>
      <c r="I3" s="3"/>
    </row>
    <row r="4" spans="2:10" x14ac:dyDescent="0.25">
      <c r="B4" s="872" t="s">
        <v>34</v>
      </c>
      <c r="C4" s="872"/>
      <c r="D4" s="872"/>
      <c r="E4" s="872"/>
      <c r="F4" s="872"/>
      <c r="G4" s="872"/>
      <c r="H4" s="872"/>
      <c r="I4" s="872"/>
    </row>
    <row r="5" spans="2:10" x14ac:dyDescent="0.25">
      <c r="B5" s="839" t="str">
        <f>inputPrYr!D3</f>
        <v>ROVOHL TOWNSHIP</v>
      </c>
      <c r="C5" s="839"/>
      <c r="D5" s="839"/>
      <c r="E5" s="839"/>
      <c r="F5" s="839"/>
      <c r="G5" s="839"/>
      <c r="H5" s="839"/>
      <c r="I5" s="839"/>
    </row>
    <row r="6" spans="2:10" x14ac:dyDescent="0.25">
      <c r="B6" s="839" t="str">
        <f>inputPrYr!D4</f>
        <v>THOMAS COUNTY</v>
      </c>
      <c r="C6" s="839"/>
      <c r="D6" s="839"/>
      <c r="E6" s="839"/>
      <c r="F6" s="839"/>
      <c r="G6" s="839"/>
      <c r="H6" s="839"/>
      <c r="I6" s="839"/>
    </row>
    <row r="7" spans="2:10" x14ac:dyDescent="0.25">
      <c r="B7" s="872" t="str">
        <f>CONCATENATE("will meet on ",inputBudSum!B8," at ",inputBudSum!B10," at ",inputBudSum!B12," for the purpose of hearing and")</f>
        <v>will meet on August 22, 2019 at 10:30 a.m. at Thomas County Commissioner's Room, 300 N Court, Colby, KS for the purpose of hearing and</v>
      </c>
      <c r="C7" s="872"/>
      <c r="D7" s="872"/>
      <c r="E7" s="872"/>
      <c r="F7" s="872"/>
      <c r="G7" s="872"/>
      <c r="H7" s="872"/>
      <c r="I7" s="872"/>
    </row>
    <row r="8" spans="2:10" x14ac:dyDescent="0.25">
      <c r="B8" s="134" t="s">
        <v>522</v>
      </c>
      <c r="C8" s="132"/>
      <c r="D8" s="132"/>
      <c r="E8" s="132"/>
      <c r="F8" s="132"/>
      <c r="G8" s="132"/>
      <c r="H8" s="132"/>
      <c r="I8" s="132"/>
    </row>
    <row r="9" spans="2:10" x14ac:dyDescent="0.25">
      <c r="B9" s="134" t="str">
        <f>CONCATENATE("Detailed budget information is available at ",inputBudSum!B15," and will be available at this hearing.")</f>
        <v>Detailed budget information is available at Thomas County Clerk's Office and will be available at this hearing.</v>
      </c>
      <c r="C9" s="132"/>
      <c r="D9" s="132"/>
      <c r="E9" s="132"/>
      <c r="F9" s="132"/>
      <c r="G9" s="132"/>
      <c r="H9" s="132"/>
      <c r="I9" s="132"/>
    </row>
    <row r="10" spans="2:10" x14ac:dyDescent="0.25">
      <c r="B10" s="131" t="s">
        <v>67</v>
      </c>
      <c r="C10" s="135"/>
      <c r="D10" s="135"/>
      <c r="E10" s="135"/>
      <c r="F10" s="135"/>
      <c r="G10" s="135"/>
      <c r="H10" s="135"/>
      <c r="I10" s="135"/>
    </row>
    <row r="11" spans="2:10" x14ac:dyDescent="0.25">
      <c r="B11" s="134" t="str">
        <f>CONCATENATE("Proposed Budget ",I1," Expenditures and Amount of ",I1-1," Ad Valorem Tax establish the maximum limits")</f>
        <v>Proposed Budget 2020 Expenditures and Amount of 2019 Ad Valorem Tax establish the maximum limits</v>
      </c>
      <c r="C11" s="132"/>
      <c r="D11" s="132"/>
      <c r="E11" s="132"/>
      <c r="F11" s="132"/>
      <c r="G11" s="132"/>
      <c r="H11" s="132"/>
      <c r="I11" s="132"/>
    </row>
    <row r="12" spans="2:10" x14ac:dyDescent="0.25">
      <c r="B12" s="134" t="str">
        <f>CONCATENATE("of the ",I1," budget.  Estimated Tax Rate is subject to change depending on the final assessed valuation.")</f>
        <v>of the 2020 budget.  Estimated Tax Rate is subject to change depending on the final assessed valuation.</v>
      </c>
      <c r="C12" s="132"/>
      <c r="D12" s="132"/>
      <c r="E12" s="132"/>
      <c r="F12" s="132"/>
      <c r="G12" s="132"/>
      <c r="H12" s="132"/>
      <c r="I12" s="132"/>
    </row>
    <row r="13" spans="2:10" x14ac:dyDescent="0.25">
      <c r="B13" s="11"/>
      <c r="C13" s="8"/>
      <c r="D13" s="8"/>
      <c r="E13" s="8"/>
      <c r="F13" s="8"/>
      <c r="G13" s="8"/>
      <c r="H13" s="8"/>
      <c r="I13" s="8"/>
      <c r="J13" s="136"/>
    </row>
    <row r="14" spans="2:10" x14ac:dyDescent="0.25">
      <c r="B14" s="3"/>
      <c r="C14" s="137" t="str">
        <f>CONCATENATE("Prior Year Actual ",I1-2,"")</f>
        <v>Prior Year Actual 2018</v>
      </c>
      <c r="D14" s="138"/>
      <c r="E14" s="137" t="str">
        <f>CONCATENATE("Current Year Estimate ",I1-1,"")</f>
        <v>Current Year Estimate 2019</v>
      </c>
      <c r="F14" s="139"/>
      <c r="G14" s="140" t="str">
        <f>CONCATENATE("Proposed Budget ",I1,"")</f>
        <v>Proposed Budget 2020</v>
      </c>
      <c r="H14" s="141"/>
      <c r="I14" s="139"/>
      <c r="J14" s="136"/>
    </row>
    <row r="15" spans="2:10" ht="22.5" customHeight="1" x14ac:dyDescent="0.25">
      <c r="B15" s="3"/>
      <c r="C15" s="57"/>
      <c r="D15" s="12" t="s">
        <v>28</v>
      </c>
      <c r="E15" s="12"/>
      <c r="F15" s="12" t="s">
        <v>28</v>
      </c>
      <c r="G15" s="142"/>
      <c r="H15" s="864" t="str">
        <f>CONCATENATE("Amount of ",I1-1," Ad Valorem Tax")</f>
        <v>Amount of 2019 Ad Valorem Tax</v>
      </c>
      <c r="I15" s="12" t="s">
        <v>35</v>
      </c>
      <c r="J15" s="136"/>
    </row>
    <row r="16" spans="2:10" x14ac:dyDescent="0.25">
      <c r="B16" s="3"/>
      <c r="C16" s="143"/>
      <c r="D16" s="143" t="s">
        <v>36</v>
      </c>
      <c r="E16" s="143"/>
      <c r="F16" s="143" t="s">
        <v>36</v>
      </c>
      <c r="G16" s="143" t="s">
        <v>172</v>
      </c>
      <c r="H16" s="931"/>
      <c r="I16" s="143" t="s">
        <v>36</v>
      </c>
      <c r="J16" s="136"/>
    </row>
    <row r="17" spans="2:14" x14ac:dyDescent="0.25">
      <c r="B17" s="14" t="s">
        <v>245</v>
      </c>
      <c r="C17" s="15" t="s">
        <v>37</v>
      </c>
      <c r="D17" s="15" t="s">
        <v>38</v>
      </c>
      <c r="E17" s="15" t="s">
        <v>37</v>
      </c>
      <c r="F17" s="15" t="s">
        <v>38</v>
      </c>
      <c r="G17" s="15" t="s">
        <v>629</v>
      </c>
      <c r="H17" s="932"/>
      <c r="I17" s="15" t="s">
        <v>38</v>
      </c>
      <c r="J17" s="136"/>
    </row>
    <row r="18" spans="2:14" x14ac:dyDescent="0.25">
      <c r="B18" s="72" t="str">
        <f>inputPrYr!B19</f>
        <v>General</v>
      </c>
      <c r="C18" s="52">
        <f>IF(gen!$C$50&lt;&gt;0,gen!$C$50,"  ")</f>
        <v>101800</v>
      </c>
      <c r="D18" s="472">
        <f>IF(inputPrYr!D45&gt;0,inputPrYr!D45,"  ")</f>
        <v>15.962999999999999</v>
      </c>
      <c r="E18" s="21">
        <f>IF(gen!$D$50&lt;&gt;0,gen!$D$50,"  ")</f>
        <v>181800</v>
      </c>
      <c r="F18" s="220">
        <f>IF(inputOth!D17&gt;0,inputOth!D17,"  ")</f>
        <v>19.869</v>
      </c>
      <c r="G18" s="21">
        <f>IF(gen!$E$50&lt;&gt;0,gen!$E$50,"  ")</f>
        <v>213800</v>
      </c>
      <c r="H18" s="21">
        <f>IF(gen!$E$57&lt;&gt;0,gen!$E$57," ")</f>
        <v>176446</v>
      </c>
      <c r="I18" s="474">
        <f>IF(gen!E57&gt;0,ROUND(H18/$G$37*1000,3)," ")</f>
        <v>19.873000000000001</v>
      </c>
      <c r="J18" s="136"/>
    </row>
    <row r="19" spans="2:14" x14ac:dyDescent="0.25">
      <c r="B19" s="72" t="s">
        <v>257</v>
      </c>
      <c r="C19" s="21" t="str">
        <f>IF('DebtSvs-Library'!C34&lt;&gt;0,'DebtSvs-Library'!C34,"  ")</f>
        <v xml:space="preserve">  </v>
      </c>
      <c r="D19" s="472" t="str">
        <f>IF(inputPrYr!D46&gt;0,inputPrYr!D46,"  ")</f>
        <v xml:space="preserve">  </v>
      </c>
      <c r="E19" s="21" t="str">
        <f>IF('DebtSvs-Library'!D34&lt;&gt;0,'DebtSvs-Library'!D34,"  ")</f>
        <v xml:space="preserve">  </v>
      </c>
      <c r="F19" s="220" t="str">
        <f>IF(inputOth!D18&gt;0,inputOth!D18,"  ")</f>
        <v xml:space="preserve">  </v>
      </c>
      <c r="G19" s="21" t="str">
        <f>IF('DebtSvs-Library'!E34&lt;&gt;0,'DebtSvs-Library'!E34,"  ")</f>
        <v xml:space="preserve">  </v>
      </c>
      <c r="H19" s="21" t="str">
        <f>IF('DebtSvs-Library'!E41&lt;&gt;0,'DebtSvs-Library'!E41," ")</f>
        <v xml:space="preserve"> </v>
      </c>
      <c r="I19" s="474" t="str">
        <f>IF('DebtSvs-Library'!E41&gt;0,ROUND(H19/$G$37*1000,3)," ")</f>
        <v xml:space="preserve"> </v>
      </c>
      <c r="J19" s="136"/>
    </row>
    <row r="20" spans="2:14" x14ac:dyDescent="0.25">
      <c r="B20" s="72" t="str">
        <f>IF(inputPrYr!$B21&gt;"  ",inputPrYr!$B21,"  ")</f>
        <v>Library</v>
      </c>
      <c r="C20" s="21" t="str">
        <f>IF('DebtSvs-Library'!C73&lt;&gt;0,'DebtSvs-Library'!C73,"  ")</f>
        <v xml:space="preserve">  </v>
      </c>
      <c r="D20" s="472" t="str">
        <f>IF(inputPrYr!D47&gt;0,inputPrYr!D47,"  ")</f>
        <v xml:space="preserve">  </v>
      </c>
      <c r="E20" s="21" t="str">
        <f>IF('DebtSvs-Library'!D73&lt;&gt;0,'DebtSvs-Library'!D73,"  ")</f>
        <v xml:space="preserve">  </v>
      </c>
      <c r="F20" s="220" t="str">
        <f>IF(inputOth!D19&gt;0,inputOth!D19,"  ")</f>
        <v xml:space="preserve">  </v>
      </c>
      <c r="G20" s="21" t="str">
        <f>IF('DebtSvs-Library'!E73&lt;&gt;0,'DebtSvs-Library'!E73,"  ")</f>
        <v xml:space="preserve">  </v>
      </c>
      <c r="H20" s="21" t="str">
        <f>IF('DebtSvs-Library'!E80&lt;&gt;0,'DebtSvs-Library'!E80," ")</f>
        <v xml:space="preserve"> </v>
      </c>
      <c r="I20" s="474" t="str">
        <f>IF('DebtSvs-Library'!E80&gt;0,ROUND(H20/$G$37*1000,3)," ")</f>
        <v xml:space="preserve"> </v>
      </c>
      <c r="J20" s="136"/>
    </row>
    <row r="21" spans="2:14" x14ac:dyDescent="0.25">
      <c r="B21" s="72" t="str">
        <f>IF(inputPrYr!$B22&gt;"  ",inputPrYr!$B22,"  ")</f>
        <v>Road</v>
      </c>
      <c r="C21" s="21" t="str">
        <f>IF(road!$C$43&lt;&gt;0,road!$C$43,"  ")</f>
        <v xml:space="preserve">  </v>
      </c>
      <c r="D21" s="472" t="str">
        <f>IF(inputPrYr!D48&gt;0,inputPrYr!D48,"  ")</f>
        <v xml:space="preserve">  </v>
      </c>
      <c r="E21" s="21" t="str">
        <f>IF(road!$D$43&lt;&gt;0,road!$D$43,"  ")</f>
        <v xml:space="preserve">  </v>
      </c>
      <c r="F21" s="220" t="str">
        <f>IF(inputOth!D20&gt;0,inputOth!D20,"  ")</f>
        <v xml:space="preserve">  </v>
      </c>
      <c r="G21" s="21" t="str">
        <f>IF(road!$E$43&lt;&gt;0,road!$E$43,"  ")</f>
        <v xml:space="preserve">  </v>
      </c>
      <c r="H21" s="21" t="str">
        <f>IF(road!$E$50&lt;&gt;0,road!$E$50,"  ")</f>
        <v xml:space="preserve">  </v>
      </c>
      <c r="I21" s="474" t="str">
        <f>IF(road!E50&gt;0,ROUND(H21/$G$37*1000,3)," ")</f>
        <v xml:space="preserve"> </v>
      </c>
      <c r="K21" s="924" t="str">
        <f>CONCATENATE("Estimated Value Of One Mill For ",I1,"")</f>
        <v>Estimated Value Of One Mill For 2020</v>
      </c>
      <c r="L21" s="929"/>
      <c r="M21" s="929"/>
      <c r="N21" s="930"/>
    </row>
    <row r="22" spans="2:14" x14ac:dyDescent="0.25">
      <c r="B22" s="72" t="str">
        <f>IF(inputPrYr!$B23&gt;"  ",inputPrYr!$B23,"  ")</f>
        <v xml:space="preserve">  </v>
      </c>
      <c r="C22" s="21" t="str">
        <f>IF(levypage9!$C$34&lt;&gt;0,levypage9!$C$34,"  ")</f>
        <v xml:space="preserve">  </v>
      </c>
      <c r="D22" s="472" t="str">
        <f>IF(inputPrYr!D49&gt;0,inputPrYr!D49,"  ")</f>
        <v xml:space="preserve">  </v>
      </c>
      <c r="E22" s="21" t="str">
        <f>IF(levypage9!$D$34&lt;&gt;0,levypage9!$D$34,"  ")</f>
        <v xml:space="preserve">  </v>
      </c>
      <c r="F22" s="220" t="str">
        <f>IF(inputOth!D21&gt;0,inputOth!D21,"  ")</f>
        <v xml:space="preserve">  </v>
      </c>
      <c r="G22" s="21" t="str">
        <f>IF(levypage9!$E$34&lt;&gt;0,levypage9!$E$34,"  ")</f>
        <v xml:space="preserve">  </v>
      </c>
      <c r="H22" s="21" t="str">
        <f>IF(levypage9!$E$41&lt;&gt;0,levypage9!$E$41,"  ")</f>
        <v xml:space="preserve">  </v>
      </c>
      <c r="I22" s="474" t="str">
        <f>IF(levypage9!E41&gt;0,ROUND(H22/$G$37*1000,3)," ")</f>
        <v xml:space="preserve"> </v>
      </c>
      <c r="K22" s="448"/>
      <c r="L22" s="449"/>
      <c r="M22" s="449"/>
      <c r="N22" s="450"/>
    </row>
    <row r="23" spans="2:14" x14ac:dyDescent="0.25">
      <c r="B23" s="72" t="str">
        <f>IF(inputPrYr!$B24&gt;"  ",inputPrYr!$B24,"  ")</f>
        <v xml:space="preserve">  </v>
      </c>
      <c r="C23" s="21" t="str">
        <f>IF(levypage9!$C$74&lt;&gt;0,levypage9!$C$74,"  ")</f>
        <v xml:space="preserve">  </v>
      </c>
      <c r="D23" s="472" t="str">
        <f>IF(inputPrYr!D50&gt;0,inputPrYr!D50,"  ")</f>
        <v xml:space="preserve">  </v>
      </c>
      <c r="E23" s="21" t="str">
        <f>IF(levypage9!$D$74&lt;&gt;0,levypage9!$D$74,"  ")</f>
        <v xml:space="preserve">  </v>
      </c>
      <c r="F23" s="220" t="str">
        <f>IF(inputOth!D22&gt;0,inputOth!D22,"  ")</f>
        <v xml:space="preserve">  </v>
      </c>
      <c r="G23" s="21" t="str">
        <f>IF(levypage9!$E$74&lt;&gt;0,levypage9!$E$74,"  ")</f>
        <v xml:space="preserve">  </v>
      </c>
      <c r="H23" s="21" t="str">
        <f>IF(levypage9!$E$81&lt;&gt;0,levypage9!$E$81,"  ")</f>
        <v xml:space="preserve">  </v>
      </c>
      <c r="I23" s="474" t="str">
        <f>IF(levypage9!E81&gt;0,ROUND(H23/$G$37*1000,3)," ")</f>
        <v xml:space="preserve"> </v>
      </c>
      <c r="K23" s="451" t="s">
        <v>626</v>
      </c>
      <c r="L23" s="452"/>
      <c r="M23" s="452"/>
      <c r="N23" s="735">
        <f>ROUND(G37/1000,0)</f>
        <v>8879</v>
      </c>
    </row>
    <row r="24" spans="2:14" x14ac:dyDescent="0.25">
      <c r="B24" s="72" t="str">
        <f>IF(inputPrYr!$B25&gt;"  ",inputPrYr!$B25,"  ")</f>
        <v xml:space="preserve">  </v>
      </c>
      <c r="C24" s="21" t="str">
        <f>IF(levypage10!$C$34&lt;&gt;0,levypage10!$C$34,"  ")</f>
        <v xml:space="preserve">  </v>
      </c>
      <c r="D24" s="472" t="str">
        <f>IF(inputPrYr!D51&gt;0,inputPrYr!D51,"  ")</f>
        <v xml:space="preserve">  </v>
      </c>
      <c r="E24" s="21" t="str">
        <f>IF(levypage10!$D$34&lt;&gt;0,levypage10!$D$34,"  ")</f>
        <v xml:space="preserve">  </v>
      </c>
      <c r="F24" s="220" t="str">
        <f>IF(inputOth!D23&gt;0,inputOth!D23,"  ")</f>
        <v xml:space="preserve">  </v>
      </c>
      <c r="G24" s="21" t="str">
        <f>IF(levypage10!$E$34&lt;&gt;0,levypage10!$E$34,"  ")</f>
        <v xml:space="preserve">  </v>
      </c>
      <c r="H24" s="21" t="str">
        <f>IF(levypage10!$E$41&lt;&gt;0,levypage10!$E$41,"  ")</f>
        <v xml:space="preserve">  </v>
      </c>
      <c r="I24" s="474" t="str">
        <f>IF(levypage10!E41&gt;0,ROUND(H24/$G$37*1000,3)," ")</f>
        <v xml:space="preserve"> </v>
      </c>
    </row>
    <row r="25" spans="2:14" x14ac:dyDescent="0.25">
      <c r="B25" s="72" t="str">
        <f>IF(inputPrYr!$B26&gt;"  ",inputPrYr!$B26,"  ")</f>
        <v xml:space="preserve">  </v>
      </c>
      <c r="C25" s="21" t="str">
        <f>IF(levypage10!$C$75&lt;&gt;0,levypage10!$C$75,"  ")</f>
        <v xml:space="preserve">  </v>
      </c>
      <c r="D25" s="472" t="str">
        <f>IF(inputPrYr!D52&gt;0,inputPrYr!D52,"  ")</f>
        <v xml:space="preserve">  </v>
      </c>
      <c r="E25" s="21" t="str">
        <f>IF(levypage10!$D$75&lt;&gt;0,levypage10!$D$75,"  ")</f>
        <v xml:space="preserve">  </v>
      </c>
      <c r="F25" s="220" t="str">
        <f>IF(inputOth!D24&gt;0,inputOth!D24,"  ")</f>
        <v xml:space="preserve">  </v>
      </c>
      <c r="G25" s="21" t="str">
        <f>IF(levypage10!$E$75&lt;&gt;0,levypage10!$E$75,"  ")</f>
        <v xml:space="preserve">  </v>
      </c>
      <c r="H25" s="21" t="str">
        <f>IF(levypage10!$E$82&lt;&gt;0,levypage10!$E$82,"  ")</f>
        <v xml:space="preserve">  </v>
      </c>
      <c r="I25" s="474" t="str">
        <f>IF(levypage10!E82&gt;0,ROUND(H25/$G$37*1000,3)," ")</f>
        <v xml:space="preserve"> </v>
      </c>
      <c r="K25" s="924" t="str">
        <f>CONCATENATE("Want The Mill Rate The Same As For ",I1-1,"?")</f>
        <v>Want The Mill Rate The Same As For 2019?</v>
      </c>
      <c r="L25" s="927"/>
      <c r="M25" s="927"/>
      <c r="N25" s="928"/>
    </row>
    <row r="26" spans="2:14" x14ac:dyDescent="0.25">
      <c r="B26" s="72" t="str">
        <f>IF(inputPrYr!$B27&gt;"  ",inputPrYr!$B27,"  ")</f>
        <v xml:space="preserve">  </v>
      </c>
      <c r="C26" s="21" t="str">
        <f>IF(levypage11!$C$34&lt;&gt;0,levypage11!$C$34,"  ")</f>
        <v xml:space="preserve">  </v>
      </c>
      <c r="D26" s="472" t="str">
        <f>IF(inputPrYr!D53&gt;0,inputPrYr!D53,"  ")</f>
        <v xml:space="preserve">  </v>
      </c>
      <c r="E26" s="21" t="str">
        <f>IF(levypage11!$D$34&lt;&gt;0,levypage11!$D$34,"  ")</f>
        <v xml:space="preserve">  </v>
      </c>
      <c r="F26" s="220" t="str">
        <f>IF(inputOth!D25&gt;0,inputOth!D25,"  ")</f>
        <v xml:space="preserve">  </v>
      </c>
      <c r="G26" s="21" t="str">
        <f>IF(levypage11!$E$34&lt;&gt;0,levypage11!$E$34,"  ")</f>
        <v xml:space="preserve">  </v>
      </c>
      <c r="H26" s="21" t="str">
        <f>IF(levypage11!$E$41&lt;&gt;0,levypage11!$E$41,"  ")</f>
        <v xml:space="preserve">  </v>
      </c>
      <c r="I26" s="474" t="str">
        <f>IF(levypage11!E41&gt;0,ROUND(H26/$G$37*1000,3)," ")</f>
        <v xml:space="preserve"> </v>
      </c>
      <c r="K26" s="455"/>
      <c r="L26" s="449"/>
      <c r="M26" s="449"/>
      <c r="N26" s="456"/>
    </row>
    <row r="27" spans="2:14" x14ac:dyDescent="0.25">
      <c r="B27" s="72" t="str">
        <f>IF(inputPrYr!$B28&gt;"  ",inputPrYr!$B28,"  ")</f>
        <v xml:space="preserve">  </v>
      </c>
      <c r="C27" s="21" t="str">
        <f>IF(levypage11!$C$75&lt;&gt;0,levypage11!$C$75,"  ")</f>
        <v xml:space="preserve">  </v>
      </c>
      <c r="D27" s="472" t="str">
        <f>IF(inputPrYr!D54&gt;0,inputPrYr!D54,"  ")</f>
        <v xml:space="preserve">  </v>
      </c>
      <c r="E27" s="21" t="str">
        <f>IF(levypage11!$D$75&lt;&gt;0,levypage11!$D$75,"  ")</f>
        <v xml:space="preserve">  </v>
      </c>
      <c r="F27" s="220" t="str">
        <f>IF(inputOth!D26&gt;0,inputOth!D26,"  ")</f>
        <v xml:space="preserve">  </v>
      </c>
      <c r="G27" s="21" t="str">
        <f>IF(levypage11!$E$75&lt;&gt;0,levypage11!$E$75,"  ")</f>
        <v xml:space="preserve">  </v>
      </c>
      <c r="H27" s="21" t="str">
        <f>IF(levypage11!$E$82&lt;&gt;0,levypage11!$E$82,"  ")</f>
        <v xml:space="preserve">  </v>
      </c>
      <c r="I27" s="474" t="str">
        <f>IF(levypage11!E82&gt;0,ROUND(H27/$G$37*1000,3)," ")</f>
        <v xml:space="preserve"> </v>
      </c>
      <c r="K27" s="455" t="str">
        <f>CONCATENATE("",I1-1," Mill Rate Was:")</f>
        <v>2019 Mill Rate Was:</v>
      </c>
      <c r="L27" s="449"/>
      <c r="M27" s="449"/>
      <c r="N27" s="457">
        <f>F32</f>
        <v>19.869</v>
      </c>
    </row>
    <row r="28" spans="2:14" x14ac:dyDescent="0.25">
      <c r="B28" s="72" t="str">
        <f>IF(inputPrYr!$B32&gt;"  ",inputPrYr!$B32,"  ")</f>
        <v xml:space="preserve">  </v>
      </c>
      <c r="C28" s="21" t="str">
        <f>IF(nolevypage12!$C$27&lt;&gt;0,nolevypage12!$C$27,"  ")</f>
        <v xml:space="preserve">  </v>
      </c>
      <c r="D28" s="144"/>
      <c r="E28" s="21" t="str">
        <f>IF(nolevypage12!$D$27&lt;&gt;0,nolevypage12!$D$27,"  ")</f>
        <v xml:space="preserve">  </v>
      </c>
      <c r="F28" s="220"/>
      <c r="G28" s="21" t="str">
        <f>IF(nolevypage12!$E$27&lt;&gt;0,nolevypage12!$E$27,"  ")</f>
        <v xml:space="preserve">  </v>
      </c>
      <c r="H28" s="21"/>
      <c r="I28" s="220"/>
      <c r="K28" s="458" t="str">
        <f>CONCATENATE("",I1," Tax Levy Fund Expenditures Must Be")</f>
        <v>2020 Tax Levy Fund Expenditures Must Be</v>
      </c>
      <c r="L28" s="459"/>
      <c r="M28" s="459"/>
      <c r="N28" s="456"/>
    </row>
    <row r="29" spans="2:14" x14ac:dyDescent="0.25">
      <c r="B29" s="72" t="str">
        <f>IF(inputPrYr!$B33&gt;"  ",inputPrYr!$B33,"  ")</f>
        <v xml:space="preserve">  </v>
      </c>
      <c r="C29" s="21" t="str">
        <f>IF(nolevypage12!$C$57&lt;&gt;0,nolevypage12!$C$57,"  ")</f>
        <v xml:space="preserve">  </v>
      </c>
      <c r="D29" s="144"/>
      <c r="E29" s="21" t="str">
        <f>IF(nolevypage12!$D$57&lt;&gt;0,nolevypage12!$D$57,"  ")</f>
        <v xml:space="preserve">  </v>
      </c>
      <c r="F29" s="220"/>
      <c r="G29" s="21" t="str">
        <f>IF(nolevypage12!$E$57&lt;&gt;0,nolevypage12!$E$57,"  ")</f>
        <v xml:space="preserve">  </v>
      </c>
      <c r="H29" s="21"/>
      <c r="I29" s="220"/>
      <c r="K29" s="458" t="str">
        <f>IF(N29&gt;0,"Increased By:","")</f>
        <v/>
      </c>
      <c r="L29" s="459"/>
      <c r="M29" s="459"/>
      <c r="N29" s="465">
        <f>IF(N36&lt;0,N36*-1,0)</f>
        <v>0</v>
      </c>
    </row>
    <row r="30" spans="2:14" x14ac:dyDescent="0.25">
      <c r="B30" s="72" t="str">
        <f>IF((inputPrYr!$B37&gt;"  "),(nonbud!$A3),"  ")</f>
        <v xml:space="preserve">  </v>
      </c>
      <c r="C30" s="52" t="str">
        <f>IF((nonbud!$K$28)&lt;&gt;0,(nonbud!$K$28),"  ")</f>
        <v xml:space="preserve">  </v>
      </c>
      <c r="D30" s="144"/>
      <c r="E30" s="21"/>
      <c r="F30" s="144"/>
      <c r="G30" s="21"/>
      <c r="H30" s="21"/>
      <c r="I30" s="144"/>
      <c r="K30" s="466" t="str">
        <f>IF($N$30&lt;0,"Reduced By:","")</f>
        <v>Reduced By:</v>
      </c>
      <c r="L30" s="447"/>
      <c r="M30" s="447"/>
      <c r="N30" s="467">
        <f>IF(N36&gt;0,N36*-1,0)</f>
        <v>-33</v>
      </c>
    </row>
    <row r="31" spans="2:14" ht="16.5" thickBot="1" x14ac:dyDescent="0.3">
      <c r="B31" s="60" t="s">
        <v>247</v>
      </c>
      <c r="C31" s="427">
        <f>IF(road!C63&lt;&gt;0,road!C63,"  ")</f>
        <v>29957</v>
      </c>
      <c r="D31" s="428"/>
      <c r="E31" s="473"/>
      <c r="F31" s="428"/>
      <c r="G31" s="473"/>
      <c r="H31" s="473"/>
      <c r="I31" s="428"/>
      <c r="K31" s="462"/>
      <c r="L31" s="462"/>
      <c r="M31" s="462"/>
      <c r="N31" s="462"/>
    </row>
    <row r="32" spans="2:14" x14ac:dyDescent="0.25">
      <c r="B32" s="60" t="s">
        <v>248</v>
      </c>
      <c r="C32" s="475">
        <f t="shared" ref="C32:I32" si="0">SUM(C18:C31)</f>
        <v>131757</v>
      </c>
      <c r="D32" s="426">
        <f t="shared" si="0"/>
        <v>15.962999999999999</v>
      </c>
      <c r="E32" s="475">
        <f t="shared" si="0"/>
        <v>181800</v>
      </c>
      <c r="F32" s="426">
        <f t="shared" si="0"/>
        <v>19.869</v>
      </c>
      <c r="G32" s="475">
        <f t="shared" si="0"/>
        <v>213800</v>
      </c>
      <c r="H32" s="475">
        <f t="shared" si="0"/>
        <v>176446</v>
      </c>
      <c r="I32" s="478">
        <f t="shared" si="0"/>
        <v>19.873000000000001</v>
      </c>
      <c r="K32" s="924" t="str">
        <f>CONCATENATE("Impact On Keeping The Same Mill Rate As For ",I1-1,"")</f>
        <v>Impact On Keeping The Same Mill Rate As For 2019</v>
      </c>
      <c r="L32" s="925"/>
      <c r="M32" s="925"/>
      <c r="N32" s="926"/>
    </row>
    <row r="33" spans="2:14" x14ac:dyDescent="0.25">
      <c r="B33" s="250" t="s">
        <v>39</v>
      </c>
      <c r="C33" s="21">
        <f>transfer!C29</f>
        <v>24000</v>
      </c>
      <c r="D33" s="3"/>
      <c r="E33" s="21">
        <f>transfer!D29</f>
        <v>30000</v>
      </c>
      <c r="F33" s="50"/>
      <c r="G33" s="21">
        <f>transfer!E29</f>
        <v>30000</v>
      </c>
      <c r="H33" s="3"/>
      <c r="I33" s="3"/>
      <c r="K33" s="455"/>
      <c r="L33" s="449"/>
      <c r="M33" s="449"/>
      <c r="N33" s="456"/>
    </row>
    <row r="34" spans="2:14" ht="16.5" thickBot="1" x14ac:dyDescent="0.3">
      <c r="B34" s="250" t="s">
        <v>40</v>
      </c>
      <c r="C34" s="476">
        <f>C32-C33</f>
        <v>107757</v>
      </c>
      <c r="D34" s="3"/>
      <c r="E34" s="476">
        <f>E32-E33</f>
        <v>151800</v>
      </c>
      <c r="F34" s="3"/>
      <c r="G34" s="476">
        <f>G32-G33</f>
        <v>183800</v>
      </c>
      <c r="H34" s="3"/>
      <c r="I34" s="3"/>
      <c r="K34" s="455" t="str">
        <f>CONCATENATE("",I1," Ad Valorem Tax Revenue:")</f>
        <v>2020 Ad Valorem Tax Revenue:</v>
      </c>
      <c r="L34" s="449"/>
      <c r="M34" s="449"/>
      <c r="N34" s="450">
        <f>H32</f>
        <v>176446</v>
      </c>
    </row>
    <row r="35" spans="2:14" ht="16.5" thickTop="1" x14ac:dyDescent="0.25">
      <c r="B35" s="250" t="s">
        <v>41</v>
      </c>
      <c r="C35" s="477">
        <f>inputPrYr!E57</f>
        <v>91191</v>
      </c>
      <c r="D35" s="50"/>
      <c r="E35" s="477">
        <f>inputPrYr!E29</f>
        <v>123381</v>
      </c>
      <c r="F35" s="3"/>
      <c r="G35" s="468" t="s">
        <v>249</v>
      </c>
      <c r="H35" s="3"/>
      <c r="I35" s="3"/>
      <c r="K35" s="455" t="str">
        <f>CONCATENATE("",I1-1," Ad Valorem Tax Revenue:")</f>
        <v>2019 Ad Valorem Tax Revenue:</v>
      </c>
      <c r="L35" s="449"/>
      <c r="M35" s="449"/>
      <c r="N35" s="463">
        <f>ROUND(G37*N27/1000,0)</f>
        <v>176413</v>
      </c>
    </row>
    <row r="36" spans="2:14" x14ac:dyDescent="0.25">
      <c r="B36" s="250" t="s">
        <v>42</v>
      </c>
      <c r="C36" s="44"/>
      <c r="D36" s="50"/>
      <c r="E36" s="44"/>
      <c r="F36" s="50"/>
      <c r="G36" s="3"/>
      <c r="H36" s="3"/>
      <c r="I36" s="3"/>
      <c r="K36" s="460" t="s">
        <v>627</v>
      </c>
      <c r="L36" s="461"/>
      <c r="M36" s="461"/>
      <c r="N36" s="453">
        <f>N34-N35</f>
        <v>33</v>
      </c>
    </row>
    <row r="37" spans="2:14" x14ac:dyDescent="0.25">
      <c r="B37" s="250" t="s">
        <v>43</v>
      </c>
      <c r="C37" s="21">
        <f>inputPrYr!E58</f>
        <v>5712965</v>
      </c>
      <c r="D37" s="3"/>
      <c r="E37" s="21">
        <f>inputOth!E29</f>
        <v>6209630</v>
      </c>
      <c r="F37" s="3"/>
      <c r="G37" s="21">
        <f>inputOth!E7</f>
        <v>8878826</v>
      </c>
      <c r="H37" s="3"/>
      <c r="I37" s="3"/>
      <c r="K37" s="454"/>
      <c r="L37" s="454"/>
      <c r="M37" s="454"/>
      <c r="N37" s="462"/>
    </row>
    <row r="38" spans="2:14" x14ac:dyDescent="0.25">
      <c r="B38" s="11" t="s">
        <v>44</v>
      </c>
      <c r="C38" s="3"/>
      <c r="D38" s="3"/>
      <c r="E38" s="3"/>
      <c r="F38" s="3"/>
      <c r="G38" s="3"/>
      <c r="H38" s="3"/>
      <c r="I38" s="3"/>
      <c r="K38" s="924" t="s">
        <v>628</v>
      </c>
      <c r="L38" s="927"/>
      <c r="M38" s="927"/>
      <c r="N38" s="928"/>
    </row>
    <row r="39" spans="2:14" x14ac:dyDescent="0.25">
      <c r="B39" s="11" t="s">
        <v>45</v>
      </c>
      <c r="C39" s="147">
        <f>I1-3</f>
        <v>2017</v>
      </c>
      <c r="D39" s="3"/>
      <c r="E39" s="147">
        <f>I1-2</f>
        <v>2018</v>
      </c>
      <c r="F39" s="3"/>
      <c r="G39" s="147">
        <f>I1-1</f>
        <v>2019</v>
      </c>
      <c r="H39" s="3"/>
      <c r="I39" s="3"/>
      <c r="K39" s="455"/>
      <c r="L39" s="449"/>
      <c r="M39" s="449"/>
      <c r="N39" s="456"/>
    </row>
    <row r="40" spans="2:14" x14ac:dyDescent="0.25">
      <c r="B40" s="11" t="s">
        <v>46</v>
      </c>
      <c r="C40" s="148">
        <f>inputPrYr!D62</f>
        <v>0</v>
      </c>
      <c r="D40" s="48"/>
      <c r="E40" s="148">
        <f>inputPrYr!E62</f>
        <v>0</v>
      </c>
      <c r="F40" s="48"/>
      <c r="G40" s="148">
        <f>'debt-lease'!F11</f>
        <v>0</v>
      </c>
      <c r="H40" s="3"/>
      <c r="I40" s="3"/>
      <c r="K40" s="455" t="str">
        <f>CONCATENATE("Current ",I1," Estimated Mill Rate:")</f>
        <v>Current 2020 Estimated Mill Rate:</v>
      </c>
      <c r="L40" s="449"/>
      <c r="M40" s="449"/>
      <c r="N40" s="457">
        <f>I32</f>
        <v>19.873000000000001</v>
      </c>
    </row>
    <row r="41" spans="2:14" x14ac:dyDescent="0.25">
      <c r="B41" s="11" t="s">
        <v>17</v>
      </c>
      <c r="C41" s="148">
        <f>inputPrYr!D63</f>
        <v>0</v>
      </c>
      <c r="D41" s="48"/>
      <c r="E41" s="148">
        <f>inputPrYr!E63</f>
        <v>0</v>
      </c>
      <c r="F41" s="48"/>
      <c r="G41" s="148">
        <f>'debt-lease'!F15</f>
        <v>0</v>
      </c>
      <c r="H41" s="3"/>
      <c r="I41" s="3"/>
      <c r="K41" s="455" t="str">
        <f>CONCATENATE("Desired ",I1," Mill Rate:")</f>
        <v>Desired 2020 Mill Rate:</v>
      </c>
      <c r="L41" s="449"/>
      <c r="M41" s="449"/>
      <c r="N41" s="464">
        <v>0</v>
      </c>
    </row>
    <row r="42" spans="2:14" x14ac:dyDescent="0.25">
      <c r="B42" s="11" t="s">
        <v>632</v>
      </c>
      <c r="C42" s="148">
        <f>inputPrYr!D64</f>
        <v>0</v>
      </c>
      <c r="D42" s="48"/>
      <c r="E42" s="148">
        <f>inputPrYr!E64</f>
        <v>28962</v>
      </c>
      <c r="F42" s="48"/>
      <c r="G42" s="148">
        <f>'debt-lease'!G36</f>
        <v>23619</v>
      </c>
      <c r="H42" s="3"/>
      <c r="I42" s="3"/>
      <c r="K42" s="455" t="str">
        <f>CONCATENATE("",I1," Ad Valorem Tax:")</f>
        <v>2020 Ad Valorem Tax:</v>
      </c>
      <c r="L42" s="449"/>
      <c r="M42" s="449"/>
      <c r="N42" s="463">
        <f>ROUND(G37*N41/1000,0)</f>
        <v>0</v>
      </c>
    </row>
    <row r="43" spans="2:14" ht="16.5" thickBot="1" x14ac:dyDescent="0.3">
      <c r="B43" s="11" t="s">
        <v>47</v>
      </c>
      <c r="C43" s="149">
        <f>SUM(C40:C42)</f>
        <v>0</v>
      </c>
      <c r="D43" s="48"/>
      <c r="E43" s="149">
        <f>SUM(E40:E42)</f>
        <v>28962</v>
      </c>
      <c r="F43" s="48"/>
      <c r="G43" s="149">
        <f>SUM(G40:G42)</f>
        <v>23619</v>
      </c>
      <c r="H43" s="3"/>
      <c r="I43" s="3"/>
      <c r="K43" s="460" t="str">
        <f>CONCATENATE("",I1," Tax Levy Fund Exp. Changed By:")</f>
        <v>2020 Tax Levy Fund Exp. Changed By:</v>
      </c>
      <c r="L43" s="461"/>
      <c r="M43" s="461"/>
      <c r="N43" s="453">
        <f>IF(N41=0,0,(N42-H32))</f>
        <v>0</v>
      </c>
    </row>
    <row r="44" spans="2:14" ht="16.5" thickTop="1" x14ac:dyDescent="0.25">
      <c r="B44" s="11" t="s">
        <v>48</v>
      </c>
      <c r="C44" s="3"/>
      <c r="D44" s="3"/>
      <c r="E44" s="3"/>
      <c r="F44" s="3"/>
      <c r="G44" s="3"/>
      <c r="H44" s="3"/>
      <c r="I44" s="3"/>
    </row>
    <row r="45" spans="2:14" x14ac:dyDescent="0.25">
      <c r="B45" s="3"/>
      <c r="C45" s="3"/>
      <c r="D45" s="3"/>
      <c r="E45" s="3"/>
      <c r="F45" s="3"/>
      <c r="G45" s="3"/>
      <c r="H45" s="3"/>
      <c r="I45" s="3"/>
    </row>
    <row r="46" spans="2:14" x14ac:dyDescent="0.25">
      <c r="B46" s="923" t="str">
        <f>inputBudSum!B4</f>
        <v>Ron Kaus</v>
      </c>
      <c r="C46" s="923"/>
      <c r="D46" s="3"/>
      <c r="E46" s="3"/>
      <c r="F46" s="3"/>
      <c r="G46" s="3"/>
      <c r="H46" s="3"/>
      <c r="I46" s="3"/>
    </row>
    <row r="47" spans="2:14" x14ac:dyDescent="0.25">
      <c r="B47" s="921" t="str">
        <f>inputBudSum!B6</f>
        <v>Treasurer</v>
      </c>
      <c r="C47" s="922"/>
      <c r="D47" s="3"/>
      <c r="E47" s="3"/>
      <c r="F47" s="3"/>
      <c r="G47" s="3"/>
      <c r="H47" s="3"/>
      <c r="I47" s="3"/>
    </row>
    <row r="48" spans="2:14" x14ac:dyDescent="0.25">
      <c r="B48" s="3"/>
      <c r="C48" s="3"/>
      <c r="D48" s="3"/>
      <c r="E48" s="3"/>
      <c r="F48" s="3"/>
      <c r="G48" s="3"/>
      <c r="H48" s="3"/>
      <c r="I48" s="3"/>
    </row>
    <row r="49" spans="2:9" x14ac:dyDescent="0.25">
      <c r="B49" s="3"/>
      <c r="C49" s="41" t="s">
        <v>5</v>
      </c>
      <c r="D49" s="736"/>
      <c r="E49" s="3"/>
      <c r="F49" s="3"/>
      <c r="G49" s="3"/>
      <c r="H49" s="3"/>
      <c r="I49" s="3"/>
    </row>
    <row r="50" spans="2:9" x14ac:dyDescent="0.25">
      <c r="B50" s="68"/>
      <c r="C50" s="68"/>
      <c r="D50" s="68"/>
    </row>
    <row r="52" spans="2:9" x14ac:dyDescent="0.25">
      <c r="B52" s="68"/>
      <c r="C52" s="68"/>
      <c r="D52" s="68"/>
      <c r="E52" s="68"/>
      <c r="F52" s="68"/>
      <c r="G52" s="68"/>
      <c r="H52" s="68"/>
    </row>
    <row r="53" spans="2:9" x14ac:dyDescent="0.25">
      <c r="I53" s="68"/>
    </row>
    <row r="74" spans="2:7" x14ac:dyDescent="0.25">
      <c r="B74" s="68"/>
      <c r="C74" s="68"/>
      <c r="D74" s="68"/>
      <c r="E74" s="68"/>
      <c r="F74" s="68"/>
      <c r="G74" s="68"/>
    </row>
    <row r="81" spans="2:9" x14ac:dyDescent="0.25">
      <c r="B81" s="68"/>
      <c r="C81" s="68"/>
      <c r="D81" s="68"/>
      <c r="E81" s="68"/>
      <c r="F81" s="68"/>
      <c r="G81" s="68"/>
      <c r="H81" s="68"/>
    </row>
    <row r="82" spans="2:9" x14ac:dyDescent="0.25">
      <c r="I82" s="68"/>
    </row>
    <row r="87" spans="2:9" x14ac:dyDescent="0.25">
      <c r="B87" s="68"/>
      <c r="C87" s="68"/>
      <c r="D87" s="68"/>
      <c r="E87" s="68"/>
      <c r="F87" s="68"/>
      <c r="G87" s="68"/>
      <c r="H87" s="68"/>
    </row>
    <row r="88" spans="2:9" x14ac:dyDescent="0.25">
      <c r="I88" s="68"/>
    </row>
    <row r="108" spans="2:8" x14ac:dyDescent="0.25">
      <c r="B108" s="68"/>
      <c r="C108" s="68"/>
      <c r="D108" s="68"/>
      <c r="E108" s="68"/>
      <c r="F108" s="68"/>
      <c r="G108" s="68"/>
      <c r="H108" s="68"/>
    </row>
  </sheetData>
  <sheetProtection sheet="1"/>
  <mergeCells count="12">
    <mergeCell ref="B2:I2"/>
    <mergeCell ref="B47:C47"/>
    <mergeCell ref="B46:C46"/>
    <mergeCell ref="K32:N32"/>
    <mergeCell ref="K38:N38"/>
    <mergeCell ref="K21:N21"/>
    <mergeCell ref="K25:N25"/>
    <mergeCell ref="B4:I4"/>
    <mergeCell ref="H15:H17"/>
    <mergeCell ref="B7:I7"/>
    <mergeCell ref="B6:I6"/>
    <mergeCell ref="B5:I5"/>
  </mergeCells>
  <phoneticPr fontId="0" type="noConversion"/>
  <pageMargins left="0.9" right="0.9" top="0.96" bottom="0.5" header="0.41" footer="0.3"/>
  <pageSetup scale="67" orientation="portrait" blackAndWhite="1" r:id="rId1"/>
  <headerFooter alignWithMargins="0">
    <oddHeader xml:space="preserve">&amp;RState of Kansas
Township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BFB42-D360-4E84-BBB8-4B05776FD459}">
  <sheetPr>
    <tabColor rgb="FF00B050"/>
  </sheetPr>
  <dimension ref="A1"/>
  <sheetViews>
    <sheetView zoomScale="160" zoomScaleNormal="160" workbookViewId="0"/>
  </sheetViews>
  <sheetFormatPr defaultRowHeight="15.75" x14ac:dyDescent="0.25"/>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F39"/>
  <sheetViews>
    <sheetView workbookViewId="0">
      <selection activeCell="Q125" sqref="Q125"/>
    </sheetView>
  </sheetViews>
  <sheetFormatPr defaultColWidth="8.796875" defaultRowHeight="15.75" x14ac:dyDescent="0.25"/>
  <cols>
    <col min="1" max="1" width="10.59765625" style="1" customWidth="1"/>
    <col min="2" max="2" width="13.69921875" style="1" customWidth="1"/>
    <col min="3" max="5" width="12.69921875" style="1" customWidth="1"/>
    <col min="6" max="16384" width="8.796875" style="1"/>
  </cols>
  <sheetData>
    <row r="1" spans="1:6" x14ac:dyDescent="0.25">
      <c r="A1" s="2" t="str">
        <f>inputPrYr!D3</f>
        <v>ROVOHL TOWNSHIP</v>
      </c>
      <c r="B1" s="3"/>
      <c r="C1" s="3"/>
      <c r="D1" s="3"/>
      <c r="E1" s="3"/>
      <c r="F1" s="3">
        <f>inputPrYr!D6</f>
        <v>2020</v>
      </c>
    </row>
    <row r="2" spans="1:6" x14ac:dyDescent="0.25">
      <c r="A2" s="3"/>
      <c r="B2" s="3"/>
      <c r="C2" s="3"/>
      <c r="D2" s="3"/>
      <c r="E2" s="3"/>
      <c r="F2" s="3"/>
    </row>
    <row r="3" spans="1:6" x14ac:dyDescent="0.25">
      <c r="A3" s="3"/>
      <c r="B3" s="863" t="str">
        <f>CONCATENATE("",F1," Neighborhood Revitalization Rebate")</f>
        <v>2020 Neighborhood Revitalization Rebate</v>
      </c>
      <c r="C3" s="871"/>
      <c r="D3" s="871"/>
      <c r="E3" s="871"/>
      <c r="F3" s="3"/>
    </row>
    <row r="4" spans="1:6" x14ac:dyDescent="0.25">
      <c r="A4" s="3"/>
      <c r="B4" s="3"/>
      <c r="C4" s="3"/>
      <c r="D4" s="3"/>
      <c r="E4" s="3"/>
      <c r="F4" s="3"/>
    </row>
    <row r="5" spans="1:6" ht="51" customHeight="1" x14ac:dyDescent="0.25">
      <c r="A5" s="3"/>
      <c r="B5" s="113" t="str">
        <f>CONCATENATE("Budgeted Funds                            for ",F1,"")</f>
        <v>Budgeted Funds                            for 2020</v>
      </c>
      <c r="C5" s="113" t="str">
        <f>CONCATENATE("",F1-1," Ad Valorem before Rebate**")</f>
        <v>2019 Ad Valorem before Rebate**</v>
      </c>
      <c r="D5" s="114" t="str">
        <f>CONCATENATE("",F1-1," Mil Rate before Rebate")</f>
        <v>2019 Mil Rate before Rebate</v>
      </c>
      <c r="E5" s="115" t="str">
        <f>CONCATENATE("Estimate ",F1," NR Rebate")</f>
        <v>Estimate 2020 NR Rebate</v>
      </c>
      <c r="F5" s="116"/>
    </row>
    <row r="6" spans="1:6" x14ac:dyDescent="0.25">
      <c r="A6" s="3"/>
      <c r="B6" s="60" t="str">
        <f>inputPrYr!B19</f>
        <v>General</v>
      </c>
      <c r="C6" s="117"/>
      <c r="D6" s="118" t="str">
        <f t="shared" ref="D6:D15" si="0">IF(C6&gt;0,C6/$D$21,"")</f>
        <v/>
      </c>
      <c r="E6" s="119">
        <f>IF(C6&gt;0,ROUND(D6*$D$25,0),0)</f>
        <v>0</v>
      </c>
      <c r="F6" s="116"/>
    </row>
    <row r="7" spans="1:6" x14ac:dyDescent="0.25">
      <c r="A7" s="3"/>
      <c r="B7" s="60" t="str">
        <f>inputPrYr!B20</f>
        <v>Debt Service</v>
      </c>
      <c r="C7" s="117"/>
      <c r="D7" s="118" t="str">
        <f t="shared" si="0"/>
        <v/>
      </c>
      <c r="E7" s="119">
        <f t="shared" ref="E7:E15" si="1">IF(C7&gt;0,ROUND(D7*$D$25,0),0)</f>
        <v>0</v>
      </c>
      <c r="F7" s="116"/>
    </row>
    <row r="8" spans="1:6" x14ac:dyDescent="0.25">
      <c r="A8" s="3"/>
      <c r="B8" s="60" t="str">
        <f>inputPrYr!B21</f>
        <v>Library</v>
      </c>
      <c r="C8" s="117"/>
      <c r="D8" s="118" t="str">
        <f>IF(C8&gt;0,C8/$D$21,"")</f>
        <v/>
      </c>
      <c r="E8" s="119">
        <f t="shared" si="1"/>
        <v>0</v>
      </c>
      <c r="F8" s="116"/>
    </row>
    <row r="9" spans="1:6" x14ac:dyDescent="0.25">
      <c r="A9" s="3"/>
      <c r="B9" s="60" t="str">
        <f>inputPrYr!B22</f>
        <v>Road</v>
      </c>
      <c r="C9" s="117"/>
      <c r="D9" s="118" t="str">
        <f t="shared" si="0"/>
        <v/>
      </c>
      <c r="E9" s="119">
        <f t="shared" si="1"/>
        <v>0</v>
      </c>
      <c r="F9" s="116"/>
    </row>
    <row r="10" spans="1:6" x14ac:dyDescent="0.25">
      <c r="A10" s="3"/>
      <c r="B10" s="60">
        <f>inputPrYr!B23</f>
        <v>0</v>
      </c>
      <c r="C10" s="117"/>
      <c r="D10" s="118" t="str">
        <f t="shared" si="0"/>
        <v/>
      </c>
      <c r="E10" s="119">
        <f t="shared" si="1"/>
        <v>0</v>
      </c>
      <c r="F10" s="116"/>
    </row>
    <row r="11" spans="1:6" x14ac:dyDescent="0.25">
      <c r="A11" s="3"/>
      <c r="B11" s="60">
        <f>inputPrYr!B24</f>
        <v>0</v>
      </c>
      <c r="C11" s="117"/>
      <c r="D11" s="118" t="str">
        <f t="shared" si="0"/>
        <v/>
      </c>
      <c r="E11" s="119">
        <f t="shared" si="1"/>
        <v>0</v>
      </c>
      <c r="F11" s="116"/>
    </row>
    <row r="12" spans="1:6" x14ac:dyDescent="0.25">
      <c r="A12" s="3"/>
      <c r="B12" s="60">
        <f>inputPrYr!B25</f>
        <v>0</v>
      </c>
      <c r="C12" s="117"/>
      <c r="D12" s="118" t="str">
        <f t="shared" si="0"/>
        <v/>
      </c>
      <c r="E12" s="119">
        <f t="shared" si="1"/>
        <v>0</v>
      </c>
      <c r="F12" s="116"/>
    </row>
    <row r="13" spans="1:6" x14ac:dyDescent="0.25">
      <c r="A13" s="3"/>
      <c r="B13" s="60">
        <f>inputPrYr!B26</f>
        <v>0</v>
      </c>
      <c r="C13" s="120"/>
      <c r="D13" s="118" t="str">
        <f t="shared" si="0"/>
        <v/>
      </c>
      <c r="E13" s="119">
        <f t="shared" si="1"/>
        <v>0</v>
      </c>
      <c r="F13" s="116"/>
    </row>
    <row r="14" spans="1:6" x14ac:dyDescent="0.25">
      <c r="A14" s="3"/>
      <c r="B14" s="60">
        <f>inputPrYr!B27</f>
        <v>0</v>
      </c>
      <c r="C14" s="120"/>
      <c r="D14" s="118" t="str">
        <f t="shared" si="0"/>
        <v/>
      </c>
      <c r="E14" s="119">
        <f t="shared" si="1"/>
        <v>0</v>
      </c>
      <c r="F14" s="116"/>
    </row>
    <row r="15" spans="1:6" x14ac:dyDescent="0.25">
      <c r="A15" s="3"/>
      <c r="B15" s="60">
        <f>inputPrYr!B28</f>
        <v>0</v>
      </c>
      <c r="C15" s="120"/>
      <c r="D15" s="118" t="str">
        <f t="shared" si="0"/>
        <v/>
      </c>
      <c r="E15" s="119">
        <f t="shared" si="1"/>
        <v>0</v>
      </c>
      <c r="F15" s="116"/>
    </row>
    <row r="16" spans="1:6" ht="16.5" thickBot="1" x14ac:dyDescent="0.3">
      <c r="A16" s="3"/>
      <c r="B16" s="61" t="s">
        <v>175</v>
      </c>
      <c r="C16" s="121">
        <f>SUM(C6:C15)</f>
        <v>0</v>
      </c>
      <c r="D16" s="122">
        <f>SUM(D6:D15)</f>
        <v>0</v>
      </c>
      <c r="E16" s="121">
        <f>SUM(E6:E15)</f>
        <v>0</v>
      </c>
      <c r="F16" s="116"/>
    </row>
    <row r="17" spans="1:6" ht="16.5" thickTop="1" x14ac:dyDescent="0.25">
      <c r="A17" s="3"/>
      <c r="B17" s="3"/>
      <c r="C17" s="3"/>
      <c r="D17" s="3"/>
      <c r="E17" s="3"/>
      <c r="F17" s="116"/>
    </row>
    <row r="18" spans="1:6" x14ac:dyDescent="0.25">
      <c r="A18" s="3"/>
      <c r="B18" s="3"/>
      <c r="C18" s="3"/>
      <c r="D18" s="3"/>
      <c r="E18" s="3"/>
      <c r="F18" s="116"/>
    </row>
    <row r="19" spans="1:6" x14ac:dyDescent="0.25">
      <c r="A19" s="935" t="str">
        <f>CONCATENATE("",F1-1," July 1 Valuation:")</f>
        <v>2019 July 1 Valuation:</v>
      </c>
      <c r="B19" s="934"/>
      <c r="C19" s="935"/>
      <c r="D19" s="123">
        <f>inputOth!E7</f>
        <v>8878826</v>
      </c>
      <c r="E19" s="3"/>
      <c r="F19" s="116"/>
    </row>
    <row r="20" spans="1:6" x14ac:dyDescent="0.25">
      <c r="A20" s="3"/>
      <c r="B20" s="3"/>
      <c r="C20" s="3"/>
      <c r="D20" s="3"/>
      <c r="E20" s="3"/>
      <c r="F20" s="116"/>
    </row>
    <row r="21" spans="1:6" x14ac:dyDescent="0.25">
      <c r="A21" s="3"/>
      <c r="B21" s="935" t="s">
        <v>297</v>
      </c>
      <c r="C21" s="935"/>
      <c r="D21" s="124">
        <f>IF(D19&gt;0,(D19*0.001),"")</f>
        <v>8878.8260000000009</v>
      </c>
      <c r="E21" s="3"/>
      <c r="F21" s="116"/>
    </row>
    <row r="22" spans="1:6" x14ac:dyDescent="0.25">
      <c r="A22" s="3"/>
      <c r="B22" s="37"/>
      <c r="C22" s="37"/>
      <c r="D22" s="125"/>
      <c r="E22" s="3"/>
      <c r="F22" s="116"/>
    </row>
    <row r="23" spans="1:6" x14ac:dyDescent="0.25">
      <c r="A23" s="933" t="s">
        <v>298</v>
      </c>
      <c r="B23" s="858"/>
      <c r="C23" s="858"/>
      <c r="D23" s="126">
        <f>inputOth!E13</f>
        <v>117782</v>
      </c>
      <c r="E23" s="127"/>
      <c r="F23" s="127"/>
    </row>
    <row r="24" spans="1:6" x14ac:dyDescent="0.25">
      <c r="A24" s="127"/>
      <c r="B24" s="127"/>
      <c r="C24" s="127"/>
      <c r="D24" s="128"/>
      <c r="E24" s="127"/>
      <c r="F24" s="127"/>
    </row>
    <row r="25" spans="1:6" x14ac:dyDescent="0.25">
      <c r="A25" s="127"/>
      <c r="B25" s="933" t="s">
        <v>299</v>
      </c>
      <c r="C25" s="934"/>
      <c r="D25" s="129">
        <f>IF(D23&gt;0,(D23*0.001),"")</f>
        <v>117.782</v>
      </c>
      <c r="E25" s="127"/>
      <c r="F25" s="127"/>
    </row>
    <row r="26" spans="1:6" x14ac:dyDescent="0.25">
      <c r="A26" s="127"/>
      <c r="B26" s="127"/>
      <c r="C26" s="127"/>
      <c r="D26" s="127"/>
      <c r="E26" s="127"/>
      <c r="F26" s="127"/>
    </row>
    <row r="27" spans="1:6" x14ac:dyDescent="0.25">
      <c r="A27" s="127"/>
      <c r="B27" s="127"/>
      <c r="C27" s="127"/>
      <c r="D27" s="127"/>
      <c r="E27" s="127"/>
      <c r="F27" s="127"/>
    </row>
    <row r="28" spans="1:6" x14ac:dyDescent="0.25">
      <c r="A28" s="127"/>
      <c r="B28" s="127"/>
      <c r="C28" s="127"/>
      <c r="D28" s="127"/>
      <c r="E28" s="127"/>
      <c r="F28" s="127"/>
    </row>
    <row r="29" spans="1:6" x14ac:dyDescent="0.25">
      <c r="A29" s="329" t="str">
        <f>CONCATENATE("**This information comes from the ",F1," Budget Summary page.  See instructions tab #12 for completing")</f>
        <v>**This information comes from the 2020 Budget Summary page.  See instructions tab #12 for completing</v>
      </c>
      <c r="B29" s="127"/>
      <c r="C29" s="127"/>
      <c r="D29" s="127"/>
      <c r="E29" s="127"/>
      <c r="F29" s="127"/>
    </row>
    <row r="30" spans="1:6" x14ac:dyDescent="0.25">
      <c r="A30" s="329" t="s">
        <v>523</v>
      </c>
      <c r="B30" s="127"/>
      <c r="C30" s="127"/>
      <c r="D30" s="127"/>
      <c r="E30" s="127"/>
      <c r="F30" s="127"/>
    </row>
    <row r="31" spans="1:6" x14ac:dyDescent="0.25">
      <c r="A31" s="329"/>
      <c r="B31" s="127"/>
      <c r="C31" s="127"/>
      <c r="D31" s="127"/>
      <c r="E31" s="127"/>
      <c r="F31" s="127"/>
    </row>
    <row r="32" spans="1:6" x14ac:dyDescent="0.25">
      <c r="A32" s="329"/>
      <c r="B32" s="127"/>
      <c r="C32" s="127"/>
      <c r="D32" s="127"/>
      <c r="E32" s="127"/>
      <c r="F32" s="127"/>
    </row>
    <row r="33" spans="1:6" x14ac:dyDescent="0.25">
      <c r="A33" s="329"/>
      <c r="B33" s="127"/>
      <c r="C33" s="127"/>
      <c r="D33" s="127"/>
      <c r="E33" s="127"/>
      <c r="F33" s="127"/>
    </row>
    <row r="34" spans="1:6" x14ac:dyDescent="0.25">
      <c r="A34" s="329"/>
      <c r="B34" s="127"/>
      <c r="C34" s="127"/>
      <c r="D34" s="127"/>
      <c r="E34" s="127"/>
      <c r="F34" s="127"/>
    </row>
    <row r="35" spans="1:6" x14ac:dyDescent="0.25">
      <c r="A35" s="329"/>
      <c r="B35" s="127"/>
      <c r="C35" s="127"/>
      <c r="D35" s="127"/>
      <c r="E35" s="127"/>
      <c r="F35" s="127"/>
    </row>
    <row r="36" spans="1:6" x14ac:dyDescent="0.25">
      <c r="A36" s="329"/>
      <c r="B36" s="127"/>
      <c r="C36" s="127"/>
      <c r="D36" s="127"/>
      <c r="E36" s="127"/>
      <c r="F36" s="127"/>
    </row>
    <row r="37" spans="1:6" x14ac:dyDescent="0.25">
      <c r="A37" s="127"/>
      <c r="B37" s="127"/>
      <c r="C37" s="127"/>
      <c r="D37" s="127"/>
      <c r="E37" s="127"/>
      <c r="F37" s="127"/>
    </row>
    <row r="38" spans="1:6" x14ac:dyDescent="0.25">
      <c r="A38" s="127"/>
      <c r="B38" s="109" t="s">
        <v>5</v>
      </c>
      <c r="C38" s="734"/>
      <c r="D38" s="127"/>
      <c r="E38" s="127"/>
      <c r="F38" s="127"/>
    </row>
    <row r="39" spans="1:6" x14ac:dyDescent="0.25">
      <c r="A39" s="116"/>
      <c r="B39" s="3"/>
      <c r="C39" s="3"/>
      <c r="D39" s="130"/>
      <c r="E39" s="116"/>
      <c r="F39" s="116"/>
    </row>
  </sheetData>
  <sheetProtection sheet="1"/>
  <mergeCells count="5">
    <mergeCell ref="B25:C25"/>
    <mergeCell ref="B3:E3"/>
    <mergeCell ref="A19:C19"/>
    <mergeCell ref="B21:C21"/>
    <mergeCell ref="A23:C23"/>
  </mergeCells>
  <phoneticPr fontId="10" type="noConversion"/>
  <pageMargins left="0.75" right="0.75" top="1" bottom="1" header="0.5" footer="0.5"/>
  <pageSetup scale="98" orientation="portrait" blackAndWhite="1"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pageSetUpPr fitToPage="1"/>
  </sheetPr>
  <dimension ref="B2:H7"/>
  <sheetViews>
    <sheetView topLeftCell="B1" workbookViewId="0">
      <selection activeCell="M25" sqref="M25"/>
    </sheetView>
  </sheetViews>
  <sheetFormatPr defaultRowHeight="15.75" x14ac:dyDescent="0.25"/>
  <sheetData>
    <row r="2" spans="2:8" x14ac:dyDescent="0.25">
      <c r="B2" s="704"/>
      <c r="C2" s="704"/>
      <c r="D2" s="704"/>
      <c r="E2" s="704"/>
      <c r="F2" s="704"/>
      <c r="G2" s="704"/>
      <c r="H2" s="708">
        <f>inputPrYr!D6</f>
        <v>2020</v>
      </c>
    </row>
    <row r="3" spans="2:8" ht="16.5" thickBot="1" x14ac:dyDescent="0.3">
      <c r="B3" s="704"/>
      <c r="C3" s="704"/>
      <c r="D3" s="704"/>
      <c r="E3" s="704"/>
      <c r="F3" s="704"/>
      <c r="G3" s="704"/>
      <c r="H3" s="704"/>
    </row>
    <row r="4" spans="2:8" ht="19.5" thickBot="1" x14ac:dyDescent="0.35">
      <c r="B4" s="939" t="s">
        <v>788</v>
      </c>
      <c r="C4" s="940"/>
      <c r="D4" s="940"/>
      <c r="E4" s="940"/>
      <c r="F4" s="940"/>
      <c r="G4" s="940"/>
      <c r="H4" s="941"/>
    </row>
    <row r="5" spans="2:8" ht="16.5" thickBot="1" x14ac:dyDescent="0.3">
      <c r="B5" s="705"/>
      <c r="C5" s="705"/>
      <c r="D5" s="706"/>
      <c r="E5" s="707"/>
      <c r="F5" s="705"/>
      <c r="G5" s="705"/>
      <c r="H5" s="705"/>
    </row>
    <row r="6" spans="2:8" x14ac:dyDescent="0.25">
      <c r="B6" s="942" t="str">
        <f>CONCATENATE("Notice of Vote - ",inputPrYr!D3)</f>
        <v>Notice of Vote - ROVOHL TOWNSHIP</v>
      </c>
      <c r="C6" s="943"/>
      <c r="D6" s="943"/>
      <c r="E6" s="943"/>
      <c r="F6" s="943"/>
      <c r="G6" s="943"/>
      <c r="H6" s="944"/>
    </row>
    <row r="7" spans="2:8" ht="63" customHeight="1" thickBot="1" x14ac:dyDescent="0.3">
      <c r="B7" s="936" t="str">
        <f>CONCATENATE("In adopting the ",H2," budget the governing body voted to increase property taxes in an amount greater than the amount levied for the ",H2-1," budget, adjusted by the ",H2-2," CPI for all urban consumers.")</f>
        <v>In adopting the 2020 budget the governing body voted to increase property taxes in an amount greater than the amount levied for the 2019 budget, adjusted by the 2018 CPI for all urban consumers.</v>
      </c>
      <c r="C7" s="937"/>
      <c r="D7" s="937"/>
      <c r="E7" s="937"/>
      <c r="F7" s="937"/>
      <c r="G7" s="937"/>
      <c r="H7" s="938"/>
    </row>
  </sheetData>
  <sheetProtection sheet="1" objects="1" scenarios="1"/>
  <mergeCells count="3">
    <mergeCell ref="B7:H7"/>
    <mergeCell ref="B4:H4"/>
    <mergeCell ref="B6:H6"/>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C16"/>
  <sheetViews>
    <sheetView workbookViewId="0">
      <selection activeCell="K13" sqref="K13"/>
    </sheetView>
  </sheetViews>
  <sheetFormatPr defaultRowHeight="15.75" x14ac:dyDescent="0.25"/>
  <cols>
    <col min="2" max="2" width="100.69921875" style="781" customWidth="1"/>
  </cols>
  <sheetData>
    <row r="1" spans="2:3" x14ac:dyDescent="0.25">
      <c r="C1" s="780" t="str">
        <f>inputPrYr!D3</f>
        <v>ROVOHL TOWNSHIP</v>
      </c>
    </row>
    <row r="2" spans="2:3" x14ac:dyDescent="0.25">
      <c r="C2" s="780" t="str">
        <f>inputPrYr!D4</f>
        <v>THOMAS COUNTY</v>
      </c>
    </row>
    <row r="3" spans="2:3" x14ac:dyDescent="0.25">
      <c r="C3" s="779">
        <f>inputPrYr!D6</f>
        <v>2020</v>
      </c>
    </row>
    <row r="5" spans="2:3" ht="49.5" customHeight="1" x14ac:dyDescent="0.25">
      <c r="B5" s="786" t="s">
        <v>826</v>
      </c>
    </row>
    <row r="6" spans="2:3" ht="49.5" customHeight="1" x14ac:dyDescent="0.25">
      <c r="B6" s="776" t="str">
        <f>CONCATENATE("A resolution expressing the property taxation policy of the ",C1," governing body with respect to financing the annual budget for ",C3)</f>
        <v>A resolution expressing the property taxation policy of the ROVOHL TOWNSHIP governing body with respect to financing the annual budget for 2020</v>
      </c>
    </row>
    <row r="7" spans="2:3" ht="99.75" customHeight="1" x14ac:dyDescent="0.25">
      <c r="B7" s="777"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2020 budget of the ROVOHL TOWNSHIP exceeding the amount levied to finance the 2019 budget of the ROVOHL TOWNSHIP, as adjusted to reflect changes in the Consumer Price Index for All Urban Consumers for calendar year 2018, be authorized by a resolution adopted in advance of the adoption of a budget supported by such levy; and</v>
      </c>
    </row>
    <row r="8" spans="2:3" ht="99.75" customHeight="1" x14ac:dyDescent="0.25">
      <c r="B8" s="777" t="s">
        <v>827</v>
      </c>
    </row>
    <row r="9" spans="2:3" ht="49.5" customHeight="1" x14ac:dyDescent="0.25">
      <c r="B9" s="777" t="str">
        <f>CONCATENATE("Whereas, ",C1," provides essential services to its citizens; and")</f>
        <v>Whereas, ROVOHL TOWNSHIP provides essential services to its citizens; and</v>
      </c>
    </row>
    <row r="10" spans="2:3" ht="49.5" customHeight="1" x14ac:dyDescent="0.25">
      <c r="B10" s="777" t="s">
        <v>828</v>
      </c>
    </row>
    <row r="11" spans="2:3" ht="49.5" customHeight="1" x14ac:dyDescent="0.25">
      <c r="B11" s="777" t="str">
        <f>CONCATENATE("NOW, THEREFORE, BE IT RESOLVED by the ",C1," governing body that a levy of property taxes in support of the ",C3," budget exceeding the amount levied in ",C3-1,", as adjusted pursuant to K.S.A. 79-2925b, as amended, is hereby approved.")</f>
        <v>NOW, THEREFORE, BE IT RESOLVED by the ROVOHL TOWNSHIP governing body that a levy of property taxes in support of the 2020 budget exceeding the amount levied in 2019, as adjusted pursuant to K.S.A. 79-2925b, as amended, is hereby approved.</v>
      </c>
    </row>
    <row r="12" spans="2:3" ht="49.5" customHeight="1" x14ac:dyDescent="0.25">
      <c r="B12" s="777" t="str">
        <f>CONCATENATE("Adopted this _____day of____________, ",C3-1," by the ",C1," governing body, ",C2,", Kansas.")</f>
        <v>Adopted this _____day of____________, 2019 by the ROVOHL TOWNSHIP governing body, THOMAS COUNTY, Kansas.</v>
      </c>
    </row>
    <row r="13" spans="2:3" ht="49.5" customHeight="1" x14ac:dyDescent="0.25">
      <c r="B13" s="778" t="str">
        <f>CONCATENATE(C1," Governing Body")</f>
        <v>ROVOHL TOWNSHIP Governing Body</v>
      </c>
    </row>
    <row r="14" spans="2:3" ht="49.5" customHeight="1" x14ac:dyDescent="0.25">
      <c r="B14" s="787" t="s">
        <v>829</v>
      </c>
    </row>
    <row r="15" spans="2:3" ht="49.5" customHeight="1" x14ac:dyDescent="0.25">
      <c r="B15" s="787" t="s">
        <v>829</v>
      </c>
    </row>
    <row r="16" spans="2:3" ht="49.5" customHeight="1" x14ac:dyDescent="0.25">
      <c r="B16" s="787" t="s">
        <v>829</v>
      </c>
    </row>
  </sheetData>
  <pageMargins left="0.7" right="0.7" top="0.75" bottom="0.75" header="0.3" footer="0.3"/>
  <pageSetup scale="7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43DF3-79CA-4A39-B8A0-A76217F6DB38}">
  <sheetPr>
    <tabColor rgb="FF00B050"/>
  </sheetPr>
  <dimension ref="A1"/>
  <sheetViews>
    <sheetView workbookViewId="0"/>
  </sheetViews>
  <sheetFormatPr defaultRowHeight="15.75" x14ac:dyDescent="0.25"/>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30B4D-47A4-4B4D-9AEA-AB5E8BDE415D}">
  <sheetPr>
    <tabColor rgb="FF00B050"/>
  </sheetPr>
  <dimension ref="A1"/>
  <sheetViews>
    <sheetView workbookViewId="0"/>
  </sheetViews>
  <sheetFormatPr defaultRowHeight="15.7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9"/>
  <sheetViews>
    <sheetView topLeftCell="A31" workbookViewId="0">
      <selection activeCell="B49" sqref="B49"/>
    </sheetView>
  </sheetViews>
  <sheetFormatPr defaultColWidth="8.796875" defaultRowHeight="15.75" x14ac:dyDescent="0.25"/>
  <cols>
    <col min="1" max="1" width="14.19921875" style="68" customWidth="1"/>
    <col min="2" max="2" width="18.69921875" style="68" customWidth="1"/>
    <col min="3" max="3" width="9.69921875" style="68" customWidth="1"/>
    <col min="4" max="4" width="14.09765625" style="68" customWidth="1"/>
    <col min="5" max="5" width="12.796875" style="68" customWidth="1"/>
    <col min="6" max="16384" width="8.796875" style="68"/>
  </cols>
  <sheetData>
    <row r="1" spans="1:5" x14ac:dyDescent="0.25">
      <c r="A1" s="75" t="str">
        <f>inputPrYr!D3</f>
        <v>ROVOHL TOWNSHIP</v>
      </c>
      <c r="B1" s="77"/>
      <c r="C1" s="77"/>
      <c r="D1" s="77"/>
      <c r="E1" s="77">
        <f>inputPrYr!D6</f>
        <v>2020</v>
      </c>
    </row>
    <row r="2" spans="1:5" x14ac:dyDescent="0.25">
      <c r="A2" s="75" t="str">
        <f>inputPrYr!D4</f>
        <v>THOMAS COUNTY</v>
      </c>
      <c r="B2" s="77"/>
      <c r="C2" s="77"/>
      <c r="D2" s="77"/>
      <c r="E2" s="77"/>
    </row>
    <row r="3" spans="1:5" x14ac:dyDescent="0.25">
      <c r="A3" s="77"/>
      <c r="B3" s="77"/>
      <c r="C3" s="77"/>
      <c r="D3" s="77"/>
      <c r="E3" s="77"/>
    </row>
    <row r="4" spans="1:5" x14ac:dyDescent="0.25">
      <c r="A4" s="837" t="s">
        <v>795</v>
      </c>
      <c r="B4" s="838"/>
      <c r="C4" s="838"/>
      <c r="D4" s="838"/>
      <c r="E4" s="838"/>
    </row>
    <row r="5" spans="1:5" x14ac:dyDescent="0.25">
      <c r="A5" s="77"/>
      <c r="B5" s="77"/>
      <c r="C5" s="77"/>
      <c r="D5" s="77"/>
      <c r="E5" s="77"/>
    </row>
    <row r="6" spans="1:5" x14ac:dyDescent="0.25">
      <c r="A6" s="715" t="str">
        <f>CONCATENATE("From the County Clerk's Budget Information for ",E1,":")</f>
        <v>From the County Clerk's Budget Information for 2020:</v>
      </c>
      <c r="B6" s="714"/>
      <c r="C6" s="713"/>
      <c r="D6" s="3"/>
      <c r="E6" s="44"/>
    </row>
    <row r="7" spans="1:5" x14ac:dyDescent="0.25">
      <c r="A7" s="11" t="str">
        <f>CONCATENATE("Total Assessed Valuation for ",E1-1,"")</f>
        <v>Total Assessed Valuation for 2019</v>
      </c>
      <c r="B7" s="8"/>
      <c r="C7" s="8"/>
      <c r="D7" s="8"/>
      <c r="E7" s="23">
        <v>8878826</v>
      </c>
    </row>
    <row r="8" spans="1:5" x14ac:dyDescent="0.25">
      <c r="A8" s="11" t="str">
        <f>CONCATENATE("New Improvements for ",E1-1,"")</f>
        <v>New Improvements for 2019</v>
      </c>
      <c r="B8" s="8"/>
      <c r="C8" s="8"/>
      <c r="D8" s="8"/>
      <c r="E8" s="676"/>
    </row>
    <row r="9" spans="1:5" x14ac:dyDescent="0.25">
      <c r="A9" s="11" t="str">
        <f>CONCATENATE("Personal Property - ",E1-1,"")</f>
        <v>Personal Property - 2019</v>
      </c>
      <c r="B9" s="8"/>
      <c r="C9" s="8"/>
      <c r="D9" s="8"/>
      <c r="E9" s="676">
        <v>78662</v>
      </c>
    </row>
    <row r="10" spans="1:5" x14ac:dyDescent="0.25">
      <c r="A10" s="11" t="str">
        <f>CONCATENATE("Property that has changed in use for ",E1-1,"")</f>
        <v>Property that has changed in use for 2019</v>
      </c>
      <c r="B10" s="8"/>
      <c r="C10" s="8"/>
      <c r="D10" s="8"/>
      <c r="E10" s="676">
        <v>67394</v>
      </c>
    </row>
    <row r="11" spans="1:5" x14ac:dyDescent="0.25">
      <c r="A11" s="11" t="str">
        <f>CONCATENATE("Personal Property - ",E1-2,"")</f>
        <v>Personal Property - 2018</v>
      </c>
      <c r="B11" s="8"/>
      <c r="C11" s="8"/>
      <c r="D11" s="8"/>
      <c r="E11" s="676">
        <v>81288</v>
      </c>
    </row>
    <row r="12" spans="1:5" x14ac:dyDescent="0.25">
      <c r="A12" s="11" t="str">
        <f>CONCATENATE("Gross earnings (intangible) tax estimate for ",E1,"")</f>
        <v>Gross earnings (intangible) tax estimate for 2020</v>
      </c>
      <c r="B12" s="8"/>
      <c r="C12" s="8"/>
      <c r="D12" s="8"/>
      <c r="E12" s="676"/>
    </row>
    <row r="13" spans="1:5" x14ac:dyDescent="0.25">
      <c r="A13" s="11" t="str">
        <f>CONCATENATE("Neighborhood Revitalization - ",E1,"")</f>
        <v>Neighborhood Revitalization - 2020</v>
      </c>
      <c r="B13" s="8"/>
      <c r="C13" s="8"/>
      <c r="D13" s="8"/>
      <c r="E13" s="676">
        <v>117782</v>
      </c>
    </row>
    <row r="14" spans="1:5" x14ac:dyDescent="0.25">
      <c r="A14" s="11"/>
      <c r="B14" s="8"/>
      <c r="C14" s="8"/>
      <c r="D14" s="8"/>
      <c r="E14" s="256"/>
    </row>
    <row r="15" spans="1:5" x14ac:dyDescent="0.25">
      <c r="A15" s="257" t="str">
        <f>CONCATENATE("Actual Tax Rates for the ",E1-1," Budget:")</f>
        <v>Actual Tax Rates for the 2019 Budget:</v>
      </c>
      <c r="B15" s="8"/>
      <c r="C15" s="8"/>
      <c r="D15" s="8"/>
      <c r="E15" s="258"/>
    </row>
    <row r="16" spans="1:5" x14ac:dyDescent="0.25">
      <c r="A16" s="848" t="s">
        <v>245</v>
      </c>
      <c r="B16" s="849"/>
      <c r="C16" s="77"/>
      <c r="D16" s="259" t="s">
        <v>3</v>
      </c>
      <c r="E16" s="258"/>
    </row>
    <row r="17" spans="1:5" x14ac:dyDescent="0.25">
      <c r="A17" s="59" t="str">
        <f>inputPrYr!B19</f>
        <v>General</v>
      </c>
      <c r="B17" s="9"/>
      <c r="C17" s="8"/>
      <c r="D17" s="677">
        <v>19.869</v>
      </c>
      <c r="E17" s="258"/>
    </row>
    <row r="18" spans="1:5" x14ac:dyDescent="0.25">
      <c r="A18" s="59" t="str">
        <f>inputPrYr!B20</f>
        <v>Debt Service</v>
      </c>
      <c r="B18" s="245"/>
      <c r="C18" s="8"/>
      <c r="D18" s="677"/>
      <c r="E18" s="258"/>
    </row>
    <row r="19" spans="1:5" x14ac:dyDescent="0.25">
      <c r="A19" s="59" t="str">
        <f>inputPrYr!B21</f>
        <v>Library</v>
      </c>
      <c r="B19" s="245"/>
      <c r="C19" s="8"/>
      <c r="D19" s="677"/>
      <c r="E19" s="258"/>
    </row>
    <row r="20" spans="1:5" x14ac:dyDescent="0.25">
      <c r="A20" s="59" t="str">
        <f>inputPrYr!B22</f>
        <v>Road</v>
      </c>
      <c r="B20" s="245"/>
      <c r="C20" s="8"/>
      <c r="D20" s="677"/>
      <c r="E20" s="258"/>
    </row>
    <row r="21" spans="1:5" x14ac:dyDescent="0.25">
      <c r="A21" s="59">
        <f>inputPrYr!B23</f>
        <v>0</v>
      </c>
      <c r="B21" s="245"/>
      <c r="C21" s="8"/>
      <c r="D21" s="677"/>
      <c r="E21" s="258"/>
    </row>
    <row r="22" spans="1:5" x14ac:dyDescent="0.25">
      <c r="A22" s="59">
        <f>inputPrYr!B24</f>
        <v>0</v>
      </c>
      <c r="B22" s="245"/>
      <c r="C22" s="8"/>
      <c r="D22" s="677"/>
      <c r="E22" s="258"/>
    </row>
    <row r="23" spans="1:5" x14ac:dyDescent="0.25">
      <c r="A23" s="59">
        <f>inputPrYr!B25</f>
        <v>0</v>
      </c>
      <c r="B23" s="245"/>
      <c r="C23" s="8"/>
      <c r="D23" s="678"/>
      <c r="E23" s="258"/>
    </row>
    <row r="24" spans="1:5" x14ac:dyDescent="0.25">
      <c r="A24" s="59">
        <f>inputPrYr!B26</f>
        <v>0</v>
      </c>
      <c r="B24" s="245"/>
      <c r="C24" s="8"/>
      <c r="D24" s="678"/>
      <c r="E24" s="258"/>
    </row>
    <row r="25" spans="1:5" x14ac:dyDescent="0.25">
      <c r="A25" s="59">
        <f>inputPrYr!B27</f>
        <v>0</v>
      </c>
      <c r="B25" s="245"/>
      <c r="C25" s="8"/>
      <c r="D25" s="678"/>
      <c r="E25" s="258"/>
    </row>
    <row r="26" spans="1:5" x14ac:dyDescent="0.25">
      <c r="A26" s="59">
        <f>inputPrYr!B28</f>
        <v>0</v>
      </c>
      <c r="B26" s="245"/>
      <c r="C26" s="8"/>
      <c r="D26" s="677"/>
      <c r="E26" s="258"/>
    </row>
    <row r="27" spans="1:5" x14ac:dyDescent="0.25">
      <c r="A27" s="3"/>
      <c r="B27" s="9" t="s">
        <v>235</v>
      </c>
      <c r="C27" s="237"/>
      <c r="D27" s="260">
        <f>SUM(D17:D26)</f>
        <v>19.869</v>
      </c>
      <c r="E27" s="3"/>
    </row>
    <row r="28" spans="1:5" x14ac:dyDescent="0.25">
      <c r="A28" s="3"/>
      <c r="B28" s="3"/>
      <c r="C28" s="3"/>
      <c r="D28" s="3"/>
      <c r="E28" s="3"/>
    </row>
    <row r="29" spans="1:5" x14ac:dyDescent="0.25">
      <c r="A29" s="9" t="str">
        <f>CONCATENATE("Final Assessed Valuation from the November 1, ",E1-2," Abstract:")</f>
        <v>Final Assessed Valuation from the November 1, 2018 Abstract:</v>
      </c>
      <c r="B29" s="9"/>
      <c r="C29" s="9"/>
      <c r="D29" s="9"/>
      <c r="E29" s="25">
        <v>6209630</v>
      </c>
    </row>
    <row r="30" spans="1:5" x14ac:dyDescent="0.25">
      <c r="A30" s="3"/>
      <c r="B30" s="3"/>
      <c r="C30" s="3"/>
      <c r="D30" s="3"/>
      <c r="E30" s="3"/>
    </row>
    <row r="31" spans="1:5" x14ac:dyDescent="0.25">
      <c r="A31" s="712" t="str">
        <f>CONCATENATE("From the County Treasurer's Budget Information - ",E1," Budget Year Estimates:")</f>
        <v>From the County Treasurer's Budget Information - 2020 Budget Year Estimates:</v>
      </c>
      <c r="B31" s="288"/>
      <c r="C31" s="288"/>
      <c r="D31" s="711"/>
      <c r="E31" s="44"/>
    </row>
    <row r="32" spans="1:5" x14ac:dyDescent="0.25">
      <c r="A32" s="59" t="s">
        <v>125</v>
      </c>
      <c r="B32" s="9"/>
      <c r="C32" s="9"/>
      <c r="D32" s="261"/>
      <c r="E32" s="23">
        <v>4430</v>
      </c>
    </row>
    <row r="33" spans="1:5" x14ac:dyDescent="0.25">
      <c r="A33" s="262" t="s">
        <v>236</v>
      </c>
      <c r="B33" s="245"/>
      <c r="C33" s="245"/>
      <c r="D33" s="20"/>
      <c r="E33" s="23">
        <v>119</v>
      </c>
    </row>
    <row r="34" spans="1:5" x14ac:dyDescent="0.25">
      <c r="A34" s="262" t="s">
        <v>126</v>
      </c>
      <c r="B34" s="245"/>
      <c r="C34" s="245"/>
      <c r="D34" s="20"/>
      <c r="E34" s="23">
        <v>1007</v>
      </c>
    </row>
    <row r="35" spans="1:5" x14ac:dyDescent="0.25">
      <c r="A35" s="743" t="s">
        <v>802</v>
      </c>
      <c r="B35" s="245"/>
      <c r="C35" s="245"/>
      <c r="D35" s="20"/>
      <c r="E35" s="23">
        <v>113</v>
      </c>
    </row>
    <row r="36" spans="1:5" x14ac:dyDescent="0.25">
      <c r="A36" s="743" t="s">
        <v>803</v>
      </c>
      <c r="B36" s="245"/>
      <c r="C36" s="245"/>
      <c r="D36" s="20"/>
      <c r="E36" s="23"/>
    </row>
    <row r="37" spans="1:5" x14ac:dyDescent="0.25">
      <c r="A37" s="262" t="s">
        <v>127</v>
      </c>
      <c r="B37" s="245"/>
      <c r="C37" s="245"/>
      <c r="D37" s="20"/>
      <c r="E37" s="23"/>
    </row>
    <row r="38" spans="1:5" x14ac:dyDescent="0.25">
      <c r="A38" s="262" t="s">
        <v>93</v>
      </c>
      <c r="B38" s="9"/>
      <c r="C38" s="9"/>
      <c r="D38" s="261"/>
      <c r="E38" s="23"/>
    </row>
    <row r="39" spans="1:5" x14ac:dyDescent="0.25">
      <c r="A39" s="3" t="s">
        <v>128</v>
      </c>
      <c r="B39" s="3"/>
      <c r="C39" s="3"/>
      <c r="D39" s="3"/>
      <c r="E39" s="3"/>
    </row>
    <row r="40" spans="1:5" x14ac:dyDescent="0.25">
      <c r="A40" s="56" t="s">
        <v>129</v>
      </c>
      <c r="B40" s="132"/>
      <c r="C40" s="132"/>
      <c r="D40" s="3"/>
      <c r="E40" s="3"/>
    </row>
    <row r="41" spans="1:5" x14ac:dyDescent="0.25">
      <c r="A41" s="250" t="str">
        <f>CONCATENATE("Actual Delinquency for ",E1-3," Tax - (e.g. rate .01213 = 1.213%;  key in 1.2)")</f>
        <v>Actual Delinquency for 2017 Tax - (e.g. rate .01213 = 1.213%;  key in 1.2)</v>
      </c>
      <c r="B41" s="8"/>
      <c r="C41" s="8"/>
      <c r="D41" s="8"/>
      <c r="E41" s="3"/>
    </row>
    <row r="42" spans="1:5" x14ac:dyDescent="0.25">
      <c r="A42" s="59" t="s">
        <v>730</v>
      </c>
      <c r="B42" s="250"/>
      <c r="C42" s="8"/>
      <c r="D42" s="8"/>
      <c r="E42" s="662">
        <v>2.5899999999999999E-2</v>
      </c>
    </row>
    <row r="43" spans="1:5" x14ac:dyDescent="0.25">
      <c r="A43" s="263" t="s">
        <v>130</v>
      </c>
      <c r="B43" s="263"/>
      <c r="C43" s="264"/>
      <c r="D43" s="264"/>
      <c r="E43" s="265"/>
    </row>
    <row r="44" spans="1:5" x14ac:dyDescent="0.25">
      <c r="A44" s="127"/>
      <c r="B44" s="127"/>
      <c r="C44" s="127"/>
      <c r="D44" s="127"/>
      <c r="E44" s="127"/>
    </row>
    <row r="45" spans="1:5" x14ac:dyDescent="0.25">
      <c r="A45" s="850" t="str">
        <f>CONCATENATE("From the ",E1-2," Budget Certificate Page")</f>
        <v>From the 2018 Budget Certificate Page</v>
      </c>
      <c r="B45" s="851"/>
      <c r="C45" s="127"/>
      <c r="D45" s="127"/>
      <c r="E45" s="127"/>
    </row>
    <row r="46" spans="1:5" x14ac:dyDescent="0.25">
      <c r="A46" s="266"/>
      <c r="B46" s="266" t="str">
        <f>CONCATENATE("",E1-2," Expenditure Amounts")</f>
        <v>2018 Expenditure Amounts</v>
      </c>
      <c r="C46" s="852" t="str">
        <f>CONCATENATE("Note: If the ",E1-2," budget was amended, then the")</f>
        <v>Note: If the 2018 budget was amended, then the</v>
      </c>
      <c r="D46" s="853"/>
      <c r="E46" s="853"/>
    </row>
    <row r="47" spans="1:5" x14ac:dyDescent="0.25">
      <c r="A47" s="267" t="s">
        <v>171</v>
      </c>
      <c r="B47" s="267" t="s">
        <v>172</v>
      </c>
      <c r="C47" s="268" t="s">
        <v>173</v>
      </c>
      <c r="D47" s="269"/>
      <c r="E47" s="269"/>
    </row>
    <row r="48" spans="1:5" x14ac:dyDescent="0.25">
      <c r="A48" s="270" t="str">
        <f>inputPrYr!B19</f>
        <v>General</v>
      </c>
      <c r="B48" s="25">
        <v>137750</v>
      </c>
      <c r="C48" s="268" t="s">
        <v>174</v>
      </c>
      <c r="D48" s="269"/>
      <c r="E48" s="269"/>
    </row>
    <row r="49" spans="1:5" x14ac:dyDescent="0.25">
      <c r="A49" s="270" t="str">
        <f>inputPrYr!B20</f>
        <v>Debt Service</v>
      </c>
      <c r="B49" s="25"/>
      <c r="C49" s="268"/>
      <c r="D49" s="269"/>
      <c r="E49" s="269"/>
    </row>
    <row r="50" spans="1:5" x14ac:dyDescent="0.25">
      <c r="A50" s="270" t="str">
        <f>inputPrYr!B21</f>
        <v>Library</v>
      </c>
      <c r="B50" s="25"/>
      <c r="C50" s="268"/>
      <c r="D50" s="269"/>
      <c r="E50" s="269"/>
    </row>
    <row r="51" spans="1:5" x14ac:dyDescent="0.25">
      <c r="A51" s="270" t="str">
        <f>inputPrYr!B22</f>
        <v>Road</v>
      </c>
      <c r="B51" s="25"/>
      <c r="C51" s="127"/>
      <c r="D51" s="127"/>
      <c r="E51" s="127"/>
    </row>
    <row r="52" spans="1:5" x14ac:dyDescent="0.25">
      <c r="A52" s="270">
        <f>inputPrYr!B23</f>
        <v>0</v>
      </c>
      <c r="B52" s="25"/>
      <c r="C52" s="127"/>
      <c r="D52" s="127"/>
      <c r="E52" s="127"/>
    </row>
    <row r="53" spans="1:5" x14ac:dyDescent="0.25">
      <c r="A53" s="270">
        <f>inputPrYr!B24</f>
        <v>0</v>
      </c>
      <c r="B53" s="25"/>
      <c r="C53" s="127"/>
      <c r="D53" s="127"/>
      <c r="E53" s="127"/>
    </row>
    <row r="54" spans="1:5" x14ac:dyDescent="0.25">
      <c r="A54" s="270">
        <f>inputPrYr!B25</f>
        <v>0</v>
      </c>
      <c r="B54" s="25"/>
      <c r="C54" s="127"/>
      <c r="D54" s="127"/>
      <c r="E54" s="127"/>
    </row>
    <row r="55" spans="1:5" x14ac:dyDescent="0.25">
      <c r="A55" s="270">
        <f>inputPrYr!B26</f>
        <v>0</v>
      </c>
      <c r="B55" s="25"/>
      <c r="C55" s="127"/>
      <c r="D55" s="127"/>
      <c r="E55" s="127"/>
    </row>
    <row r="56" spans="1:5" x14ac:dyDescent="0.25">
      <c r="A56" s="270">
        <f>inputPrYr!B27</f>
        <v>0</v>
      </c>
      <c r="B56" s="25"/>
      <c r="C56" s="127"/>
      <c r="D56" s="127"/>
      <c r="E56" s="127"/>
    </row>
    <row r="57" spans="1:5" x14ac:dyDescent="0.25">
      <c r="A57" s="270">
        <f>inputPrYr!B28</f>
        <v>0</v>
      </c>
      <c r="B57" s="25"/>
      <c r="C57" s="127"/>
      <c r="D57" s="127"/>
      <c r="E57" s="127"/>
    </row>
    <row r="58" spans="1:5" x14ac:dyDescent="0.25">
      <c r="A58" s="270">
        <f>inputPrYr!B32</f>
        <v>0</v>
      </c>
      <c r="B58" s="25"/>
      <c r="C58" s="127"/>
      <c r="D58" s="127"/>
      <c r="E58" s="127"/>
    </row>
    <row r="59" spans="1:5" x14ac:dyDescent="0.25">
      <c r="A59" s="270">
        <f>inputPrYr!B33</f>
        <v>0</v>
      </c>
      <c r="B59" s="25"/>
      <c r="C59" s="127"/>
      <c r="D59" s="127"/>
      <c r="E59" s="127"/>
    </row>
  </sheetData>
  <sheetProtection sheet="1"/>
  <mergeCells count="4">
    <mergeCell ref="A4:E4"/>
    <mergeCell ref="A16:B16"/>
    <mergeCell ref="A45:B45"/>
    <mergeCell ref="C46:E46"/>
  </mergeCells>
  <phoneticPr fontId="10" type="noConversion"/>
  <pageMargins left="0.75" right="0.75" top="1" bottom="1" header="0.5" footer="0.5"/>
  <pageSetup scale="79"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3:L85"/>
  <sheetViews>
    <sheetView workbookViewId="0">
      <selection activeCell="M123" sqref="M123"/>
    </sheetView>
  </sheetViews>
  <sheetFormatPr defaultRowHeight="15.75" x14ac:dyDescent="0.25"/>
  <cols>
    <col min="1" max="1" width="64.19921875" customWidth="1"/>
  </cols>
  <sheetData>
    <row r="3" spans="1:12" x14ac:dyDescent="0.25">
      <c r="A3" s="312" t="s">
        <v>310</v>
      </c>
      <c r="B3" s="312"/>
      <c r="C3" s="312"/>
      <c r="D3" s="312"/>
      <c r="E3" s="312"/>
      <c r="F3" s="312"/>
      <c r="G3" s="312"/>
      <c r="H3" s="312"/>
      <c r="I3" s="312"/>
      <c r="J3" s="312"/>
      <c r="K3" s="312"/>
      <c r="L3" s="312"/>
    </row>
    <row r="5" spans="1:12" x14ac:dyDescent="0.25">
      <c r="A5" s="311" t="s">
        <v>311</v>
      </c>
    </row>
    <row r="6" spans="1:12" x14ac:dyDescent="0.25">
      <c r="A6" s="311" t="str">
        <f>CONCATENATE(inputPrYr!D6-2," 'total expenditures' exceed your ",inputPrYr!D6-2," 'budget authority.'")</f>
        <v>2018 'total expenditures' exceed your 2018 'budget authority.'</v>
      </c>
    </row>
    <row r="7" spans="1:12" x14ac:dyDescent="0.25">
      <c r="A7" s="311"/>
    </row>
    <row r="8" spans="1:12" x14ac:dyDescent="0.25">
      <c r="A8" s="311" t="s">
        <v>312</v>
      </c>
    </row>
    <row r="9" spans="1:12" x14ac:dyDescent="0.25">
      <c r="A9" s="311" t="s">
        <v>313</v>
      </c>
    </row>
    <row r="10" spans="1:12" x14ac:dyDescent="0.25">
      <c r="A10" s="311" t="s">
        <v>314</v>
      </c>
    </row>
    <row r="11" spans="1:12" x14ac:dyDescent="0.25">
      <c r="A11" s="311"/>
    </row>
    <row r="12" spans="1:12" x14ac:dyDescent="0.25">
      <c r="A12" s="311"/>
    </row>
    <row r="13" spans="1:12" x14ac:dyDescent="0.25">
      <c r="A13" s="310" t="s">
        <v>315</v>
      </c>
    </row>
    <row r="15" spans="1:12" x14ac:dyDescent="0.25">
      <c r="A15" s="311" t="s">
        <v>316</v>
      </c>
    </row>
    <row r="16" spans="1:12" x14ac:dyDescent="0.25">
      <c r="A16" s="311" t="str">
        <f>CONCATENATE("(i.e. an audit has not been completed, or the ",inputPrYr!D6," adopted")</f>
        <v>(i.e. an audit has not been completed, or the 2020 adopted</v>
      </c>
    </row>
    <row r="17" spans="1:1" x14ac:dyDescent="0.25">
      <c r="A17" s="311" t="s">
        <v>317</v>
      </c>
    </row>
    <row r="18" spans="1:1" x14ac:dyDescent="0.25">
      <c r="A18" s="311" t="s">
        <v>318</v>
      </c>
    </row>
    <row r="19" spans="1:1" x14ac:dyDescent="0.25">
      <c r="A19" s="311" t="s">
        <v>319</v>
      </c>
    </row>
    <row r="21" spans="1:1" x14ac:dyDescent="0.25">
      <c r="A21" s="310" t="s">
        <v>320</v>
      </c>
    </row>
    <row r="22" spans="1:1" x14ac:dyDescent="0.25">
      <c r="A22" s="310"/>
    </row>
    <row r="23" spans="1:1" x14ac:dyDescent="0.25">
      <c r="A23" s="311" t="s">
        <v>321</v>
      </c>
    </row>
    <row r="24" spans="1:1" x14ac:dyDescent="0.25">
      <c r="A24" s="311" t="s">
        <v>322</v>
      </c>
    </row>
    <row r="25" spans="1:1" x14ac:dyDescent="0.25">
      <c r="A25" s="311" t="str">
        <f>CONCATENATE("particular fund.  If your ",inputPrYr!D6-2," budget was amended, did you")</f>
        <v>particular fund.  If your 2018 budget was amended, did you</v>
      </c>
    </row>
    <row r="26" spans="1:1" x14ac:dyDescent="0.25">
      <c r="A26" s="311" t="s">
        <v>323</v>
      </c>
    </row>
    <row r="27" spans="1:1" x14ac:dyDescent="0.25">
      <c r="A27" s="311"/>
    </row>
    <row r="28" spans="1:1" x14ac:dyDescent="0.25">
      <c r="A28" s="311" t="str">
        <f>CONCATENATE("Next, look to see if any of your ",inputPrYr!D6-2," expenditures can be")</f>
        <v>Next, look to see if any of your 2018 expenditures can be</v>
      </c>
    </row>
    <row r="29" spans="1:1" x14ac:dyDescent="0.25">
      <c r="A29" s="311" t="s">
        <v>324</v>
      </c>
    </row>
    <row r="30" spans="1:1" x14ac:dyDescent="0.25">
      <c r="A30" s="311" t="s">
        <v>325</v>
      </c>
    </row>
    <row r="31" spans="1:1" x14ac:dyDescent="0.25">
      <c r="A31" s="311" t="s">
        <v>326</v>
      </c>
    </row>
    <row r="32" spans="1:1" x14ac:dyDescent="0.25">
      <c r="A32" s="311"/>
    </row>
    <row r="33" spans="1:1" x14ac:dyDescent="0.25">
      <c r="A33" s="311" t="str">
        <f>CONCATENATE("Additionally, do your ",inputPrYr!D6-2," receipts contain a reimbursement")</f>
        <v>Additionally, do your 2018 receipts contain a reimbursement</v>
      </c>
    </row>
    <row r="34" spans="1:1" x14ac:dyDescent="0.25">
      <c r="A34" s="311" t="s">
        <v>327</v>
      </c>
    </row>
    <row r="35" spans="1:1" x14ac:dyDescent="0.25">
      <c r="A35" s="311" t="s">
        <v>328</v>
      </c>
    </row>
    <row r="36" spans="1:1" x14ac:dyDescent="0.25">
      <c r="A36" s="311"/>
    </row>
    <row r="37" spans="1:1" x14ac:dyDescent="0.25">
      <c r="A37" s="311" t="s">
        <v>329</v>
      </c>
    </row>
    <row r="38" spans="1:1" x14ac:dyDescent="0.25">
      <c r="A38" s="311" t="s">
        <v>515</v>
      </c>
    </row>
    <row r="39" spans="1:1" x14ac:dyDescent="0.25">
      <c r="A39" s="311" t="s">
        <v>516</v>
      </c>
    </row>
    <row r="40" spans="1:1" x14ac:dyDescent="0.25">
      <c r="A40" s="311" t="s">
        <v>330</v>
      </c>
    </row>
    <row r="41" spans="1:1" x14ac:dyDescent="0.25">
      <c r="A41" s="311" t="s">
        <v>331</v>
      </c>
    </row>
    <row r="42" spans="1:1" x14ac:dyDescent="0.25">
      <c r="A42" s="311" t="s">
        <v>332</v>
      </c>
    </row>
    <row r="43" spans="1:1" x14ac:dyDescent="0.25">
      <c r="A43" s="311" t="s">
        <v>333</v>
      </c>
    </row>
    <row r="44" spans="1:1" x14ac:dyDescent="0.25">
      <c r="A44" s="311" t="s">
        <v>334</v>
      </c>
    </row>
    <row r="45" spans="1:1" x14ac:dyDescent="0.25">
      <c r="A45" s="311"/>
    </row>
    <row r="46" spans="1:1" x14ac:dyDescent="0.25">
      <c r="A46" s="311" t="s">
        <v>335</v>
      </c>
    </row>
    <row r="47" spans="1:1" x14ac:dyDescent="0.25">
      <c r="A47" s="311" t="s">
        <v>336</v>
      </c>
    </row>
    <row r="48" spans="1:1" x14ac:dyDescent="0.25">
      <c r="A48" s="311" t="s">
        <v>337</v>
      </c>
    </row>
    <row r="49" spans="1:1" x14ac:dyDescent="0.25">
      <c r="A49" s="311"/>
    </row>
    <row r="50" spans="1:1" x14ac:dyDescent="0.25">
      <c r="A50" s="311" t="s">
        <v>338</v>
      </c>
    </row>
    <row r="51" spans="1:1" x14ac:dyDescent="0.25">
      <c r="A51" s="311" t="s">
        <v>339</v>
      </c>
    </row>
    <row r="52" spans="1:1" x14ac:dyDescent="0.25">
      <c r="A52" s="311" t="s">
        <v>340</v>
      </c>
    </row>
    <row r="53" spans="1:1" x14ac:dyDescent="0.25">
      <c r="A53" s="311"/>
    </row>
    <row r="54" spans="1:1" x14ac:dyDescent="0.25">
      <c r="A54" s="310" t="s">
        <v>341</v>
      </c>
    </row>
    <row r="55" spans="1:1" x14ac:dyDescent="0.25">
      <c r="A55" s="311"/>
    </row>
    <row r="56" spans="1:1" x14ac:dyDescent="0.25">
      <c r="A56" s="311" t="s">
        <v>342</v>
      </c>
    </row>
    <row r="57" spans="1:1" x14ac:dyDescent="0.25">
      <c r="A57" s="311" t="s">
        <v>343</v>
      </c>
    </row>
    <row r="58" spans="1:1" x14ac:dyDescent="0.25">
      <c r="A58" s="311" t="s">
        <v>344</v>
      </c>
    </row>
    <row r="59" spans="1:1" x14ac:dyDescent="0.25">
      <c r="A59" s="311" t="s">
        <v>345</v>
      </c>
    </row>
    <row r="60" spans="1:1" x14ac:dyDescent="0.25">
      <c r="A60" s="311" t="s">
        <v>346</v>
      </c>
    </row>
    <row r="61" spans="1:1" x14ac:dyDescent="0.25">
      <c r="A61" s="311" t="s">
        <v>347</v>
      </c>
    </row>
    <row r="62" spans="1:1" x14ac:dyDescent="0.25">
      <c r="A62" s="311" t="s">
        <v>348</v>
      </c>
    </row>
    <row r="63" spans="1:1" x14ac:dyDescent="0.25">
      <c r="A63" s="311" t="s">
        <v>349</v>
      </c>
    </row>
    <row r="64" spans="1:1" x14ac:dyDescent="0.25">
      <c r="A64" s="311" t="s">
        <v>350</v>
      </c>
    </row>
    <row r="65" spans="1:1" x14ac:dyDescent="0.25">
      <c r="A65" s="311" t="s">
        <v>351</v>
      </c>
    </row>
    <row r="66" spans="1:1" x14ac:dyDescent="0.25">
      <c r="A66" s="311" t="s">
        <v>352</v>
      </c>
    </row>
    <row r="67" spans="1:1" x14ac:dyDescent="0.25">
      <c r="A67" s="311" t="s">
        <v>353</v>
      </c>
    </row>
    <row r="68" spans="1:1" x14ac:dyDescent="0.25">
      <c r="A68" s="311" t="s">
        <v>354</v>
      </c>
    </row>
    <row r="69" spans="1:1" x14ac:dyDescent="0.25">
      <c r="A69" s="311"/>
    </row>
    <row r="70" spans="1:1" x14ac:dyDescent="0.25">
      <c r="A70" s="311" t="s">
        <v>355</v>
      </c>
    </row>
    <row r="71" spans="1:1" x14ac:dyDescent="0.25">
      <c r="A71" s="311" t="s">
        <v>356</v>
      </c>
    </row>
    <row r="72" spans="1:1" x14ac:dyDescent="0.25">
      <c r="A72" s="311" t="s">
        <v>357</v>
      </c>
    </row>
    <row r="73" spans="1:1" x14ac:dyDescent="0.25">
      <c r="A73" s="311"/>
    </row>
    <row r="74" spans="1:1" x14ac:dyDescent="0.25">
      <c r="A74" s="310" t="str">
        <f>CONCATENATE("What if the ",inputPrYr!D6-2," financial records have been closed?")</f>
        <v>What if the 2018 financial records have been closed?</v>
      </c>
    </row>
    <row r="76" spans="1:1" x14ac:dyDescent="0.25">
      <c r="A76" s="311" t="s">
        <v>358</v>
      </c>
    </row>
    <row r="77" spans="1:1" x14ac:dyDescent="0.25">
      <c r="A77" s="311" t="str">
        <f>CONCATENATE("(i.e. an audit for ",inputPrYr!D6-2," has been completed, or the ",inputPrYr!D6)</f>
        <v>(i.e. an audit for 2018 has been completed, or the 2020</v>
      </c>
    </row>
    <row r="78" spans="1:1" x14ac:dyDescent="0.25">
      <c r="A78" s="311" t="s">
        <v>359</v>
      </c>
    </row>
    <row r="79" spans="1:1" x14ac:dyDescent="0.25">
      <c r="A79" s="311" t="s">
        <v>360</v>
      </c>
    </row>
    <row r="80" spans="1:1" x14ac:dyDescent="0.25">
      <c r="A80" s="311"/>
    </row>
    <row r="81" spans="1:1" x14ac:dyDescent="0.25">
      <c r="A81" s="311" t="s">
        <v>361</v>
      </c>
    </row>
    <row r="82" spans="1:1" x14ac:dyDescent="0.25">
      <c r="A82" s="311" t="s">
        <v>362</v>
      </c>
    </row>
    <row r="83" spans="1:1" x14ac:dyDescent="0.25">
      <c r="A83" s="311" t="s">
        <v>363</v>
      </c>
    </row>
    <row r="84" spans="1:1" x14ac:dyDescent="0.25">
      <c r="A84" s="311"/>
    </row>
    <row r="85" spans="1:1" x14ac:dyDescent="0.25">
      <c r="A85" s="311" t="s">
        <v>364</v>
      </c>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3:J109"/>
  <sheetViews>
    <sheetView workbookViewId="0">
      <selection activeCell="M111" sqref="M111"/>
    </sheetView>
  </sheetViews>
  <sheetFormatPr defaultRowHeight="15.75" x14ac:dyDescent="0.25"/>
  <cols>
    <col min="1" max="1" width="64.19921875" customWidth="1"/>
  </cols>
  <sheetData>
    <row r="3" spans="1:10" x14ac:dyDescent="0.25">
      <c r="A3" s="312" t="s">
        <v>365</v>
      </c>
      <c r="B3" s="312"/>
      <c r="C3" s="312"/>
      <c r="D3" s="312"/>
      <c r="E3" s="312"/>
      <c r="F3" s="312"/>
      <c r="G3" s="312"/>
      <c r="H3" s="309"/>
      <c r="I3" s="309"/>
      <c r="J3" s="309"/>
    </row>
    <row r="5" spans="1:10" x14ac:dyDescent="0.25">
      <c r="A5" s="311" t="s">
        <v>366</v>
      </c>
    </row>
    <row r="6" spans="1:10" x14ac:dyDescent="0.25">
      <c r="A6" t="str">
        <f>CONCATENATE(inputPrYr!D6-2," expenditures show that you finished the year with a ")</f>
        <v xml:space="preserve">2018 expenditures show that you finished the year with a </v>
      </c>
    </row>
    <row r="7" spans="1:10" x14ac:dyDescent="0.25">
      <c r="A7" t="s">
        <v>367</v>
      </c>
    </row>
    <row r="9" spans="1:10" x14ac:dyDescent="0.25">
      <c r="A9" t="s">
        <v>368</v>
      </c>
    </row>
    <row r="10" spans="1:10" x14ac:dyDescent="0.25">
      <c r="A10" t="s">
        <v>369</v>
      </c>
    </row>
    <row r="11" spans="1:10" x14ac:dyDescent="0.25">
      <c r="A11" t="s">
        <v>370</v>
      </c>
    </row>
    <row r="13" spans="1:10" x14ac:dyDescent="0.25">
      <c r="A13" s="310" t="s">
        <v>371</v>
      </c>
    </row>
    <row r="14" spans="1:10" x14ac:dyDescent="0.25">
      <c r="A14" s="310"/>
    </row>
    <row r="15" spans="1:10" x14ac:dyDescent="0.25">
      <c r="A15" s="311" t="s">
        <v>372</v>
      </c>
    </row>
    <row r="16" spans="1:10" x14ac:dyDescent="0.25">
      <c r="A16" s="311" t="s">
        <v>373</v>
      </c>
    </row>
    <row r="17" spans="1:1" x14ac:dyDescent="0.25">
      <c r="A17" s="311" t="s">
        <v>374</v>
      </c>
    </row>
    <row r="18" spans="1:1" x14ac:dyDescent="0.25">
      <c r="A18" s="311"/>
    </row>
    <row r="19" spans="1:1" x14ac:dyDescent="0.25">
      <c r="A19" s="310" t="s">
        <v>375</v>
      </c>
    </row>
    <row r="20" spans="1:1" x14ac:dyDescent="0.25">
      <c r="A20" s="310"/>
    </row>
    <row r="21" spans="1:1" x14ac:dyDescent="0.25">
      <c r="A21" s="311" t="s">
        <v>376</v>
      </c>
    </row>
    <row r="22" spans="1:1" x14ac:dyDescent="0.25">
      <c r="A22" s="311" t="s">
        <v>377</v>
      </c>
    </row>
    <row r="23" spans="1:1" x14ac:dyDescent="0.25">
      <c r="A23" s="311" t="s">
        <v>378</v>
      </c>
    </row>
    <row r="24" spans="1:1" x14ac:dyDescent="0.25">
      <c r="A24" s="311"/>
    </row>
    <row r="25" spans="1:1" x14ac:dyDescent="0.25">
      <c r="A25" s="310" t="s">
        <v>379</v>
      </c>
    </row>
    <row r="26" spans="1:1" x14ac:dyDescent="0.25">
      <c r="A26" s="310"/>
    </row>
    <row r="27" spans="1:1" x14ac:dyDescent="0.25">
      <c r="A27" s="311" t="s">
        <v>380</v>
      </c>
    </row>
    <row r="28" spans="1:1" x14ac:dyDescent="0.25">
      <c r="A28" s="311" t="s">
        <v>381</v>
      </c>
    </row>
    <row r="29" spans="1:1" x14ac:dyDescent="0.25">
      <c r="A29" s="311" t="s">
        <v>382</v>
      </c>
    </row>
    <row r="30" spans="1:1" x14ac:dyDescent="0.25">
      <c r="A30" s="311"/>
    </row>
    <row r="31" spans="1:1" x14ac:dyDescent="0.25">
      <c r="A31" s="310" t="s">
        <v>383</v>
      </c>
    </row>
    <row r="32" spans="1:1" x14ac:dyDescent="0.25">
      <c r="A32" s="310"/>
    </row>
    <row r="33" spans="1:8" x14ac:dyDescent="0.25">
      <c r="A33" s="311" t="str">
        <f>CONCATENATE("If your financial records for ",inputPrYr!D6-2," are not closed")</f>
        <v>If your financial records for 2018 are not closed</v>
      </c>
      <c r="B33" s="311"/>
      <c r="C33" s="311"/>
      <c r="D33" s="311"/>
      <c r="E33" s="311"/>
      <c r="F33" s="311"/>
      <c r="G33" s="311"/>
      <c r="H33" s="311"/>
    </row>
    <row r="34" spans="1:8" x14ac:dyDescent="0.25">
      <c r="A34" s="311" t="str">
        <f>CONCATENATE("(i.e. an audit has not been completed, or the ",inputPrYr!D6," adopted ")</f>
        <v xml:space="preserve">(i.e. an audit has not been completed, or the 2020 adopted </v>
      </c>
      <c r="B34" s="311"/>
      <c r="C34" s="311"/>
      <c r="D34" s="311"/>
      <c r="E34" s="311"/>
      <c r="F34" s="311"/>
      <c r="G34" s="311"/>
      <c r="H34" s="311"/>
    </row>
    <row r="35" spans="1:8" x14ac:dyDescent="0.25">
      <c r="A35" s="311" t="s">
        <v>384</v>
      </c>
      <c r="B35" s="311"/>
      <c r="C35" s="311"/>
      <c r="D35" s="311"/>
      <c r="E35" s="311"/>
      <c r="F35" s="311"/>
      <c r="G35" s="311"/>
      <c r="H35" s="311"/>
    </row>
    <row r="36" spans="1:8" x14ac:dyDescent="0.25">
      <c r="A36" s="311" t="s">
        <v>385</v>
      </c>
      <c r="B36" s="311"/>
      <c r="C36" s="311"/>
      <c r="D36" s="311"/>
      <c r="E36" s="311"/>
      <c r="F36" s="311"/>
      <c r="G36" s="311"/>
      <c r="H36" s="311"/>
    </row>
    <row r="37" spans="1:8" x14ac:dyDescent="0.25">
      <c r="A37" s="311" t="s">
        <v>386</v>
      </c>
      <c r="B37" s="311"/>
      <c r="C37" s="311"/>
      <c r="D37" s="311"/>
      <c r="E37" s="311"/>
      <c r="F37" s="311"/>
      <c r="G37" s="311"/>
      <c r="H37" s="311"/>
    </row>
    <row r="38" spans="1:8" x14ac:dyDescent="0.25">
      <c r="A38" s="311" t="s">
        <v>387</v>
      </c>
      <c r="B38" s="311"/>
      <c r="C38" s="311"/>
      <c r="D38" s="311"/>
      <c r="E38" s="311"/>
      <c r="F38" s="311"/>
      <c r="G38" s="311"/>
      <c r="H38" s="311"/>
    </row>
    <row r="39" spans="1:8" x14ac:dyDescent="0.25">
      <c r="A39" s="311" t="s">
        <v>388</v>
      </c>
      <c r="B39" s="311"/>
      <c r="C39" s="311"/>
      <c r="D39" s="311"/>
      <c r="E39" s="311"/>
      <c r="F39" s="311"/>
      <c r="G39" s="311"/>
      <c r="H39" s="311"/>
    </row>
    <row r="40" spans="1:8" x14ac:dyDescent="0.25">
      <c r="A40" s="311"/>
      <c r="B40" s="311"/>
      <c r="C40" s="311"/>
      <c r="D40" s="311"/>
      <c r="E40" s="311"/>
      <c r="F40" s="311"/>
      <c r="G40" s="311"/>
      <c r="H40" s="311"/>
    </row>
    <row r="41" spans="1:8" x14ac:dyDescent="0.25">
      <c r="A41" s="311" t="s">
        <v>389</v>
      </c>
      <c r="B41" s="311"/>
      <c r="C41" s="311"/>
      <c r="D41" s="311"/>
      <c r="E41" s="311"/>
      <c r="F41" s="311"/>
      <c r="G41" s="311"/>
      <c r="H41" s="311"/>
    </row>
    <row r="42" spans="1:8" x14ac:dyDescent="0.25">
      <c r="A42" s="311" t="s">
        <v>390</v>
      </c>
      <c r="B42" s="311"/>
      <c r="C42" s="311"/>
      <c r="D42" s="311"/>
      <c r="E42" s="311"/>
      <c r="F42" s="311"/>
      <c r="G42" s="311"/>
      <c r="H42" s="311"/>
    </row>
    <row r="43" spans="1:8" x14ac:dyDescent="0.25">
      <c r="A43" s="311" t="s">
        <v>391</v>
      </c>
      <c r="B43" s="311"/>
      <c r="C43" s="311"/>
      <c r="D43" s="311"/>
      <c r="E43" s="311"/>
      <c r="F43" s="311"/>
      <c r="G43" s="311"/>
      <c r="H43" s="311"/>
    </row>
    <row r="44" spans="1:8" x14ac:dyDescent="0.25">
      <c r="A44" s="311" t="s">
        <v>392</v>
      </c>
      <c r="B44" s="311"/>
      <c r="C44" s="311"/>
      <c r="D44" s="311"/>
      <c r="E44" s="311"/>
      <c r="F44" s="311"/>
      <c r="G44" s="311"/>
      <c r="H44" s="311"/>
    </row>
    <row r="45" spans="1:8" x14ac:dyDescent="0.25">
      <c r="A45" s="311"/>
      <c r="B45" s="311"/>
      <c r="C45" s="311"/>
      <c r="D45" s="311"/>
      <c r="E45" s="311"/>
      <c r="F45" s="311"/>
      <c r="G45" s="311"/>
      <c r="H45" s="311"/>
    </row>
    <row r="46" spans="1:8" x14ac:dyDescent="0.25">
      <c r="A46" s="311" t="s">
        <v>393</v>
      </c>
      <c r="B46" s="311"/>
      <c r="C46" s="311"/>
      <c r="D46" s="311"/>
      <c r="E46" s="311"/>
      <c r="F46" s="311"/>
      <c r="G46" s="311"/>
      <c r="H46" s="311"/>
    </row>
    <row r="47" spans="1:8" x14ac:dyDescent="0.25">
      <c r="A47" s="311" t="s">
        <v>394</v>
      </c>
      <c r="B47" s="311"/>
      <c r="C47" s="311"/>
      <c r="D47" s="311"/>
      <c r="E47" s="311"/>
      <c r="F47" s="311"/>
      <c r="G47" s="311"/>
      <c r="H47" s="311"/>
    </row>
    <row r="48" spans="1:8" x14ac:dyDescent="0.25">
      <c r="A48" s="311" t="s">
        <v>395</v>
      </c>
      <c r="B48" s="311"/>
      <c r="C48" s="311"/>
      <c r="D48" s="311"/>
      <c r="E48" s="311"/>
      <c r="F48" s="311"/>
      <c r="G48" s="311"/>
      <c r="H48" s="311"/>
    </row>
    <row r="49" spans="1:8" x14ac:dyDescent="0.25">
      <c r="A49" s="311" t="s">
        <v>396</v>
      </c>
      <c r="B49" s="311"/>
      <c r="C49" s="311"/>
      <c r="D49" s="311"/>
      <c r="E49" s="311"/>
      <c r="F49" s="311"/>
      <c r="G49" s="311"/>
      <c r="H49" s="311"/>
    </row>
    <row r="50" spans="1:8" x14ac:dyDescent="0.25">
      <c r="A50" s="311" t="s">
        <v>397</v>
      </c>
      <c r="B50" s="311"/>
      <c r="C50" s="311"/>
      <c r="D50" s="311"/>
      <c r="E50" s="311"/>
      <c r="F50" s="311"/>
      <c r="G50" s="311"/>
      <c r="H50" s="311"/>
    </row>
    <row r="51" spans="1:8" x14ac:dyDescent="0.25">
      <c r="A51" s="311"/>
      <c r="B51" s="311"/>
      <c r="C51" s="311"/>
      <c r="D51" s="311"/>
      <c r="E51" s="311"/>
      <c r="F51" s="311"/>
      <c r="G51" s="311"/>
      <c r="H51" s="311"/>
    </row>
    <row r="52" spans="1:8" x14ac:dyDescent="0.25">
      <c r="A52" s="310" t="s">
        <v>398</v>
      </c>
      <c r="B52" s="310"/>
      <c r="C52" s="310"/>
      <c r="D52" s="310"/>
      <c r="E52" s="310"/>
      <c r="F52" s="310"/>
      <c r="G52" s="310"/>
      <c r="H52" s="311"/>
    </row>
    <row r="53" spans="1:8" x14ac:dyDescent="0.25">
      <c r="A53" s="310" t="s">
        <v>399</v>
      </c>
      <c r="B53" s="310"/>
      <c r="C53" s="310"/>
      <c r="D53" s="310"/>
      <c r="E53" s="310"/>
      <c r="F53" s="310"/>
      <c r="G53" s="310"/>
      <c r="H53" s="311"/>
    </row>
    <row r="54" spans="1:8" x14ac:dyDescent="0.25">
      <c r="A54" s="311"/>
      <c r="B54" s="311"/>
      <c r="C54" s="311"/>
      <c r="D54" s="311"/>
      <c r="E54" s="311"/>
      <c r="F54" s="311"/>
      <c r="G54" s="311"/>
      <c r="H54" s="311"/>
    </row>
    <row r="55" spans="1:8" x14ac:dyDescent="0.25">
      <c r="A55" s="311" t="s">
        <v>400</v>
      </c>
      <c r="B55" s="311"/>
      <c r="C55" s="311"/>
      <c r="D55" s="311"/>
      <c r="E55" s="311"/>
      <c r="F55" s="311"/>
      <c r="G55" s="311"/>
      <c r="H55" s="311"/>
    </row>
    <row r="56" spans="1:8" x14ac:dyDescent="0.25">
      <c r="A56" s="311" t="s">
        <v>401</v>
      </c>
      <c r="B56" s="311"/>
      <c r="C56" s="311"/>
      <c r="D56" s="311"/>
      <c r="E56" s="311"/>
      <c r="F56" s="311"/>
      <c r="G56" s="311"/>
      <c r="H56" s="311"/>
    </row>
    <row r="57" spans="1:8" x14ac:dyDescent="0.25">
      <c r="A57" s="311" t="s">
        <v>402</v>
      </c>
      <c r="B57" s="311"/>
      <c r="C57" s="311"/>
      <c r="D57" s="311"/>
      <c r="E57" s="311"/>
      <c r="F57" s="311"/>
      <c r="G57" s="311"/>
      <c r="H57" s="311"/>
    </row>
    <row r="58" spans="1:8" x14ac:dyDescent="0.25">
      <c r="A58" s="311" t="s">
        <v>403</v>
      </c>
      <c r="B58" s="311"/>
      <c r="C58" s="311"/>
      <c r="D58" s="311"/>
      <c r="E58" s="311"/>
      <c r="F58" s="311"/>
      <c r="G58" s="311"/>
      <c r="H58" s="311"/>
    </row>
    <row r="59" spans="1:8" x14ac:dyDescent="0.25">
      <c r="A59" s="311"/>
      <c r="B59" s="311"/>
      <c r="C59" s="311"/>
      <c r="D59" s="311"/>
      <c r="E59" s="311"/>
      <c r="F59" s="311"/>
      <c r="G59" s="311"/>
      <c r="H59" s="311"/>
    </row>
    <row r="60" spans="1:8" x14ac:dyDescent="0.25">
      <c r="A60" s="311" t="s">
        <v>404</v>
      </c>
      <c r="B60" s="311"/>
      <c r="C60" s="311"/>
      <c r="D60" s="311"/>
      <c r="E60" s="311"/>
      <c r="F60" s="311"/>
      <c r="G60" s="311"/>
      <c r="H60" s="311"/>
    </row>
    <row r="61" spans="1:8" x14ac:dyDescent="0.25">
      <c r="A61" s="311" t="s">
        <v>405</v>
      </c>
      <c r="B61" s="311"/>
      <c r="C61" s="311"/>
      <c r="D61" s="311"/>
      <c r="E61" s="311"/>
      <c r="F61" s="311"/>
      <c r="G61" s="311"/>
      <c r="H61" s="311"/>
    </row>
    <row r="62" spans="1:8" x14ac:dyDescent="0.25">
      <c r="A62" s="311" t="s">
        <v>406</v>
      </c>
      <c r="B62" s="311"/>
      <c r="C62" s="311"/>
      <c r="D62" s="311"/>
      <c r="E62" s="311"/>
      <c r="F62" s="311"/>
      <c r="G62" s="311"/>
      <c r="H62" s="311"/>
    </row>
    <row r="63" spans="1:8" x14ac:dyDescent="0.25">
      <c r="A63" s="311" t="s">
        <v>407</v>
      </c>
      <c r="B63" s="311"/>
      <c r="C63" s="311"/>
      <c r="D63" s="311"/>
      <c r="E63" s="311"/>
      <c r="F63" s="311"/>
      <c r="G63" s="311"/>
      <c r="H63" s="311"/>
    </row>
    <row r="64" spans="1:8" x14ac:dyDescent="0.25">
      <c r="A64" s="311" t="s">
        <v>408</v>
      </c>
      <c r="B64" s="311"/>
      <c r="C64" s="311"/>
      <c r="D64" s="311"/>
      <c r="E64" s="311"/>
      <c r="F64" s="311"/>
      <c r="G64" s="311"/>
      <c r="H64" s="311"/>
    </row>
    <row r="65" spans="1:8" x14ac:dyDescent="0.25">
      <c r="A65" s="311" t="s">
        <v>409</v>
      </c>
      <c r="B65" s="311"/>
      <c r="C65" s="311"/>
      <c r="D65" s="311"/>
      <c r="E65" s="311"/>
      <c r="F65" s="311"/>
      <c r="G65" s="311"/>
      <c r="H65" s="311"/>
    </row>
    <row r="66" spans="1:8" x14ac:dyDescent="0.25">
      <c r="A66" s="311"/>
      <c r="B66" s="311"/>
      <c r="C66" s="311"/>
      <c r="D66" s="311"/>
      <c r="E66" s="311"/>
      <c r="F66" s="311"/>
      <c r="G66" s="311"/>
      <c r="H66" s="311"/>
    </row>
    <row r="67" spans="1:8" x14ac:dyDescent="0.25">
      <c r="A67" s="311" t="s">
        <v>410</v>
      </c>
      <c r="B67" s="311"/>
      <c r="C67" s="311"/>
      <c r="D67" s="311"/>
      <c r="E67" s="311"/>
      <c r="F67" s="311"/>
      <c r="G67" s="311"/>
      <c r="H67" s="311"/>
    </row>
    <row r="68" spans="1:8" x14ac:dyDescent="0.25">
      <c r="A68" s="311" t="s">
        <v>411</v>
      </c>
      <c r="B68" s="311"/>
      <c r="C68" s="311"/>
      <c r="D68" s="311"/>
      <c r="E68" s="311"/>
      <c r="F68" s="311"/>
      <c r="G68" s="311"/>
      <c r="H68" s="311"/>
    </row>
    <row r="69" spans="1:8" x14ac:dyDescent="0.25">
      <c r="A69" s="311" t="s">
        <v>412</v>
      </c>
      <c r="B69" s="311"/>
      <c r="C69" s="311"/>
      <c r="D69" s="311"/>
      <c r="E69" s="311"/>
      <c r="F69" s="311"/>
      <c r="G69" s="311"/>
      <c r="H69" s="311"/>
    </row>
    <row r="70" spans="1:8" x14ac:dyDescent="0.25">
      <c r="A70" s="311" t="s">
        <v>413</v>
      </c>
      <c r="B70" s="311"/>
      <c r="C70" s="311"/>
      <c r="D70" s="311"/>
      <c r="E70" s="311"/>
      <c r="F70" s="311"/>
      <c r="G70" s="311"/>
      <c r="H70" s="311"/>
    </row>
    <row r="71" spans="1:8" x14ac:dyDescent="0.25">
      <c r="A71" s="311" t="s">
        <v>414</v>
      </c>
      <c r="B71" s="311"/>
      <c r="C71" s="311"/>
      <c r="D71" s="311"/>
      <c r="E71" s="311"/>
      <c r="F71" s="311"/>
      <c r="G71" s="311"/>
      <c r="H71" s="311"/>
    </row>
    <row r="72" spans="1:8" x14ac:dyDescent="0.25">
      <c r="A72" s="311" t="s">
        <v>415</v>
      </c>
      <c r="B72" s="311"/>
      <c r="C72" s="311"/>
      <c r="D72" s="311"/>
      <c r="E72" s="311"/>
      <c r="F72" s="311"/>
      <c r="G72" s="311"/>
      <c r="H72" s="311"/>
    </row>
    <row r="73" spans="1:8" x14ac:dyDescent="0.25">
      <c r="A73" s="311" t="s">
        <v>416</v>
      </c>
      <c r="B73" s="311"/>
      <c r="C73" s="311"/>
      <c r="D73" s="311"/>
      <c r="E73" s="311"/>
      <c r="F73" s="311"/>
      <c r="G73" s="311"/>
      <c r="H73" s="311"/>
    </row>
    <row r="74" spans="1:8" x14ac:dyDescent="0.25">
      <c r="A74" s="311"/>
      <c r="B74" s="311"/>
      <c r="C74" s="311"/>
      <c r="D74" s="311"/>
      <c r="E74" s="311"/>
      <c r="F74" s="311"/>
      <c r="G74" s="311"/>
      <c r="H74" s="311"/>
    </row>
    <row r="75" spans="1:8" x14ac:dyDescent="0.25">
      <c r="A75" s="311" t="s">
        <v>417</v>
      </c>
      <c r="B75" s="311"/>
      <c r="C75" s="311"/>
      <c r="D75" s="311"/>
      <c r="E75" s="311"/>
      <c r="F75" s="311"/>
      <c r="G75" s="311"/>
      <c r="H75" s="311"/>
    </row>
    <row r="76" spans="1:8" x14ac:dyDescent="0.25">
      <c r="A76" s="311" t="s">
        <v>418</v>
      </c>
      <c r="B76" s="311"/>
      <c r="C76" s="311"/>
      <c r="D76" s="311"/>
      <c r="E76" s="311"/>
      <c r="F76" s="311"/>
      <c r="G76" s="311"/>
      <c r="H76" s="311"/>
    </row>
    <row r="77" spans="1:8" x14ac:dyDescent="0.25">
      <c r="A77" s="311" t="s">
        <v>419</v>
      </c>
      <c r="B77" s="311"/>
      <c r="C77" s="311"/>
      <c r="D77" s="311"/>
      <c r="E77" s="311"/>
      <c r="F77" s="311"/>
      <c r="G77" s="311"/>
      <c r="H77" s="311"/>
    </row>
    <row r="78" spans="1:8" x14ac:dyDescent="0.25">
      <c r="A78" s="311"/>
      <c r="B78" s="311"/>
      <c r="C78" s="311"/>
      <c r="D78" s="311"/>
      <c r="E78" s="311"/>
      <c r="F78" s="311"/>
      <c r="G78" s="311"/>
      <c r="H78" s="311"/>
    </row>
    <row r="79" spans="1:8" x14ac:dyDescent="0.25">
      <c r="A79" s="311" t="s">
        <v>364</v>
      </c>
    </row>
    <row r="80" spans="1:8" x14ac:dyDescent="0.25">
      <c r="A80" s="310"/>
    </row>
    <row r="81" spans="1:1" x14ac:dyDescent="0.25">
      <c r="A81" s="311"/>
    </row>
    <row r="82" spans="1:1" x14ac:dyDescent="0.25">
      <c r="A82" s="311"/>
    </row>
    <row r="83" spans="1:1" x14ac:dyDescent="0.25">
      <c r="A83" s="311"/>
    </row>
    <row r="84" spans="1:1" x14ac:dyDescent="0.25">
      <c r="A84" s="311"/>
    </row>
    <row r="85" spans="1:1" x14ac:dyDescent="0.25">
      <c r="A85" s="311"/>
    </row>
    <row r="86" spans="1:1" x14ac:dyDescent="0.25">
      <c r="A86" s="311"/>
    </row>
    <row r="87" spans="1:1" x14ac:dyDescent="0.25">
      <c r="A87" s="311"/>
    </row>
    <row r="88" spans="1:1" x14ac:dyDescent="0.25">
      <c r="A88" s="311"/>
    </row>
    <row r="89" spans="1:1" x14ac:dyDescent="0.25">
      <c r="A89" s="311"/>
    </row>
    <row r="90" spans="1:1" x14ac:dyDescent="0.25">
      <c r="A90" s="311"/>
    </row>
    <row r="91" spans="1:1" x14ac:dyDescent="0.25">
      <c r="A91" s="311"/>
    </row>
    <row r="92" spans="1:1" x14ac:dyDescent="0.25">
      <c r="A92" s="311"/>
    </row>
    <row r="93" spans="1:1" x14ac:dyDescent="0.25">
      <c r="A93" s="311"/>
    </row>
    <row r="94" spans="1:1" x14ac:dyDescent="0.25">
      <c r="A94" s="311"/>
    </row>
    <row r="95" spans="1:1" x14ac:dyDescent="0.25">
      <c r="A95" s="311"/>
    </row>
    <row r="96" spans="1:1" x14ac:dyDescent="0.25">
      <c r="A96" s="311"/>
    </row>
    <row r="97" spans="1:1" x14ac:dyDescent="0.25">
      <c r="A97" s="311"/>
    </row>
    <row r="98" spans="1:1" x14ac:dyDescent="0.25">
      <c r="A98" s="311"/>
    </row>
    <row r="99" spans="1:1" x14ac:dyDescent="0.25">
      <c r="A99" s="311"/>
    </row>
    <row r="100" spans="1:1" x14ac:dyDescent="0.25">
      <c r="A100" s="311"/>
    </row>
    <row r="101" spans="1:1" x14ac:dyDescent="0.25">
      <c r="A101" s="311"/>
    </row>
    <row r="103" spans="1:1" x14ac:dyDescent="0.25">
      <c r="A103" s="311"/>
    </row>
    <row r="104" spans="1:1" x14ac:dyDescent="0.25">
      <c r="A104" s="311"/>
    </row>
    <row r="105" spans="1:1" x14ac:dyDescent="0.25">
      <c r="A105" s="311"/>
    </row>
    <row r="107" spans="1:1" x14ac:dyDescent="0.25">
      <c r="A107" s="310"/>
    </row>
    <row r="108" spans="1:1" x14ac:dyDescent="0.25">
      <c r="A108" s="310"/>
    </row>
    <row r="109" spans="1:1" x14ac:dyDescent="0.25">
      <c r="A109" s="310"/>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3:L75"/>
  <sheetViews>
    <sheetView workbookViewId="0">
      <selection activeCell="M110" sqref="M110"/>
    </sheetView>
  </sheetViews>
  <sheetFormatPr defaultRowHeight="15.75" x14ac:dyDescent="0.25"/>
  <cols>
    <col min="1" max="1" width="64.19921875" customWidth="1"/>
  </cols>
  <sheetData>
    <row r="3" spans="1:12" x14ac:dyDescent="0.25">
      <c r="A3" s="312" t="s">
        <v>420</v>
      </c>
      <c r="B3" s="312"/>
      <c r="C3" s="312"/>
      <c r="D3" s="312"/>
      <c r="E3" s="312"/>
      <c r="F3" s="312"/>
      <c r="G3" s="312"/>
      <c r="H3" s="312"/>
      <c r="I3" s="312"/>
      <c r="J3" s="312"/>
      <c r="K3" s="312"/>
      <c r="L3" s="312"/>
    </row>
    <row r="4" spans="1:12" x14ac:dyDescent="0.25">
      <c r="A4" s="312"/>
      <c r="B4" s="312"/>
      <c r="C4" s="312"/>
      <c r="D4" s="312"/>
      <c r="E4" s="312"/>
      <c r="F4" s="312"/>
      <c r="G4" s="312"/>
      <c r="H4" s="312"/>
      <c r="I4" s="312"/>
      <c r="J4" s="312"/>
      <c r="K4" s="312"/>
      <c r="L4" s="312"/>
    </row>
    <row r="5" spans="1:12" x14ac:dyDescent="0.25">
      <c r="A5" s="311" t="s">
        <v>311</v>
      </c>
      <c r="I5" s="312"/>
      <c r="J5" s="312"/>
      <c r="K5" s="312"/>
      <c r="L5" s="312"/>
    </row>
    <row r="6" spans="1:12" x14ac:dyDescent="0.25">
      <c r="A6" s="311" t="str">
        <f>CONCATENATE("estimated ",inputPrYr!D6-1," 'total expenditures' exceed your ",inputPrYr!D6-1,"")</f>
        <v>estimated 2019 'total expenditures' exceed your 2019</v>
      </c>
      <c r="I6" s="312"/>
      <c r="J6" s="312"/>
      <c r="K6" s="312"/>
      <c r="L6" s="312"/>
    </row>
    <row r="7" spans="1:12" x14ac:dyDescent="0.25">
      <c r="A7" s="323" t="s">
        <v>421</v>
      </c>
      <c r="I7" s="312"/>
      <c r="J7" s="312"/>
      <c r="K7" s="312"/>
      <c r="L7" s="312"/>
    </row>
    <row r="8" spans="1:12" x14ac:dyDescent="0.25">
      <c r="A8" s="311"/>
      <c r="I8" s="312"/>
      <c r="J8" s="312"/>
      <c r="K8" s="312"/>
      <c r="L8" s="312"/>
    </row>
    <row r="9" spans="1:12" x14ac:dyDescent="0.25">
      <c r="A9" s="311" t="s">
        <v>422</v>
      </c>
      <c r="I9" s="312"/>
      <c r="J9" s="312"/>
      <c r="K9" s="312"/>
      <c r="L9" s="312"/>
    </row>
    <row r="10" spans="1:12" x14ac:dyDescent="0.25">
      <c r="A10" s="311" t="s">
        <v>423</v>
      </c>
      <c r="I10" s="312"/>
      <c r="J10" s="312"/>
      <c r="K10" s="312"/>
      <c r="L10" s="312"/>
    </row>
    <row r="11" spans="1:12" x14ac:dyDescent="0.25">
      <c r="A11" s="311" t="s">
        <v>424</v>
      </c>
      <c r="I11" s="312"/>
      <c r="J11" s="312"/>
      <c r="K11" s="312"/>
      <c r="L11" s="312"/>
    </row>
    <row r="12" spans="1:12" x14ac:dyDescent="0.25">
      <c r="A12" s="311" t="s">
        <v>425</v>
      </c>
      <c r="I12" s="312"/>
      <c r="J12" s="312"/>
      <c r="K12" s="312"/>
      <c r="L12" s="312"/>
    </row>
    <row r="13" spans="1:12" x14ac:dyDescent="0.25">
      <c r="A13" s="311" t="s">
        <v>426</v>
      </c>
      <c r="I13" s="312"/>
      <c r="J13" s="312"/>
      <c r="K13" s="312"/>
      <c r="L13" s="312"/>
    </row>
    <row r="14" spans="1:12" x14ac:dyDescent="0.25">
      <c r="A14" s="312"/>
      <c r="B14" s="312"/>
      <c r="C14" s="312"/>
      <c r="D14" s="312"/>
      <c r="E14" s="312"/>
      <c r="F14" s="312"/>
      <c r="G14" s="312"/>
      <c r="H14" s="312"/>
      <c r="I14" s="312"/>
      <c r="J14" s="312"/>
      <c r="K14" s="312"/>
      <c r="L14" s="312"/>
    </row>
    <row r="15" spans="1:12" x14ac:dyDescent="0.25">
      <c r="A15" s="310" t="s">
        <v>427</v>
      </c>
    </row>
    <row r="16" spans="1:12" x14ac:dyDescent="0.25">
      <c r="A16" s="310" t="s">
        <v>428</v>
      </c>
    </row>
    <row r="17" spans="1:7" x14ac:dyDescent="0.25">
      <c r="A17" s="310"/>
    </row>
    <row r="18" spans="1:7" x14ac:dyDescent="0.25">
      <c r="A18" s="311" t="s">
        <v>429</v>
      </c>
      <c r="B18" s="311"/>
      <c r="C18" s="311"/>
      <c r="D18" s="311"/>
      <c r="E18" s="311"/>
      <c r="F18" s="311"/>
      <c r="G18" s="311"/>
    </row>
    <row r="19" spans="1:7" x14ac:dyDescent="0.25">
      <c r="A19" s="311" t="str">
        <f>CONCATENATE("your ",inputPrYr!D6-1," numbers to see what steps might be necessary to")</f>
        <v>your 2019 numbers to see what steps might be necessary to</v>
      </c>
      <c r="B19" s="311"/>
      <c r="C19" s="311"/>
      <c r="D19" s="311"/>
      <c r="E19" s="311"/>
      <c r="F19" s="311"/>
      <c r="G19" s="311"/>
    </row>
    <row r="20" spans="1:7" x14ac:dyDescent="0.25">
      <c r="A20" s="311" t="s">
        <v>430</v>
      </c>
      <c r="B20" s="311"/>
      <c r="C20" s="311"/>
      <c r="D20" s="311"/>
      <c r="E20" s="311"/>
      <c r="F20" s="311"/>
      <c r="G20" s="311"/>
    </row>
    <row r="21" spans="1:7" x14ac:dyDescent="0.25">
      <c r="A21" s="311" t="s">
        <v>431</v>
      </c>
      <c r="B21" s="311"/>
      <c r="C21" s="311"/>
      <c r="D21" s="311"/>
      <c r="E21" s="311"/>
      <c r="F21" s="311"/>
      <c r="G21" s="311"/>
    </row>
    <row r="22" spans="1:7" x14ac:dyDescent="0.25">
      <c r="A22" s="311"/>
    </row>
    <row r="23" spans="1:7" x14ac:dyDescent="0.25">
      <c r="A23" s="310" t="s">
        <v>432</v>
      </c>
    </row>
    <row r="24" spans="1:7" x14ac:dyDescent="0.25">
      <c r="A24" s="310"/>
    </row>
    <row r="25" spans="1:7" x14ac:dyDescent="0.25">
      <c r="A25" s="311" t="s">
        <v>433</v>
      </c>
    </row>
    <row r="26" spans="1:7" x14ac:dyDescent="0.25">
      <c r="A26" s="311" t="s">
        <v>434</v>
      </c>
      <c r="B26" s="311"/>
      <c r="C26" s="311"/>
      <c r="D26" s="311"/>
      <c r="E26" s="311"/>
      <c r="F26" s="311"/>
    </row>
    <row r="27" spans="1:7" x14ac:dyDescent="0.25">
      <c r="A27" s="311" t="s">
        <v>435</v>
      </c>
      <c r="B27" s="311"/>
      <c r="C27" s="311"/>
      <c r="D27" s="311"/>
      <c r="E27" s="311"/>
      <c r="F27" s="311"/>
    </row>
    <row r="28" spans="1:7" x14ac:dyDescent="0.25">
      <c r="A28" s="311" t="s">
        <v>436</v>
      </c>
      <c r="B28" s="311"/>
      <c r="C28" s="311"/>
      <c r="D28" s="311"/>
      <c r="E28" s="311"/>
      <c r="F28" s="311"/>
    </row>
    <row r="29" spans="1:7" x14ac:dyDescent="0.25">
      <c r="A29" s="311"/>
      <c r="B29" s="311"/>
      <c r="C29" s="311"/>
      <c r="D29" s="311"/>
      <c r="E29" s="311"/>
      <c r="F29" s="311"/>
    </row>
    <row r="30" spans="1:7" x14ac:dyDescent="0.25">
      <c r="A30" s="310" t="s">
        <v>437</v>
      </c>
      <c r="B30" s="310"/>
      <c r="C30" s="310"/>
      <c r="D30" s="310"/>
      <c r="E30" s="310"/>
      <c r="F30" s="310"/>
      <c r="G30" s="310"/>
    </row>
    <row r="31" spans="1:7" x14ac:dyDescent="0.25">
      <c r="A31" s="310" t="s">
        <v>438</v>
      </c>
      <c r="B31" s="310"/>
      <c r="C31" s="310"/>
      <c r="D31" s="310"/>
      <c r="E31" s="310"/>
      <c r="F31" s="310"/>
      <c r="G31" s="310"/>
    </row>
    <row r="32" spans="1:7" x14ac:dyDescent="0.25">
      <c r="A32" s="311"/>
      <c r="B32" s="311"/>
      <c r="C32" s="311"/>
      <c r="D32" s="311"/>
      <c r="E32" s="311"/>
      <c r="F32" s="311"/>
    </row>
    <row r="33" spans="1:6" x14ac:dyDescent="0.25">
      <c r="A33" s="320" t="str">
        <f>CONCATENATE("Well, let's look to see if any of your ",inputPrYr!D6-1," expenditures can")</f>
        <v>Well, let's look to see if any of your 2019 expenditures can</v>
      </c>
      <c r="B33" s="311"/>
      <c r="C33" s="311"/>
      <c r="D33" s="311"/>
      <c r="E33" s="311"/>
      <c r="F33" s="311"/>
    </row>
    <row r="34" spans="1:6" x14ac:dyDescent="0.25">
      <c r="A34" s="320" t="s">
        <v>439</v>
      </c>
      <c r="B34" s="311"/>
      <c r="C34" s="311"/>
      <c r="D34" s="311"/>
      <c r="E34" s="311"/>
      <c r="F34" s="311"/>
    </row>
    <row r="35" spans="1:6" x14ac:dyDescent="0.25">
      <c r="A35" s="320" t="s">
        <v>325</v>
      </c>
      <c r="B35" s="311"/>
      <c r="C35" s="311"/>
      <c r="D35" s="311"/>
      <c r="E35" s="311"/>
      <c r="F35" s="311"/>
    </row>
    <row r="36" spans="1:6" x14ac:dyDescent="0.25">
      <c r="A36" s="320" t="s">
        <v>326</v>
      </c>
      <c r="B36" s="311"/>
      <c r="C36" s="311"/>
      <c r="D36" s="311"/>
      <c r="E36" s="311"/>
      <c r="F36" s="311"/>
    </row>
    <row r="37" spans="1:6" x14ac:dyDescent="0.25">
      <c r="A37" s="320"/>
      <c r="B37" s="311"/>
      <c r="C37" s="311"/>
      <c r="D37" s="311"/>
      <c r="E37" s="311"/>
      <c r="F37" s="311"/>
    </row>
    <row r="38" spans="1:6" x14ac:dyDescent="0.25">
      <c r="A38" s="320" t="str">
        <f>CONCATENATE("Additionally, do your ",inputPrYr!D6-1," receipts contain a reimbursement")</f>
        <v>Additionally, do your 2019 receipts contain a reimbursement</v>
      </c>
      <c r="B38" s="311"/>
      <c r="C38" s="311"/>
      <c r="D38" s="311"/>
      <c r="E38" s="311"/>
      <c r="F38" s="311"/>
    </row>
    <row r="39" spans="1:6" x14ac:dyDescent="0.25">
      <c r="A39" s="320" t="s">
        <v>327</v>
      </c>
      <c r="B39" s="311"/>
      <c r="C39" s="311"/>
      <c r="D39" s="311"/>
      <c r="E39" s="311"/>
      <c r="F39" s="311"/>
    </row>
    <row r="40" spans="1:6" x14ac:dyDescent="0.25">
      <c r="A40" s="320" t="s">
        <v>328</v>
      </c>
      <c r="B40" s="311"/>
      <c r="C40" s="311"/>
      <c r="D40" s="311"/>
      <c r="E40" s="311"/>
      <c r="F40" s="311"/>
    </row>
    <row r="41" spans="1:6" x14ac:dyDescent="0.25">
      <c r="A41" s="320"/>
      <c r="B41" s="311"/>
      <c r="C41" s="311"/>
      <c r="D41" s="311"/>
      <c r="E41" s="311"/>
      <c r="F41" s="311"/>
    </row>
    <row r="42" spans="1:6" x14ac:dyDescent="0.25">
      <c r="A42" s="320" t="s">
        <v>329</v>
      </c>
      <c r="B42" s="311"/>
      <c r="C42" s="311"/>
      <c r="D42" s="311"/>
      <c r="E42" s="311"/>
      <c r="F42" s="311"/>
    </row>
    <row r="43" spans="1:6" x14ac:dyDescent="0.25">
      <c r="A43" s="320" t="s">
        <v>515</v>
      </c>
      <c r="B43" s="311"/>
      <c r="C43" s="311"/>
      <c r="D43" s="311"/>
      <c r="E43" s="311"/>
      <c r="F43" s="311"/>
    </row>
    <row r="44" spans="1:6" x14ac:dyDescent="0.25">
      <c r="A44" s="320" t="s">
        <v>516</v>
      </c>
      <c r="B44" s="311"/>
      <c r="C44" s="311"/>
      <c r="D44" s="311"/>
      <c r="E44" s="311"/>
      <c r="F44" s="311"/>
    </row>
    <row r="45" spans="1:6" x14ac:dyDescent="0.25">
      <c r="A45" s="320" t="s">
        <v>440</v>
      </c>
      <c r="B45" s="311"/>
      <c r="C45" s="311"/>
      <c r="D45" s="311"/>
      <c r="E45" s="311"/>
      <c r="F45" s="311"/>
    </row>
    <row r="46" spans="1:6" x14ac:dyDescent="0.25">
      <c r="A46" s="320" t="s">
        <v>331</v>
      </c>
      <c r="B46" s="311"/>
      <c r="C46" s="311"/>
      <c r="D46" s="311"/>
      <c r="E46" s="311"/>
      <c r="F46" s="311"/>
    </row>
    <row r="47" spans="1:6" x14ac:dyDescent="0.25">
      <c r="A47" s="320" t="s">
        <v>441</v>
      </c>
      <c r="B47" s="311"/>
      <c r="C47" s="311"/>
      <c r="D47" s="311"/>
      <c r="E47" s="311"/>
      <c r="F47" s="311"/>
    </row>
    <row r="48" spans="1:6" x14ac:dyDescent="0.25">
      <c r="A48" s="320" t="s">
        <v>442</v>
      </c>
      <c r="B48" s="311"/>
      <c r="C48" s="311"/>
      <c r="D48" s="311"/>
      <c r="E48" s="311"/>
      <c r="F48" s="311"/>
    </row>
    <row r="49" spans="1:6" x14ac:dyDescent="0.25">
      <c r="A49" s="320" t="s">
        <v>334</v>
      </c>
      <c r="B49" s="311"/>
      <c r="C49" s="311"/>
      <c r="D49" s="311"/>
      <c r="E49" s="311"/>
      <c r="F49" s="311"/>
    </row>
    <row r="50" spans="1:6" x14ac:dyDescent="0.25">
      <c r="A50" s="320"/>
      <c r="B50" s="311"/>
      <c r="C50" s="311"/>
      <c r="D50" s="311"/>
      <c r="E50" s="311"/>
      <c r="F50" s="311"/>
    </row>
    <row r="51" spans="1:6" x14ac:dyDescent="0.25">
      <c r="A51" s="320" t="s">
        <v>335</v>
      </c>
      <c r="B51" s="311"/>
      <c r="C51" s="311"/>
      <c r="D51" s="311"/>
      <c r="E51" s="311"/>
      <c r="F51" s="311"/>
    </row>
    <row r="52" spans="1:6" x14ac:dyDescent="0.25">
      <c r="A52" s="320" t="s">
        <v>336</v>
      </c>
      <c r="B52" s="311"/>
      <c r="C52" s="311"/>
      <c r="D52" s="311"/>
      <c r="E52" s="311"/>
      <c r="F52" s="311"/>
    </row>
    <row r="53" spans="1:6" x14ac:dyDescent="0.25">
      <c r="A53" s="320" t="s">
        <v>337</v>
      </c>
      <c r="B53" s="311"/>
      <c r="C53" s="311"/>
      <c r="D53" s="311"/>
      <c r="E53" s="311"/>
      <c r="F53" s="311"/>
    </row>
    <row r="54" spans="1:6" x14ac:dyDescent="0.25">
      <c r="A54" s="320"/>
      <c r="B54" s="311"/>
      <c r="C54" s="311"/>
      <c r="D54" s="311"/>
      <c r="E54" s="311"/>
      <c r="F54" s="311"/>
    </row>
    <row r="55" spans="1:6" x14ac:dyDescent="0.25">
      <c r="A55" s="320" t="s">
        <v>443</v>
      </c>
      <c r="B55" s="311"/>
      <c r="C55" s="311"/>
      <c r="D55" s="311"/>
      <c r="E55" s="311"/>
      <c r="F55" s="311"/>
    </row>
    <row r="56" spans="1:6" x14ac:dyDescent="0.25">
      <c r="A56" s="320" t="s">
        <v>444</v>
      </c>
      <c r="B56" s="311"/>
      <c r="C56" s="311"/>
      <c r="D56" s="311"/>
      <c r="E56" s="311"/>
      <c r="F56" s="311"/>
    </row>
    <row r="57" spans="1:6" x14ac:dyDescent="0.25">
      <c r="A57" s="320" t="s">
        <v>445</v>
      </c>
      <c r="B57" s="311"/>
      <c r="C57" s="311"/>
      <c r="D57" s="311"/>
      <c r="E57" s="311"/>
      <c r="F57" s="311"/>
    </row>
    <row r="58" spans="1:6" x14ac:dyDescent="0.25">
      <c r="A58" s="320" t="s">
        <v>446</v>
      </c>
      <c r="B58" s="311"/>
      <c r="C58" s="311"/>
      <c r="D58" s="311"/>
      <c r="E58" s="311"/>
      <c r="F58" s="311"/>
    </row>
    <row r="59" spans="1:6" x14ac:dyDescent="0.25">
      <c r="A59" s="320" t="s">
        <v>447</v>
      </c>
      <c r="B59" s="311"/>
      <c r="C59" s="311"/>
      <c r="D59" s="311"/>
      <c r="E59" s="311"/>
      <c r="F59" s="311"/>
    </row>
    <row r="60" spans="1:6" x14ac:dyDescent="0.25">
      <c r="A60" s="320"/>
      <c r="B60" s="311"/>
      <c r="C60" s="311"/>
      <c r="D60" s="311"/>
      <c r="E60" s="311"/>
      <c r="F60" s="311"/>
    </row>
    <row r="61" spans="1:6" x14ac:dyDescent="0.25">
      <c r="A61" s="321" t="s">
        <v>448</v>
      </c>
      <c r="B61" s="311"/>
      <c r="C61" s="311"/>
      <c r="D61" s="311"/>
      <c r="E61" s="311"/>
      <c r="F61" s="311"/>
    </row>
    <row r="62" spans="1:6" x14ac:dyDescent="0.25">
      <c r="A62" s="321" t="s">
        <v>449</v>
      </c>
      <c r="B62" s="311"/>
      <c r="C62" s="311"/>
      <c r="D62" s="311"/>
      <c r="E62" s="311"/>
      <c r="F62" s="311"/>
    </row>
    <row r="63" spans="1:6" x14ac:dyDescent="0.25">
      <c r="A63" s="321" t="s">
        <v>450</v>
      </c>
      <c r="B63" s="311"/>
      <c r="C63" s="311"/>
      <c r="D63" s="311"/>
      <c r="E63" s="311"/>
      <c r="F63" s="311"/>
    </row>
    <row r="64" spans="1:6" x14ac:dyDescent="0.25">
      <c r="A64" s="321" t="s">
        <v>451</v>
      </c>
    </row>
    <row r="65" spans="1:1" x14ac:dyDescent="0.25">
      <c r="A65" s="321" t="s">
        <v>452</v>
      </c>
    </row>
    <row r="66" spans="1:1" x14ac:dyDescent="0.25">
      <c r="A66" s="321" t="s">
        <v>453</v>
      </c>
    </row>
    <row r="68" spans="1:1" x14ac:dyDescent="0.25">
      <c r="A68" s="311" t="s">
        <v>454</v>
      </c>
    </row>
    <row r="69" spans="1:1" x14ac:dyDescent="0.25">
      <c r="A69" s="311" t="s">
        <v>455</v>
      </c>
    </row>
    <row r="70" spans="1:1" x14ac:dyDescent="0.25">
      <c r="A70" s="311" t="s">
        <v>456</v>
      </c>
    </row>
    <row r="71" spans="1:1" x14ac:dyDescent="0.25">
      <c r="A71" s="311" t="s">
        <v>457</v>
      </c>
    </row>
    <row r="72" spans="1:1" x14ac:dyDescent="0.25">
      <c r="A72" s="311" t="s">
        <v>458</v>
      </c>
    </row>
    <row r="73" spans="1:1" x14ac:dyDescent="0.25">
      <c r="A73" s="311" t="s">
        <v>459</v>
      </c>
    </row>
    <row r="75" spans="1:1" x14ac:dyDescent="0.25">
      <c r="A75" s="311" t="s">
        <v>364</v>
      </c>
    </row>
  </sheetData>
  <sheetProtection sheet="1"/>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3:G106"/>
  <sheetViews>
    <sheetView workbookViewId="0">
      <selection activeCell="M117" sqref="M117"/>
    </sheetView>
  </sheetViews>
  <sheetFormatPr defaultRowHeight="15.75" x14ac:dyDescent="0.25"/>
  <cols>
    <col min="1" max="1" width="64.19921875" customWidth="1"/>
  </cols>
  <sheetData>
    <row r="3" spans="1:7" x14ac:dyDescent="0.25">
      <c r="A3" s="312" t="s">
        <v>460</v>
      </c>
      <c r="B3" s="312"/>
      <c r="C3" s="312"/>
      <c r="D3" s="312"/>
      <c r="E3" s="312"/>
      <c r="F3" s="312"/>
      <c r="G3" s="312"/>
    </row>
    <row r="4" spans="1:7" x14ac:dyDescent="0.25">
      <c r="A4" s="312"/>
      <c r="B4" s="312"/>
      <c r="C4" s="312"/>
      <c r="D4" s="312"/>
      <c r="E4" s="312"/>
      <c r="F4" s="312"/>
      <c r="G4" s="312"/>
    </row>
    <row r="5" spans="1:7" x14ac:dyDescent="0.25">
      <c r="A5" s="311" t="s">
        <v>366</v>
      </c>
    </row>
    <row r="6" spans="1:7" x14ac:dyDescent="0.25">
      <c r="A6" s="311" t="str">
        <f>CONCATENATE(inputPrYr!D6," estimated expenditures show that at the end of this year")</f>
        <v>2020 estimated expenditures show that at the end of this year</v>
      </c>
    </row>
    <row r="7" spans="1:7" x14ac:dyDescent="0.25">
      <c r="A7" s="311" t="s">
        <v>461</v>
      </c>
    </row>
    <row r="8" spans="1:7" x14ac:dyDescent="0.25">
      <c r="A8" s="311" t="s">
        <v>462</v>
      </c>
    </row>
    <row r="10" spans="1:7" x14ac:dyDescent="0.25">
      <c r="A10" t="s">
        <v>368</v>
      </c>
    </row>
    <row r="11" spans="1:7" x14ac:dyDescent="0.25">
      <c r="A11" t="s">
        <v>369</v>
      </c>
    </row>
    <row r="12" spans="1:7" x14ac:dyDescent="0.25">
      <c r="A12" t="s">
        <v>370</v>
      </c>
    </row>
    <row r="13" spans="1:7" x14ac:dyDescent="0.25">
      <c r="A13" s="312"/>
      <c r="B13" s="312"/>
      <c r="C13" s="312"/>
      <c r="D13" s="312"/>
      <c r="E13" s="312"/>
      <c r="F13" s="312"/>
      <c r="G13" s="312"/>
    </row>
    <row r="14" spans="1:7" x14ac:dyDescent="0.25">
      <c r="A14" s="310" t="s">
        <v>463</v>
      </c>
    </row>
    <row r="15" spans="1:7" x14ac:dyDescent="0.25">
      <c r="A15" s="311"/>
    </row>
    <row r="16" spans="1:7" x14ac:dyDescent="0.25">
      <c r="A16" s="311" t="s">
        <v>464</v>
      </c>
    </row>
    <row r="17" spans="1:7" x14ac:dyDescent="0.25">
      <c r="A17" s="311" t="s">
        <v>465</v>
      </c>
    </row>
    <row r="18" spans="1:7" x14ac:dyDescent="0.25">
      <c r="A18" s="311" t="s">
        <v>466</v>
      </c>
    </row>
    <row r="19" spans="1:7" x14ac:dyDescent="0.25">
      <c r="A19" s="311"/>
    </row>
    <row r="20" spans="1:7" x14ac:dyDescent="0.25">
      <c r="A20" s="311" t="s">
        <v>467</v>
      </c>
    </row>
    <row r="21" spans="1:7" x14ac:dyDescent="0.25">
      <c r="A21" s="311" t="s">
        <v>468</v>
      </c>
    </row>
    <row r="22" spans="1:7" x14ac:dyDescent="0.25">
      <c r="A22" s="311" t="s">
        <v>469</v>
      </c>
    </row>
    <row r="23" spans="1:7" x14ac:dyDescent="0.25">
      <c r="A23" s="311" t="s">
        <v>470</v>
      </c>
    </row>
    <row r="24" spans="1:7" x14ac:dyDescent="0.25">
      <c r="A24" s="311"/>
    </row>
    <row r="25" spans="1:7" x14ac:dyDescent="0.25">
      <c r="A25" s="310" t="s">
        <v>432</v>
      </c>
    </row>
    <row r="26" spans="1:7" x14ac:dyDescent="0.25">
      <c r="A26" s="310"/>
    </row>
    <row r="27" spans="1:7" x14ac:dyDescent="0.25">
      <c r="A27" s="311" t="s">
        <v>433</v>
      </c>
    </row>
    <row r="28" spans="1:7" x14ac:dyDescent="0.25">
      <c r="A28" s="311" t="s">
        <v>434</v>
      </c>
      <c r="B28" s="311"/>
      <c r="C28" s="311"/>
      <c r="D28" s="311"/>
      <c r="E28" s="311"/>
      <c r="F28" s="311"/>
    </row>
    <row r="29" spans="1:7" x14ac:dyDescent="0.25">
      <c r="A29" s="311" t="s">
        <v>435</v>
      </c>
      <c r="B29" s="311"/>
      <c r="C29" s="311"/>
      <c r="D29" s="311"/>
      <c r="E29" s="311"/>
      <c r="F29" s="311"/>
    </row>
    <row r="30" spans="1:7" x14ac:dyDescent="0.25">
      <c r="A30" s="311" t="s">
        <v>436</v>
      </c>
      <c r="B30" s="311"/>
      <c r="C30" s="311"/>
      <c r="D30" s="311"/>
      <c r="E30" s="311"/>
      <c r="F30" s="311"/>
    </row>
    <row r="31" spans="1:7" x14ac:dyDescent="0.25">
      <c r="A31" s="311"/>
    </row>
    <row r="32" spans="1:7" x14ac:dyDescent="0.25">
      <c r="A32" s="310" t="s">
        <v>437</v>
      </c>
      <c r="B32" s="310"/>
      <c r="C32" s="310"/>
      <c r="D32" s="310"/>
      <c r="E32" s="310"/>
      <c r="F32" s="310"/>
      <c r="G32" s="310"/>
    </row>
    <row r="33" spans="1:7" x14ac:dyDescent="0.25">
      <c r="A33" s="310" t="s">
        <v>438</v>
      </c>
      <c r="B33" s="310"/>
      <c r="C33" s="310"/>
      <c r="D33" s="310"/>
      <c r="E33" s="310"/>
      <c r="F33" s="310"/>
      <c r="G33" s="310"/>
    </row>
    <row r="34" spans="1:7" x14ac:dyDescent="0.25">
      <c r="A34" s="310"/>
      <c r="B34" s="310"/>
      <c r="C34" s="310"/>
      <c r="D34" s="310"/>
      <c r="E34" s="310"/>
      <c r="F34" s="310"/>
      <c r="G34" s="310"/>
    </row>
    <row r="35" spans="1:7" x14ac:dyDescent="0.25">
      <c r="A35" s="311" t="s">
        <v>471</v>
      </c>
      <c r="B35" s="311"/>
      <c r="C35" s="311"/>
      <c r="D35" s="311"/>
      <c r="E35" s="311"/>
      <c r="F35" s="311"/>
      <c r="G35" s="311"/>
    </row>
    <row r="36" spans="1:7" x14ac:dyDescent="0.25">
      <c r="A36" s="311" t="s">
        <v>472</v>
      </c>
      <c r="B36" s="311"/>
      <c r="C36" s="311"/>
      <c r="D36" s="311"/>
      <c r="E36" s="311"/>
      <c r="F36" s="311"/>
      <c r="G36" s="311"/>
    </row>
    <row r="37" spans="1:7" x14ac:dyDescent="0.25">
      <c r="A37" s="311" t="s">
        <v>473</v>
      </c>
      <c r="B37" s="311"/>
      <c r="C37" s="311"/>
      <c r="D37" s="311"/>
      <c r="E37" s="311"/>
      <c r="F37" s="311"/>
      <c r="G37" s="311"/>
    </row>
    <row r="38" spans="1:7" x14ac:dyDescent="0.25">
      <c r="A38" s="311" t="s">
        <v>474</v>
      </c>
      <c r="B38" s="311"/>
      <c r="C38" s="311"/>
      <c r="D38" s="311"/>
      <c r="E38" s="311"/>
      <c r="F38" s="311"/>
      <c r="G38" s="311"/>
    </row>
    <row r="39" spans="1:7" x14ac:dyDescent="0.25">
      <c r="A39" s="311" t="s">
        <v>475</v>
      </c>
      <c r="B39" s="311"/>
      <c r="C39" s="311"/>
      <c r="D39" s="311"/>
      <c r="E39" s="311"/>
      <c r="F39" s="311"/>
      <c r="G39" s="311"/>
    </row>
    <row r="40" spans="1:7" x14ac:dyDescent="0.25">
      <c r="A40" s="310"/>
      <c r="B40" s="310"/>
      <c r="C40" s="310"/>
      <c r="D40" s="310"/>
      <c r="E40" s="310"/>
      <c r="F40" s="310"/>
      <c r="G40" s="310"/>
    </row>
    <row r="41" spans="1:7" x14ac:dyDescent="0.25">
      <c r="A41" s="320" t="str">
        <f>CONCATENATE("So, let's look to see if any of your ",inputPrYr!D6-1," expenditures can")</f>
        <v>So, let's look to see if any of your 2019 expenditures can</v>
      </c>
      <c r="B41" s="311"/>
      <c r="C41" s="311"/>
      <c r="D41" s="311"/>
      <c r="E41" s="311"/>
      <c r="F41" s="311"/>
    </row>
    <row r="42" spans="1:7" x14ac:dyDescent="0.25">
      <c r="A42" s="320" t="s">
        <v>439</v>
      </c>
      <c r="B42" s="311"/>
      <c r="C42" s="311"/>
      <c r="D42" s="311"/>
      <c r="E42" s="311"/>
      <c r="F42" s="311"/>
    </row>
    <row r="43" spans="1:7" x14ac:dyDescent="0.25">
      <c r="A43" s="320" t="s">
        <v>325</v>
      </c>
      <c r="B43" s="311"/>
      <c r="C43" s="311"/>
      <c r="D43" s="311"/>
      <c r="E43" s="311"/>
      <c r="F43" s="311"/>
    </row>
    <row r="44" spans="1:7" x14ac:dyDescent="0.25">
      <c r="A44" s="320" t="s">
        <v>326</v>
      </c>
      <c r="B44" s="311"/>
      <c r="C44" s="311"/>
      <c r="D44" s="311"/>
      <c r="E44" s="311"/>
      <c r="F44" s="311"/>
    </row>
    <row r="45" spans="1:7" x14ac:dyDescent="0.25">
      <c r="A45" s="311"/>
    </row>
    <row r="46" spans="1:7" x14ac:dyDescent="0.25">
      <c r="A46" s="320" t="str">
        <f>CONCATENATE("Additionally, do your ",inputPrYr!D6-1," receipts contain a reimbursement")</f>
        <v>Additionally, do your 2019 receipts contain a reimbursement</v>
      </c>
      <c r="B46" s="311"/>
      <c r="C46" s="311"/>
      <c r="D46" s="311"/>
      <c r="E46" s="311"/>
      <c r="F46" s="311"/>
    </row>
    <row r="47" spans="1:7" x14ac:dyDescent="0.25">
      <c r="A47" s="320" t="s">
        <v>327</v>
      </c>
      <c r="B47" s="311"/>
      <c r="C47" s="311"/>
      <c r="D47" s="311"/>
      <c r="E47" s="311"/>
      <c r="F47" s="311"/>
    </row>
    <row r="48" spans="1:7" x14ac:dyDescent="0.25">
      <c r="A48" s="320" t="s">
        <v>328</v>
      </c>
      <c r="B48" s="311"/>
      <c r="C48" s="311"/>
      <c r="D48" s="311"/>
      <c r="E48" s="311"/>
      <c r="F48" s="311"/>
    </row>
    <row r="49" spans="1:7" x14ac:dyDescent="0.25">
      <c r="A49" s="311"/>
      <c r="B49" s="311"/>
      <c r="C49" s="311"/>
      <c r="D49" s="311"/>
      <c r="E49" s="311"/>
      <c r="F49" s="311"/>
      <c r="G49" s="311"/>
    </row>
    <row r="50" spans="1:7" x14ac:dyDescent="0.25">
      <c r="A50" s="311" t="s">
        <v>393</v>
      </c>
      <c r="B50" s="311"/>
      <c r="C50" s="311"/>
      <c r="D50" s="311"/>
      <c r="E50" s="311"/>
      <c r="F50" s="311"/>
      <c r="G50" s="311"/>
    </row>
    <row r="51" spans="1:7" x14ac:dyDescent="0.25">
      <c r="A51" s="311" t="s">
        <v>394</v>
      </c>
      <c r="B51" s="311"/>
      <c r="C51" s="311"/>
      <c r="D51" s="311"/>
      <c r="E51" s="311"/>
      <c r="F51" s="311"/>
      <c r="G51" s="311"/>
    </row>
    <row r="52" spans="1:7" x14ac:dyDescent="0.25">
      <c r="A52" s="311" t="s">
        <v>395</v>
      </c>
      <c r="B52" s="311"/>
      <c r="C52" s="311"/>
      <c r="D52" s="311"/>
      <c r="E52" s="311"/>
      <c r="F52" s="311"/>
      <c r="G52" s="311"/>
    </row>
    <row r="53" spans="1:7" x14ac:dyDescent="0.25">
      <c r="A53" s="311" t="s">
        <v>396</v>
      </c>
      <c r="B53" s="311"/>
      <c r="C53" s="311"/>
      <c r="D53" s="311"/>
      <c r="E53" s="311"/>
      <c r="F53" s="311"/>
      <c r="G53" s="311"/>
    </row>
    <row r="54" spans="1:7" x14ac:dyDescent="0.25">
      <c r="A54" s="311" t="s">
        <v>397</v>
      </c>
      <c r="B54" s="311"/>
      <c r="C54" s="311"/>
      <c r="D54" s="311"/>
      <c r="E54" s="311"/>
      <c r="F54" s="311"/>
      <c r="G54" s="311"/>
    </row>
    <row r="55" spans="1:7" x14ac:dyDescent="0.25">
      <c r="A55" s="311"/>
      <c r="B55" s="311"/>
      <c r="C55" s="311"/>
      <c r="D55" s="311"/>
      <c r="E55" s="311"/>
      <c r="F55" s="311"/>
      <c r="G55" s="311"/>
    </row>
    <row r="56" spans="1:7" x14ac:dyDescent="0.25">
      <c r="A56" s="320" t="s">
        <v>335</v>
      </c>
      <c r="B56" s="311"/>
      <c r="C56" s="311"/>
      <c r="D56" s="311"/>
      <c r="E56" s="311"/>
      <c r="F56" s="311"/>
    </row>
    <row r="57" spans="1:7" x14ac:dyDescent="0.25">
      <c r="A57" s="320" t="s">
        <v>336</v>
      </c>
      <c r="B57" s="311"/>
      <c r="C57" s="311"/>
      <c r="D57" s="311"/>
      <c r="E57" s="311"/>
      <c r="F57" s="311"/>
    </row>
    <row r="58" spans="1:7" x14ac:dyDescent="0.25">
      <c r="A58" s="320" t="s">
        <v>337</v>
      </c>
      <c r="B58" s="311"/>
      <c r="C58" s="311"/>
      <c r="D58" s="311"/>
      <c r="E58" s="311"/>
      <c r="F58" s="311"/>
    </row>
    <row r="59" spans="1:7" x14ac:dyDescent="0.25">
      <c r="A59" s="320"/>
      <c r="B59" s="311"/>
      <c r="C59" s="311"/>
      <c r="D59" s="311"/>
      <c r="E59" s="311"/>
      <c r="F59" s="311"/>
    </row>
    <row r="60" spans="1:7" x14ac:dyDescent="0.25">
      <c r="A60" s="311" t="s">
        <v>476</v>
      </c>
      <c r="B60" s="311"/>
      <c r="C60" s="311"/>
      <c r="D60" s="311"/>
      <c r="E60" s="311"/>
      <c r="F60" s="311"/>
      <c r="G60" s="311"/>
    </row>
    <row r="61" spans="1:7" x14ac:dyDescent="0.25">
      <c r="A61" s="311" t="s">
        <v>477</v>
      </c>
      <c r="B61" s="311"/>
      <c r="C61" s="311"/>
      <c r="D61" s="311"/>
      <c r="E61" s="311"/>
      <c r="F61" s="311"/>
      <c r="G61" s="311"/>
    </row>
    <row r="62" spans="1:7" x14ac:dyDescent="0.25">
      <c r="A62" s="311" t="s">
        <v>478</v>
      </c>
      <c r="B62" s="311"/>
      <c r="C62" s="311"/>
      <c r="D62" s="311"/>
      <c r="E62" s="311"/>
      <c r="F62" s="311"/>
      <c r="G62" s="311"/>
    </row>
    <row r="63" spans="1:7" x14ac:dyDescent="0.25">
      <c r="A63" s="311" t="s">
        <v>479</v>
      </c>
      <c r="B63" s="311"/>
      <c r="C63" s="311"/>
      <c r="D63" s="311"/>
      <c r="E63" s="311"/>
      <c r="F63" s="311"/>
      <c r="G63" s="311"/>
    </row>
    <row r="64" spans="1:7" x14ac:dyDescent="0.25">
      <c r="A64" s="311" t="s">
        <v>480</v>
      </c>
      <c r="B64" s="311"/>
      <c r="C64" s="311"/>
      <c r="D64" s="311"/>
      <c r="E64" s="311"/>
      <c r="F64" s="311"/>
      <c r="G64" s="311"/>
    </row>
    <row r="66" spans="1:6" x14ac:dyDescent="0.25">
      <c r="A66" s="320" t="s">
        <v>443</v>
      </c>
      <c r="B66" s="311"/>
      <c r="C66" s="311"/>
      <c r="D66" s="311"/>
      <c r="E66" s="311"/>
      <c r="F66" s="311"/>
    </row>
    <row r="67" spans="1:6" x14ac:dyDescent="0.25">
      <c r="A67" s="320" t="s">
        <v>444</v>
      </c>
      <c r="B67" s="311"/>
      <c r="C67" s="311"/>
      <c r="D67" s="311"/>
      <c r="E67" s="311"/>
      <c r="F67" s="311"/>
    </row>
    <row r="68" spans="1:6" x14ac:dyDescent="0.25">
      <c r="A68" s="320" t="s">
        <v>445</v>
      </c>
      <c r="B68" s="311"/>
      <c r="C68" s="311"/>
      <c r="D68" s="311"/>
      <c r="E68" s="311"/>
      <c r="F68" s="311"/>
    </row>
    <row r="69" spans="1:6" x14ac:dyDescent="0.25">
      <c r="A69" s="320" t="s">
        <v>446</v>
      </c>
      <c r="B69" s="311"/>
      <c r="C69" s="311"/>
      <c r="D69" s="311"/>
      <c r="E69" s="311"/>
      <c r="F69" s="311"/>
    </row>
    <row r="70" spans="1:6" x14ac:dyDescent="0.25">
      <c r="A70" s="320" t="s">
        <v>447</v>
      </c>
      <c r="B70" s="311"/>
      <c r="C70" s="311"/>
      <c r="D70" s="311"/>
      <c r="E70" s="311"/>
      <c r="F70" s="311"/>
    </row>
    <row r="71" spans="1:6" x14ac:dyDescent="0.25">
      <c r="A71" s="311"/>
    </row>
    <row r="72" spans="1:6" x14ac:dyDescent="0.25">
      <c r="A72" s="311" t="s">
        <v>364</v>
      </c>
    </row>
    <row r="73" spans="1:6" x14ac:dyDescent="0.25">
      <c r="A73" s="311"/>
    </row>
    <row r="74" spans="1:6" x14ac:dyDescent="0.25">
      <c r="A74" s="311"/>
    </row>
    <row r="75" spans="1:6" x14ac:dyDescent="0.25">
      <c r="A75" s="311"/>
    </row>
    <row r="78" spans="1:6" x14ac:dyDescent="0.25">
      <c r="A78" s="310"/>
    </row>
    <row r="80" spans="1:6" x14ac:dyDescent="0.25">
      <c r="A80" s="311"/>
    </row>
    <row r="81" spans="1:1" x14ac:dyDescent="0.25">
      <c r="A81" s="311"/>
    </row>
    <row r="82" spans="1:1" x14ac:dyDescent="0.25">
      <c r="A82" s="311"/>
    </row>
    <row r="83" spans="1:1" x14ac:dyDescent="0.25">
      <c r="A83" s="311"/>
    </row>
    <row r="84" spans="1:1" x14ac:dyDescent="0.25">
      <c r="A84" s="311"/>
    </row>
    <row r="85" spans="1:1" x14ac:dyDescent="0.25">
      <c r="A85" s="311"/>
    </row>
    <row r="86" spans="1:1" x14ac:dyDescent="0.25">
      <c r="A86" s="311"/>
    </row>
    <row r="87" spans="1:1" x14ac:dyDescent="0.25">
      <c r="A87" s="311"/>
    </row>
    <row r="88" spans="1:1" x14ac:dyDescent="0.25">
      <c r="A88" s="311"/>
    </row>
    <row r="89" spans="1:1" x14ac:dyDescent="0.25">
      <c r="A89" s="311"/>
    </row>
    <row r="90" spans="1:1" x14ac:dyDescent="0.25">
      <c r="A90" s="311"/>
    </row>
    <row r="92" spans="1:1" x14ac:dyDescent="0.25">
      <c r="A92" s="311"/>
    </row>
    <row r="93" spans="1:1" x14ac:dyDescent="0.25">
      <c r="A93" s="311"/>
    </row>
    <row r="94" spans="1:1" x14ac:dyDescent="0.25">
      <c r="A94" s="311"/>
    </row>
    <row r="95" spans="1:1" x14ac:dyDescent="0.25">
      <c r="A95" s="311"/>
    </row>
    <row r="96" spans="1:1" x14ac:dyDescent="0.25">
      <c r="A96" s="311"/>
    </row>
    <row r="97" spans="1:1" x14ac:dyDescent="0.25">
      <c r="A97" s="311"/>
    </row>
    <row r="98" spans="1:1" x14ac:dyDescent="0.25">
      <c r="A98" s="311"/>
    </row>
    <row r="99" spans="1:1" x14ac:dyDescent="0.25">
      <c r="A99" s="311"/>
    </row>
    <row r="100" spans="1:1" x14ac:dyDescent="0.25">
      <c r="A100" s="311"/>
    </row>
    <row r="101" spans="1:1" x14ac:dyDescent="0.25">
      <c r="A101" s="311"/>
    </row>
    <row r="102" spans="1:1" x14ac:dyDescent="0.25">
      <c r="A102" s="311"/>
    </row>
    <row r="103" spans="1:1" x14ac:dyDescent="0.25">
      <c r="A103" s="311"/>
    </row>
    <row r="104" spans="1:1" x14ac:dyDescent="0.25">
      <c r="A104" s="311"/>
    </row>
    <row r="105" spans="1:1" x14ac:dyDescent="0.25">
      <c r="A105" s="311"/>
    </row>
    <row r="106" spans="1:1" x14ac:dyDescent="0.25">
      <c r="A106" s="311"/>
    </row>
  </sheetData>
  <sheetProtection sheet="1"/>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3:H52"/>
  <sheetViews>
    <sheetView workbookViewId="0">
      <selection activeCell="M96" sqref="M96"/>
    </sheetView>
  </sheetViews>
  <sheetFormatPr defaultRowHeight="15.75" x14ac:dyDescent="0.25"/>
  <cols>
    <col min="1" max="1" width="64.19921875" customWidth="1"/>
  </cols>
  <sheetData>
    <row r="3" spans="1:7" x14ac:dyDescent="0.25">
      <c r="A3" s="312" t="s">
        <v>481</v>
      </c>
      <c r="B3" s="312"/>
      <c r="C3" s="312"/>
      <c r="D3" s="312"/>
      <c r="E3" s="312"/>
      <c r="F3" s="312"/>
      <c r="G3" s="312"/>
    </row>
    <row r="4" spans="1:7" x14ac:dyDescent="0.25">
      <c r="A4" s="312" t="s">
        <v>482</v>
      </c>
      <c r="B4" s="312"/>
      <c r="C4" s="312"/>
      <c r="D4" s="312"/>
      <c r="E4" s="312"/>
      <c r="F4" s="312"/>
      <c r="G4" s="312"/>
    </row>
    <row r="5" spans="1:7" x14ac:dyDescent="0.25">
      <c r="A5" s="312"/>
      <c r="B5" s="312"/>
      <c r="C5" s="312"/>
      <c r="D5" s="312"/>
      <c r="E5" s="312"/>
      <c r="F5" s="312"/>
      <c r="G5" s="312"/>
    </row>
    <row r="6" spans="1:7" x14ac:dyDescent="0.25">
      <c r="A6" s="312"/>
      <c r="B6" s="312"/>
      <c r="C6" s="312"/>
      <c r="D6" s="312"/>
      <c r="E6" s="312"/>
      <c r="F6" s="312"/>
      <c r="G6" s="312"/>
    </row>
    <row r="7" spans="1:7" x14ac:dyDescent="0.25">
      <c r="A7" s="311" t="s">
        <v>311</v>
      </c>
    </row>
    <row r="8" spans="1:7" x14ac:dyDescent="0.25">
      <c r="A8" s="311" t="str">
        <f>CONCATENATE("estimated ",inputPrYr!D6," 'total expenditures' exceed your ",inputPrYr!D6,"")</f>
        <v>estimated 2020 'total expenditures' exceed your 2020</v>
      </c>
    </row>
    <row r="9" spans="1:7" x14ac:dyDescent="0.25">
      <c r="A9" s="323" t="s">
        <v>483</v>
      </c>
    </row>
    <row r="10" spans="1:7" x14ac:dyDescent="0.25">
      <c r="A10" s="311"/>
    </row>
    <row r="11" spans="1:7" x14ac:dyDescent="0.25">
      <c r="A11" s="311" t="s">
        <v>484</v>
      </c>
    </row>
    <row r="12" spans="1:7" x14ac:dyDescent="0.25">
      <c r="A12" s="311" t="s">
        <v>485</v>
      </c>
    </row>
    <row r="13" spans="1:7" x14ac:dyDescent="0.25">
      <c r="A13" s="311" t="s">
        <v>486</v>
      </c>
    </row>
    <row r="14" spans="1:7" x14ac:dyDescent="0.25">
      <c r="A14" s="311"/>
    </row>
    <row r="15" spans="1:7" x14ac:dyDescent="0.25">
      <c r="A15" s="310" t="s">
        <v>487</v>
      </c>
    </row>
    <row r="16" spans="1:7" x14ac:dyDescent="0.25">
      <c r="A16" s="312"/>
      <c r="B16" s="312"/>
      <c r="C16" s="312"/>
      <c r="D16" s="312"/>
      <c r="E16" s="312"/>
      <c r="F16" s="312"/>
      <c r="G16" s="312"/>
    </row>
    <row r="17" spans="1:8" x14ac:dyDescent="0.25">
      <c r="A17" s="324" t="s">
        <v>488</v>
      </c>
      <c r="B17" s="306"/>
      <c r="C17" s="306"/>
      <c r="D17" s="306"/>
      <c r="E17" s="306"/>
      <c r="F17" s="306"/>
      <c r="G17" s="306"/>
      <c r="H17" s="306"/>
    </row>
    <row r="18" spans="1:8" x14ac:dyDescent="0.25">
      <c r="A18" s="311" t="s">
        <v>489</v>
      </c>
      <c r="B18" s="325"/>
      <c r="C18" s="325"/>
      <c r="D18" s="325"/>
      <c r="E18" s="325"/>
      <c r="F18" s="325"/>
      <c r="G18" s="325"/>
    </row>
    <row r="19" spans="1:8" x14ac:dyDescent="0.25">
      <c r="A19" s="311" t="s">
        <v>490</v>
      </c>
    </row>
    <row r="20" spans="1:8" x14ac:dyDescent="0.25">
      <c r="A20" s="311" t="s">
        <v>491</v>
      </c>
    </row>
    <row r="22" spans="1:8" x14ac:dyDescent="0.25">
      <c r="A22" s="310" t="s">
        <v>492</v>
      </c>
    </row>
    <row r="24" spans="1:8" x14ac:dyDescent="0.25">
      <c r="A24" s="311" t="s">
        <v>493</v>
      </c>
    </row>
    <row r="25" spans="1:8" x14ac:dyDescent="0.25">
      <c r="A25" s="311" t="s">
        <v>494</v>
      </c>
    </row>
    <row r="26" spans="1:8" x14ac:dyDescent="0.25">
      <c r="A26" s="311" t="s">
        <v>495</v>
      </c>
    </row>
    <row r="28" spans="1:8" x14ac:dyDescent="0.25">
      <c r="A28" s="310" t="s">
        <v>496</v>
      </c>
    </row>
    <row r="30" spans="1:8" x14ac:dyDescent="0.25">
      <c r="A30" t="s">
        <v>497</v>
      </c>
    </row>
    <row r="31" spans="1:8" x14ac:dyDescent="0.25">
      <c r="A31" t="s">
        <v>498</v>
      </c>
    </row>
    <row r="32" spans="1:8" x14ac:dyDescent="0.25">
      <c r="A32" t="s">
        <v>499</v>
      </c>
    </row>
    <row r="33" spans="1:1" x14ac:dyDescent="0.25">
      <c r="A33" s="311" t="s">
        <v>500</v>
      </c>
    </row>
    <row r="35" spans="1:1" x14ac:dyDescent="0.25">
      <c r="A35" t="s">
        <v>501</v>
      </c>
    </row>
    <row r="36" spans="1:1" x14ac:dyDescent="0.25">
      <c r="A36" t="s">
        <v>502</v>
      </c>
    </row>
    <row r="37" spans="1:1" x14ac:dyDescent="0.25">
      <c r="A37" t="s">
        <v>503</v>
      </c>
    </row>
    <row r="38" spans="1:1" x14ac:dyDescent="0.25">
      <c r="A38" t="s">
        <v>504</v>
      </c>
    </row>
    <row r="40" spans="1:1" x14ac:dyDescent="0.25">
      <c r="A40" t="s">
        <v>505</v>
      </c>
    </row>
    <row r="41" spans="1:1" x14ac:dyDescent="0.25">
      <c r="A41" t="s">
        <v>506</v>
      </c>
    </row>
    <row r="42" spans="1:1" x14ac:dyDescent="0.25">
      <c r="A42" t="s">
        <v>507</v>
      </c>
    </row>
    <row r="43" spans="1:1" x14ac:dyDescent="0.25">
      <c r="A43" t="s">
        <v>508</v>
      </c>
    </row>
    <row r="44" spans="1:1" x14ac:dyDescent="0.25">
      <c r="A44" t="s">
        <v>509</v>
      </c>
    </row>
    <row r="45" spans="1:1" x14ac:dyDescent="0.25">
      <c r="A45" t="s">
        <v>510</v>
      </c>
    </row>
    <row r="47" spans="1:1" x14ac:dyDescent="0.25">
      <c r="A47" t="s">
        <v>511</v>
      </c>
    </row>
    <row r="48" spans="1:1" x14ac:dyDescent="0.25">
      <c r="A48" t="s">
        <v>512</v>
      </c>
    </row>
    <row r="49" spans="1:1" x14ac:dyDescent="0.25">
      <c r="A49" s="311" t="s">
        <v>513</v>
      </c>
    </row>
    <row r="50" spans="1:1" x14ac:dyDescent="0.25">
      <c r="A50" s="311" t="s">
        <v>514</v>
      </c>
    </row>
    <row r="52" spans="1:1" x14ac:dyDescent="0.25">
      <c r="A52" t="s">
        <v>364</v>
      </c>
    </row>
  </sheetData>
  <sheetProtection sheet="1"/>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X354"/>
  <sheetViews>
    <sheetView workbookViewId="0">
      <selection activeCell="U221" sqref="U221"/>
    </sheetView>
  </sheetViews>
  <sheetFormatPr defaultColWidth="8.796875" defaultRowHeight="14.25" x14ac:dyDescent="0.2"/>
  <cols>
    <col min="1" max="1" width="6.796875" style="355" customWidth="1"/>
    <col min="2" max="2" width="10.09765625" style="356" customWidth="1"/>
    <col min="3" max="3" width="6.69921875" style="356" customWidth="1"/>
    <col min="4" max="4" width="8.796875" style="356"/>
    <col min="5" max="5" width="1.3984375" style="356" customWidth="1"/>
    <col min="6" max="6" width="12.8984375" style="356" customWidth="1"/>
    <col min="7" max="7" width="2.296875" style="356" customWidth="1"/>
    <col min="8" max="8" width="8.796875" style="356" customWidth="1"/>
    <col min="9" max="9" width="1.796875" style="356" customWidth="1"/>
    <col min="10" max="10" width="7.69921875" style="356" customWidth="1"/>
    <col min="11" max="11" width="10.5" style="356" customWidth="1"/>
    <col min="12" max="12" width="6.796875" style="355" customWidth="1"/>
    <col min="13" max="14" width="8.796875" style="355"/>
    <col min="15" max="15" width="8.8984375" style="355" bestFit="1" customWidth="1"/>
    <col min="16" max="16384" width="8.796875" style="355"/>
  </cols>
  <sheetData>
    <row r="1" spans="1:12" x14ac:dyDescent="0.2">
      <c r="A1" s="354"/>
      <c r="B1" s="354"/>
      <c r="C1" s="354"/>
      <c r="D1" s="354"/>
      <c r="E1" s="354"/>
      <c r="F1" s="354"/>
      <c r="G1" s="354"/>
      <c r="H1" s="354"/>
      <c r="I1" s="354"/>
      <c r="J1" s="354"/>
      <c r="K1" s="354"/>
      <c r="L1" s="354"/>
    </row>
    <row r="2" spans="1:12" x14ac:dyDescent="0.2">
      <c r="A2" s="354"/>
      <c r="B2" s="354"/>
      <c r="C2" s="354"/>
      <c r="D2" s="354"/>
      <c r="E2" s="354"/>
      <c r="F2" s="354"/>
      <c r="G2" s="354"/>
      <c r="H2" s="354"/>
      <c r="I2" s="354"/>
      <c r="J2" s="354"/>
      <c r="K2" s="354"/>
      <c r="L2" s="354"/>
    </row>
    <row r="3" spans="1:12" x14ac:dyDescent="0.2">
      <c r="A3" s="354"/>
      <c r="B3" s="354"/>
      <c r="C3" s="354"/>
      <c r="D3" s="354"/>
      <c r="E3" s="354"/>
      <c r="F3" s="354"/>
      <c r="G3" s="354"/>
      <c r="H3" s="354"/>
      <c r="I3" s="354"/>
      <c r="J3" s="354"/>
      <c r="K3" s="354"/>
      <c r="L3" s="354"/>
    </row>
    <row r="4" spans="1:12" x14ac:dyDescent="0.2">
      <c r="A4" s="354"/>
      <c r="L4" s="354"/>
    </row>
    <row r="5" spans="1:12" ht="15" customHeight="1" x14ac:dyDescent="0.2">
      <c r="A5" s="354"/>
      <c r="L5" s="354"/>
    </row>
    <row r="6" spans="1:12" ht="33" customHeight="1" x14ac:dyDescent="0.2">
      <c r="A6" s="354"/>
      <c r="B6" s="973" t="s">
        <v>797</v>
      </c>
      <c r="C6" s="962"/>
      <c r="D6" s="962"/>
      <c r="E6" s="962"/>
      <c r="F6" s="962"/>
      <c r="G6" s="962"/>
      <c r="H6" s="962"/>
      <c r="I6" s="962"/>
      <c r="J6" s="962"/>
      <c r="K6" s="962"/>
      <c r="L6" s="357"/>
    </row>
    <row r="7" spans="1:12" ht="40.5" customHeight="1" x14ac:dyDescent="0.2">
      <c r="A7" s="354"/>
      <c r="B7" s="974" t="s">
        <v>538</v>
      </c>
      <c r="C7" s="975"/>
      <c r="D7" s="975"/>
      <c r="E7" s="975"/>
      <c r="F7" s="975"/>
      <c r="G7" s="975"/>
      <c r="H7" s="975"/>
      <c r="I7" s="975"/>
      <c r="J7" s="975"/>
      <c r="K7" s="975"/>
      <c r="L7" s="354"/>
    </row>
    <row r="8" spans="1:12" x14ac:dyDescent="0.2">
      <c r="A8" s="354"/>
      <c r="B8" s="967" t="s">
        <v>539</v>
      </c>
      <c r="C8" s="967"/>
      <c r="D8" s="967"/>
      <c r="E8" s="967"/>
      <c r="F8" s="967"/>
      <c r="G8" s="967"/>
      <c r="H8" s="967"/>
      <c r="I8" s="967"/>
      <c r="J8" s="967"/>
      <c r="K8" s="967"/>
      <c r="L8" s="354"/>
    </row>
    <row r="9" spans="1:12" x14ac:dyDescent="0.2">
      <c r="A9" s="354"/>
      <c r="L9" s="354"/>
    </row>
    <row r="10" spans="1:12" x14ac:dyDescent="0.2">
      <c r="A10" s="354"/>
      <c r="B10" s="967" t="s">
        <v>540</v>
      </c>
      <c r="C10" s="967"/>
      <c r="D10" s="967"/>
      <c r="E10" s="967"/>
      <c r="F10" s="967"/>
      <c r="G10" s="967"/>
      <c r="H10" s="967"/>
      <c r="I10" s="967"/>
      <c r="J10" s="967"/>
      <c r="K10" s="967"/>
      <c r="L10" s="354"/>
    </row>
    <row r="11" spans="1:12" x14ac:dyDescent="0.2">
      <c r="A11" s="354"/>
      <c r="B11" s="485"/>
      <c r="C11" s="485"/>
      <c r="D11" s="485"/>
      <c r="E11" s="485"/>
      <c r="F11" s="485"/>
      <c r="G11" s="485"/>
      <c r="H11" s="485"/>
      <c r="I11" s="485"/>
      <c r="J11" s="485"/>
      <c r="K11" s="485"/>
      <c r="L11" s="354"/>
    </row>
    <row r="12" spans="1:12" ht="32.25" customHeight="1" x14ac:dyDescent="0.2">
      <c r="A12" s="354"/>
      <c r="B12" s="950" t="s">
        <v>541</v>
      </c>
      <c r="C12" s="950"/>
      <c r="D12" s="950"/>
      <c r="E12" s="950"/>
      <c r="F12" s="950"/>
      <c r="G12" s="950"/>
      <c r="H12" s="950"/>
      <c r="I12" s="950"/>
      <c r="J12" s="950"/>
      <c r="K12" s="950"/>
      <c r="L12" s="354"/>
    </row>
    <row r="13" spans="1:12" x14ac:dyDescent="0.2">
      <c r="A13" s="354"/>
      <c r="L13" s="354"/>
    </row>
    <row r="14" spans="1:12" x14ac:dyDescent="0.2">
      <c r="A14" s="354"/>
      <c r="B14" s="358" t="s">
        <v>542</v>
      </c>
      <c r="L14" s="354"/>
    </row>
    <row r="15" spans="1:12" x14ac:dyDescent="0.2">
      <c r="A15" s="354"/>
      <c r="L15" s="354"/>
    </row>
    <row r="16" spans="1:12" x14ac:dyDescent="0.2">
      <c r="A16" s="354"/>
      <c r="B16" s="356" t="s">
        <v>543</v>
      </c>
      <c r="L16" s="354"/>
    </row>
    <row r="17" spans="1:12" x14ac:dyDescent="0.2">
      <c r="A17" s="354"/>
      <c r="B17" s="356" t="s">
        <v>544</v>
      </c>
      <c r="L17" s="354"/>
    </row>
    <row r="18" spans="1:12" x14ac:dyDescent="0.2">
      <c r="A18" s="354"/>
      <c r="L18" s="354"/>
    </row>
    <row r="19" spans="1:12" x14ac:dyDescent="0.2">
      <c r="A19" s="354"/>
      <c r="B19" s="358" t="s">
        <v>635</v>
      </c>
      <c r="L19" s="354"/>
    </row>
    <row r="20" spans="1:12" x14ac:dyDescent="0.2">
      <c r="A20" s="354"/>
      <c r="B20" s="358"/>
      <c r="L20" s="354"/>
    </row>
    <row r="21" spans="1:12" x14ac:dyDescent="0.2">
      <c r="A21" s="354"/>
      <c r="B21" s="356" t="s">
        <v>636</v>
      </c>
      <c r="L21" s="354"/>
    </row>
    <row r="22" spans="1:12" x14ac:dyDescent="0.2">
      <c r="A22" s="354"/>
      <c r="L22" s="354"/>
    </row>
    <row r="23" spans="1:12" x14ac:dyDescent="0.2">
      <c r="A23" s="354"/>
      <c r="B23" s="356" t="s">
        <v>545</v>
      </c>
      <c r="E23" s="356" t="s">
        <v>546</v>
      </c>
      <c r="F23" s="948">
        <v>3120000</v>
      </c>
      <c r="G23" s="948"/>
      <c r="L23" s="354"/>
    </row>
    <row r="24" spans="1:12" x14ac:dyDescent="0.2">
      <c r="A24" s="354"/>
      <c r="L24" s="354"/>
    </row>
    <row r="25" spans="1:12" x14ac:dyDescent="0.2">
      <c r="A25" s="354"/>
      <c r="C25" s="966">
        <f>F23</f>
        <v>3120000</v>
      </c>
      <c r="D25" s="966"/>
      <c r="E25" s="356" t="s">
        <v>547</v>
      </c>
      <c r="F25" s="359">
        <v>1000</v>
      </c>
      <c r="G25" s="359" t="s">
        <v>546</v>
      </c>
      <c r="H25" s="737">
        <f>F23/F25</f>
        <v>3120</v>
      </c>
      <c r="L25" s="354"/>
    </row>
    <row r="26" spans="1:12" ht="15" thickBot="1" x14ac:dyDescent="0.25">
      <c r="A26" s="354"/>
      <c r="L26" s="354"/>
    </row>
    <row r="27" spans="1:12" x14ac:dyDescent="0.2">
      <c r="A27" s="354"/>
      <c r="B27" s="360" t="s">
        <v>542</v>
      </c>
      <c r="C27" s="361"/>
      <c r="D27" s="361"/>
      <c r="E27" s="361"/>
      <c r="F27" s="361"/>
      <c r="G27" s="361"/>
      <c r="H27" s="361"/>
      <c r="I27" s="361"/>
      <c r="J27" s="361"/>
      <c r="K27" s="362"/>
      <c r="L27" s="354"/>
    </row>
    <row r="28" spans="1:12" x14ac:dyDescent="0.2">
      <c r="A28" s="354"/>
      <c r="B28" s="363">
        <f>F23</f>
        <v>3120000</v>
      </c>
      <c r="C28" s="364" t="s">
        <v>548</v>
      </c>
      <c r="D28" s="364"/>
      <c r="E28" s="364" t="s">
        <v>547</v>
      </c>
      <c r="F28" s="488">
        <v>1000</v>
      </c>
      <c r="G28" s="488" t="s">
        <v>546</v>
      </c>
      <c r="H28" s="738">
        <f>B28/F28</f>
        <v>3120</v>
      </c>
      <c r="I28" s="364" t="s">
        <v>549</v>
      </c>
      <c r="J28" s="364"/>
      <c r="K28" s="365"/>
      <c r="L28" s="354"/>
    </row>
    <row r="29" spans="1:12" ht="15" thickBot="1" x14ac:dyDescent="0.25">
      <c r="A29" s="354"/>
      <c r="B29" s="366"/>
      <c r="C29" s="367"/>
      <c r="D29" s="367"/>
      <c r="E29" s="367"/>
      <c r="F29" s="367"/>
      <c r="G29" s="367"/>
      <c r="H29" s="367"/>
      <c r="I29" s="367"/>
      <c r="J29" s="367"/>
      <c r="K29" s="368"/>
      <c r="L29" s="354"/>
    </row>
    <row r="30" spans="1:12" ht="40.5" customHeight="1" x14ac:dyDescent="0.2">
      <c r="A30" s="354"/>
      <c r="B30" s="959" t="s">
        <v>538</v>
      </c>
      <c r="C30" s="959"/>
      <c r="D30" s="959"/>
      <c r="E30" s="959"/>
      <c r="F30" s="959"/>
      <c r="G30" s="959"/>
      <c r="H30" s="959"/>
      <c r="I30" s="959"/>
      <c r="J30" s="959"/>
      <c r="K30" s="959"/>
      <c r="L30" s="354"/>
    </row>
    <row r="31" spans="1:12" x14ac:dyDescent="0.2">
      <c r="A31" s="354"/>
      <c r="B31" s="967" t="s">
        <v>550</v>
      </c>
      <c r="C31" s="967"/>
      <c r="D31" s="967"/>
      <c r="E31" s="967"/>
      <c r="F31" s="967"/>
      <c r="G31" s="967"/>
      <c r="H31" s="967"/>
      <c r="I31" s="967"/>
      <c r="J31" s="967"/>
      <c r="K31" s="967"/>
      <c r="L31" s="354"/>
    </row>
    <row r="32" spans="1:12" x14ac:dyDescent="0.2">
      <c r="A32" s="354"/>
      <c r="L32" s="354"/>
    </row>
    <row r="33" spans="1:12" x14ac:dyDescent="0.2">
      <c r="A33" s="354"/>
      <c r="B33" s="967" t="s">
        <v>551</v>
      </c>
      <c r="C33" s="967"/>
      <c r="D33" s="967"/>
      <c r="E33" s="967"/>
      <c r="F33" s="967"/>
      <c r="G33" s="967"/>
      <c r="H33" s="967"/>
      <c r="I33" s="967"/>
      <c r="J33" s="967"/>
      <c r="K33" s="967"/>
      <c r="L33" s="354"/>
    </row>
    <row r="34" spans="1:12" x14ac:dyDescent="0.2">
      <c r="A34" s="354"/>
      <c r="L34" s="354"/>
    </row>
    <row r="35" spans="1:12" ht="89.25" customHeight="1" x14ac:dyDescent="0.2">
      <c r="A35" s="354"/>
      <c r="B35" s="950" t="s">
        <v>552</v>
      </c>
      <c r="C35" s="965"/>
      <c r="D35" s="965"/>
      <c r="E35" s="965"/>
      <c r="F35" s="965"/>
      <c r="G35" s="965"/>
      <c r="H35" s="965"/>
      <c r="I35" s="965"/>
      <c r="J35" s="965"/>
      <c r="K35" s="965"/>
      <c r="L35" s="354"/>
    </row>
    <row r="36" spans="1:12" x14ac:dyDescent="0.2">
      <c r="A36" s="354"/>
      <c r="L36" s="354"/>
    </row>
    <row r="37" spans="1:12" x14ac:dyDescent="0.2">
      <c r="A37" s="354"/>
      <c r="B37" s="358" t="s">
        <v>553</v>
      </c>
      <c r="L37" s="354"/>
    </row>
    <row r="38" spans="1:12" x14ac:dyDescent="0.2">
      <c r="A38" s="354"/>
      <c r="L38" s="354"/>
    </row>
    <row r="39" spans="1:12" x14ac:dyDescent="0.2">
      <c r="A39" s="354"/>
      <c r="B39" s="356" t="s">
        <v>554</v>
      </c>
      <c r="L39" s="354"/>
    </row>
    <row r="40" spans="1:12" x14ac:dyDescent="0.2">
      <c r="A40" s="354"/>
      <c r="L40" s="354"/>
    </row>
    <row r="41" spans="1:12" x14ac:dyDescent="0.2">
      <c r="A41" s="354"/>
      <c r="C41" s="968">
        <v>3120000</v>
      </c>
      <c r="D41" s="968"/>
      <c r="E41" s="356" t="s">
        <v>547</v>
      </c>
      <c r="F41" s="359">
        <v>1000</v>
      </c>
      <c r="G41" s="359" t="s">
        <v>546</v>
      </c>
      <c r="H41" s="739">
        <f>C41/F41</f>
        <v>3120</v>
      </c>
      <c r="L41" s="354"/>
    </row>
    <row r="42" spans="1:12" x14ac:dyDescent="0.2">
      <c r="A42" s="354"/>
      <c r="L42" s="354"/>
    </row>
    <row r="43" spans="1:12" x14ac:dyDescent="0.2">
      <c r="A43" s="354"/>
      <c r="B43" s="356" t="s">
        <v>555</v>
      </c>
      <c r="L43" s="354"/>
    </row>
    <row r="44" spans="1:12" x14ac:dyDescent="0.2">
      <c r="A44" s="354"/>
      <c r="L44" s="354"/>
    </row>
    <row r="45" spans="1:12" x14ac:dyDescent="0.2">
      <c r="A45" s="354"/>
      <c r="B45" s="356" t="s">
        <v>556</v>
      </c>
      <c r="L45" s="354"/>
    </row>
    <row r="46" spans="1:12" ht="15" thickBot="1" x14ac:dyDescent="0.25">
      <c r="A46" s="354"/>
      <c r="L46" s="354"/>
    </row>
    <row r="47" spans="1:12" x14ac:dyDescent="0.2">
      <c r="A47" s="354"/>
      <c r="B47" s="369" t="s">
        <v>542</v>
      </c>
      <c r="C47" s="361"/>
      <c r="D47" s="361"/>
      <c r="E47" s="361"/>
      <c r="F47" s="361"/>
      <c r="G47" s="361"/>
      <c r="H47" s="361"/>
      <c r="I47" s="361"/>
      <c r="J47" s="361"/>
      <c r="K47" s="362"/>
      <c r="L47" s="354"/>
    </row>
    <row r="48" spans="1:12" x14ac:dyDescent="0.2">
      <c r="A48" s="354"/>
      <c r="B48" s="948">
        <v>3120000</v>
      </c>
      <c r="C48" s="948"/>
      <c r="D48" s="364" t="s">
        <v>557</v>
      </c>
      <c r="E48" s="364" t="s">
        <v>547</v>
      </c>
      <c r="F48" s="488">
        <v>1000</v>
      </c>
      <c r="G48" s="488" t="s">
        <v>546</v>
      </c>
      <c r="H48" s="738">
        <f>B48/F48</f>
        <v>3120</v>
      </c>
      <c r="I48" s="364" t="s">
        <v>558</v>
      </c>
      <c r="J48" s="364"/>
      <c r="K48" s="365"/>
      <c r="L48" s="354"/>
    </row>
    <row r="49" spans="1:24" x14ac:dyDescent="0.2">
      <c r="A49" s="354"/>
      <c r="B49" s="370"/>
      <c r="C49" s="364"/>
      <c r="D49" s="364"/>
      <c r="E49" s="364"/>
      <c r="F49" s="364"/>
      <c r="G49" s="364"/>
      <c r="H49" s="364"/>
      <c r="I49" s="364"/>
      <c r="J49" s="364"/>
      <c r="K49" s="365"/>
      <c r="L49" s="354"/>
    </row>
    <row r="50" spans="1:24" x14ac:dyDescent="0.2">
      <c r="A50" s="354"/>
      <c r="B50" s="948">
        <v>5000</v>
      </c>
      <c r="C50" s="948"/>
      <c r="D50" s="364"/>
      <c r="E50" s="364" t="s">
        <v>547</v>
      </c>
      <c r="F50" s="738">
        <f>H48</f>
        <v>3120</v>
      </c>
      <c r="G50" s="969" t="s">
        <v>559</v>
      </c>
      <c r="H50" s="970"/>
      <c r="I50" s="488" t="s">
        <v>546</v>
      </c>
      <c r="J50" s="371">
        <f>B50/F50</f>
        <v>1.6025641025641026</v>
      </c>
      <c r="K50" s="365"/>
      <c r="L50" s="354"/>
    </row>
    <row r="51" spans="1:24" ht="15" thickBot="1" x14ac:dyDescent="0.25">
      <c r="A51" s="354"/>
      <c r="B51" s="366"/>
      <c r="C51" s="367"/>
      <c r="D51" s="367"/>
      <c r="E51" s="367"/>
      <c r="F51" s="367"/>
      <c r="G51" s="367"/>
      <c r="H51" s="367"/>
      <c r="I51" s="971" t="s">
        <v>560</v>
      </c>
      <c r="J51" s="971"/>
      <c r="K51" s="972"/>
      <c r="L51" s="354"/>
      <c r="O51" s="372"/>
    </row>
    <row r="52" spans="1:24" ht="40.5" customHeight="1" x14ac:dyDescent="0.2">
      <c r="A52" s="354"/>
      <c r="B52" s="959" t="s">
        <v>538</v>
      </c>
      <c r="C52" s="959"/>
      <c r="D52" s="959"/>
      <c r="E52" s="959"/>
      <c r="F52" s="959"/>
      <c r="G52" s="959"/>
      <c r="H52" s="959"/>
      <c r="I52" s="959"/>
      <c r="J52" s="959"/>
      <c r="K52" s="959"/>
      <c r="L52" s="354"/>
    </row>
    <row r="53" spans="1:24" x14ac:dyDescent="0.2">
      <c r="A53" s="354"/>
      <c r="B53" s="967" t="s">
        <v>561</v>
      </c>
      <c r="C53" s="967"/>
      <c r="D53" s="967"/>
      <c r="E53" s="967"/>
      <c r="F53" s="967"/>
      <c r="G53" s="967"/>
      <c r="H53" s="967"/>
      <c r="I53" s="967"/>
      <c r="J53" s="967"/>
      <c r="K53" s="967"/>
      <c r="L53" s="354"/>
    </row>
    <row r="54" spans="1:24" x14ac:dyDescent="0.2">
      <c r="A54" s="354"/>
      <c r="B54" s="485"/>
      <c r="C54" s="485"/>
      <c r="D54" s="485"/>
      <c r="E54" s="485"/>
      <c r="F54" s="485"/>
      <c r="G54" s="485"/>
      <c r="H54" s="485"/>
      <c r="I54" s="485"/>
      <c r="J54" s="485"/>
      <c r="K54" s="485"/>
      <c r="L54" s="354"/>
    </row>
    <row r="55" spans="1:24" x14ac:dyDescent="0.2">
      <c r="A55" s="354"/>
      <c r="B55" s="949" t="s">
        <v>562</v>
      </c>
      <c r="C55" s="949"/>
      <c r="D55" s="949"/>
      <c r="E55" s="949"/>
      <c r="F55" s="949"/>
      <c r="G55" s="949"/>
      <c r="H55" s="949"/>
      <c r="I55" s="949"/>
      <c r="J55" s="949"/>
      <c r="K55" s="949"/>
      <c r="L55" s="354"/>
    </row>
    <row r="56" spans="1:24" ht="15" customHeight="1" x14ac:dyDescent="0.2">
      <c r="A56" s="354"/>
      <c r="L56" s="354"/>
    </row>
    <row r="57" spans="1:24" ht="74.25" customHeight="1" x14ac:dyDescent="0.2">
      <c r="A57" s="354"/>
      <c r="B57" s="950" t="s">
        <v>563</v>
      </c>
      <c r="C57" s="965"/>
      <c r="D57" s="965"/>
      <c r="E57" s="965"/>
      <c r="F57" s="965"/>
      <c r="G57" s="965"/>
      <c r="H57" s="965"/>
      <c r="I57" s="965"/>
      <c r="J57" s="965"/>
      <c r="K57" s="965"/>
      <c r="L57" s="354"/>
      <c r="M57" s="373"/>
      <c r="N57" s="374"/>
      <c r="O57" s="374"/>
      <c r="P57" s="374"/>
      <c r="Q57" s="374"/>
      <c r="R57" s="374"/>
      <c r="S57" s="374"/>
      <c r="T57" s="374"/>
      <c r="U57" s="374"/>
      <c r="V57" s="374"/>
      <c r="W57" s="374"/>
      <c r="X57" s="374"/>
    </row>
    <row r="58" spans="1:24" ht="15" customHeight="1" x14ac:dyDescent="0.2">
      <c r="A58" s="354"/>
      <c r="B58" s="950"/>
      <c r="C58" s="965"/>
      <c r="D58" s="965"/>
      <c r="E58" s="965"/>
      <c r="F58" s="965"/>
      <c r="G58" s="965"/>
      <c r="H58" s="965"/>
      <c r="I58" s="965"/>
      <c r="J58" s="965"/>
      <c r="K58" s="965"/>
      <c r="L58" s="354"/>
      <c r="M58" s="373"/>
      <c r="N58" s="374"/>
      <c r="O58" s="374"/>
      <c r="P58" s="374"/>
      <c r="Q58" s="374"/>
      <c r="R58" s="374"/>
      <c r="S58" s="374"/>
      <c r="T58" s="374"/>
      <c r="U58" s="374"/>
      <c r="V58" s="374"/>
      <c r="W58" s="374"/>
      <c r="X58" s="374"/>
    </row>
    <row r="59" spans="1:24" x14ac:dyDescent="0.2">
      <c r="A59" s="354"/>
      <c r="B59" s="358" t="s">
        <v>553</v>
      </c>
      <c r="L59" s="354"/>
      <c r="M59" s="374"/>
      <c r="N59" s="374"/>
      <c r="O59" s="374"/>
      <c r="P59" s="374"/>
      <c r="Q59" s="374"/>
      <c r="R59" s="374"/>
      <c r="S59" s="374"/>
      <c r="T59" s="374"/>
      <c r="U59" s="374"/>
      <c r="V59" s="374"/>
      <c r="W59" s="374"/>
      <c r="X59" s="374"/>
    </row>
    <row r="60" spans="1:24" x14ac:dyDescent="0.2">
      <c r="A60" s="354"/>
      <c r="L60" s="354"/>
      <c r="M60" s="374"/>
      <c r="N60" s="374"/>
      <c r="O60" s="374"/>
      <c r="P60" s="374"/>
      <c r="Q60" s="374"/>
      <c r="R60" s="374"/>
      <c r="S60" s="374"/>
      <c r="T60" s="374"/>
      <c r="U60" s="374"/>
      <c r="V60" s="374"/>
      <c r="W60" s="374"/>
      <c r="X60" s="374"/>
    </row>
    <row r="61" spans="1:24" x14ac:dyDescent="0.2">
      <c r="A61" s="354"/>
      <c r="B61" s="356" t="s">
        <v>564</v>
      </c>
      <c r="L61" s="354"/>
      <c r="M61" s="374"/>
      <c r="N61" s="374"/>
      <c r="O61" s="374"/>
      <c r="P61" s="374"/>
      <c r="Q61" s="374"/>
      <c r="R61" s="374"/>
      <c r="S61" s="374"/>
      <c r="T61" s="374"/>
      <c r="U61" s="374"/>
      <c r="V61" s="374"/>
      <c r="W61" s="374"/>
      <c r="X61" s="374"/>
    </row>
    <row r="62" spans="1:24" x14ac:dyDescent="0.2">
      <c r="A62" s="354"/>
      <c r="B62" s="356" t="s">
        <v>637</v>
      </c>
      <c r="L62" s="354"/>
      <c r="M62" s="374"/>
      <c r="N62" s="374"/>
      <c r="O62" s="374"/>
      <c r="P62" s="374"/>
      <c r="Q62" s="374"/>
      <c r="R62" s="374"/>
      <c r="S62" s="374"/>
      <c r="T62" s="374"/>
      <c r="U62" s="374"/>
      <c r="V62" s="374"/>
      <c r="W62" s="374"/>
      <c r="X62" s="374"/>
    </row>
    <row r="63" spans="1:24" x14ac:dyDescent="0.2">
      <c r="A63" s="354"/>
      <c r="B63" s="356" t="s">
        <v>638</v>
      </c>
      <c r="L63" s="354"/>
      <c r="M63" s="374"/>
      <c r="N63" s="374"/>
      <c r="O63" s="374"/>
      <c r="P63" s="374"/>
      <c r="Q63" s="374"/>
      <c r="R63" s="374"/>
      <c r="S63" s="374"/>
      <c r="T63" s="374"/>
      <c r="U63" s="374"/>
      <c r="V63" s="374"/>
      <c r="W63" s="374"/>
      <c r="X63" s="374"/>
    </row>
    <row r="64" spans="1:24" x14ac:dyDescent="0.2">
      <c r="A64" s="354"/>
      <c r="L64" s="354"/>
      <c r="M64" s="374"/>
      <c r="N64" s="374"/>
      <c r="O64" s="374"/>
      <c r="P64" s="374"/>
      <c r="Q64" s="374"/>
      <c r="R64" s="374"/>
      <c r="S64" s="374"/>
      <c r="T64" s="374"/>
      <c r="U64" s="374"/>
      <c r="V64" s="374"/>
      <c r="W64" s="374"/>
      <c r="X64" s="374"/>
    </row>
    <row r="65" spans="1:24" x14ac:dyDescent="0.2">
      <c r="A65" s="354"/>
      <c r="B65" s="356" t="s">
        <v>565</v>
      </c>
      <c r="L65" s="354"/>
      <c r="M65" s="374"/>
      <c r="N65" s="374"/>
      <c r="O65" s="374"/>
      <c r="P65" s="374"/>
      <c r="Q65" s="374"/>
      <c r="R65" s="374"/>
      <c r="S65" s="374"/>
      <c r="T65" s="374"/>
      <c r="U65" s="374"/>
      <c r="V65" s="374"/>
      <c r="W65" s="374"/>
      <c r="X65" s="374"/>
    </row>
    <row r="66" spans="1:24" x14ac:dyDescent="0.2">
      <c r="A66" s="354"/>
      <c r="B66" s="356" t="s">
        <v>566</v>
      </c>
      <c r="L66" s="354"/>
      <c r="M66" s="374"/>
      <c r="N66" s="374"/>
      <c r="O66" s="374"/>
      <c r="P66" s="374"/>
      <c r="Q66" s="374"/>
      <c r="R66" s="374"/>
      <c r="S66" s="374"/>
      <c r="T66" s="374"/>
      <c r="U66" s="374"/>
      <c r="V66" s="374"/>
      <c r="W66" s="374"/>
      <c r="X66" s="374"/>
    </row>
    <row r="67" spans="1:24" x14ac:dyDescent="0.2">
      <c r="A67" s="354"/>
      <c r="L67" s="354"/>
      <c r="M67" s="374"/>
      <c r="N67" s="374"/>
      <c r="O67" s="374"/>
      <c r="P67" s="374"/>
      <c r="Q67" s="374"/>
      <c r="R67" s="374"/>
      <c r="S67" s="374"/>
      <c r="T67" s="374"/>
      <c r="U67" s="374"/>
      <c r="V67" s="374"/>
      <c r="W67" s="374"/>
      <c r="X67" s="374"/>
    </row>
    <row r="68" spans="1:24" x14ac:dyDescent="0.2">
      <c r="A68" s="354"/>
      <c r="B68" s="356" t="s">
        <v>567</v>
      </c>
      <c r="L68" s="354"/>
      <c r="M68" s="375"/>
      <c r="N68" s="376"/>
      <c r="O68" s="376"/>
      <c r="P68" s="376"/>
      <c r="Q68" s="376"/>
      <c r="R68" s="376"/>
      <c r="S68" s="376"/>
      <c r="T68" s="376"/>
      <c r="U68" s="376"/>
      <c r="V68" s="376"/>
      <c r="W68" s="376"/>
      <c r="X68" s="374"/>
    </row>
    <row r="69" spans="1:24" x14ac:dyDescent="0.2">
      <c r="A69" s="354"/>
      <c r="B69" s="356" t="s">
        <v>639</v>
      </c>
      <c r="L69" s="354"/>
      <c r="M69" s="374"/>
      <c r="N69" s="374"/>
      <c r="O69" s="374"/>
      <c r="P69" s="374"/>
      <c r="Q69" s="374"/>
      <c r="R69" s="374"/>
      <c r="S69" s="374"/>
      <c r="T69" s="374"/>
      <c r="U69" s="374"/>
      <c r="V69" s="374"/>
      <c r="W69" s="374"/>
      <c r="X69" s="374"/>
    </row>
    <row r="70" spans="1:24" x14ac:dyDescent="0.2">
      <c r="A70" s="354"/>
      <c r="B70" s="356" t="s">
        <v>640</v>
      </c>
      <c r="L70" s="354"/>
      <c r="M70" s="374"/>
      <c r="N70" s="374"/>
      <c r="O70" s="374"/>
      <c r="P70" s="374"/>
      <c r="Q70" s="374"/>
      <c r="R70" s="374"/>
      <c r="S70" s="374"/>
      <c r="T70" s="374"/>
      <c r="U70" s="374"/>
      <c r="V70" s="374"/>
      <c r="W70" s="374"/>
      <c r="X70" s="374"/>
    </row>
    <row r="71" spans="1:24" ht="15" thickBot="1" x14ac:dyDescent="0.25">
      <c r="A71" s="354"/>
      <c r="B71" s="364"/>
      <c r="C71" s="364"/>
      <c r="D71" s="364"/>
      <c r="E71" s="364"/>
      <c r="F71" s="364"/>
      <c r="G71" s="364"/>
      <c r="H71" s="364"/>
      <c r="I71" s="364"/>
      <c r="J71" s="364"/>
      <c r="K71" s="364"/>
      <c r="L71" s="354"/>
    </row>
    <row r="72" spans="1:24" x14ac:dyDescent="0.2">
      <c r="A72" s="354"/>
      <c r="B72" s="360" t="s">
        <v>542</v>
      </c>
      <c r="C72" s="361"/>
      <c r="D72" s="361"/>
      <c r="E72" s="361"/>
      <c r="F72" s="361"/>
      <c r="G72" s="361"/>
      <c r="H72" s="361"/>
      <c r="I72" s="361"/>
      <c r="J72" s="361"/>
      <c r="K72" s="362"/>
      <c r="L72" s="377"/>
    </row>
    <row r="73" spans="1:24" x14ac:dyDescent="0.2">
      <c r="A73" s="354"/>
      <c r="B73" s="370"/>
      <c r="C73" s="364" t="s">
        <v>548</v>
      </c>
      <c r="D73" s="364"/>
      <c r="E73" s="364"/>
      <c r="F73" s="364"/>
      <c r="G73" s="364"/>
      <c r="H73" s="364"/>
      <c r="I73" s="364"/>
      <c r="J73" s="364"/>
      <c r="K73" s="365"/>
      <c r="L73" s="377"/>
    </row>
    <row r="74" spans="1:24" x14ac:dyDescent="0.2">
      <c r="A74" s="354"/>
      <c r="B74" s="370" t="s">
        <v>568</v>
      </c>
      <c r="C74" s="948">
        <v>3120000</v>
      </c>
      <c r="D74" s="948"/>
      <c r="E74" s="488" t="s">
        <v>547</v>
      </c>
      <c r="F74" s="488">
        <v>1000</v>
      </c>
      <c r="G74" s="488" t="s">
        <v>546</v>
      </c>
      <c r="H74" s="491">
        <f>C74/F74</f>
        <v>3120</v>
      </c>
      <c r="I74" s="364" t="s">
        <v>569</v>
      </c>
      <c r="J74" s="364"/>
      <c r="K74" s="365"/>
      <c r="L74" s="377"/>
    </row>
    <row r="75" spans="1:24" x14ac:dyDescent="0.2">
      <c r="A75" s="354"/>
      <c r="B75" s="370"/>
      <c r="C75" s="364"/>
      <c r="D75" s="364"/>
      <c r="E75" s="488"/>
      <c r="F75" s="364"/>
      <c r="G75" s="364"/>
      <c r="H75" s="364"/>
      <c r="I75" s="364"/>
      <c r="J75" s="364"/>
      <c r="K75" s="365"/>
      <c r="L75" s="377"/>
    </row>
    <row r="76" spans="1:24" x14ac:dyDescent="0.2">
      <c r="A76" s="354"/>
      <c r="B76" s="370"/>
      <c r="C76" s="364" t="s">
        <v>570</v>
      </c>
      <c r="D76" s="364"/>
      <c r="E76" s="488"/>
      <c r="F76" s="364" t="s">
        <v>569</v>
      </c>
      <c r="G76" s="364"/>
      <c r="H76" s="364"/>
      <c r="I76" s="364"/>
      <c r="J76" s="364"/>
      <c r="K76" s="365"/>
      <c r="L76" s="377"/>
    </row>
    <row r="77" spans="1:24" x14ac:dyDescent="0.2">
      <c r="A77" s="354"/>
      <c r="B77" s="370" t="s">
        <v>571</v>
      </c>
      <c r="C77" s="948">
        <v>5000</v>
      </c>
      <c r="D77" s="948"/>
      <c r="E77" s="488" t="s">
        <v>547</v>
      </c>
      <c r="F77" s="491">
        <f>H74</f>
        <v>3120</v>
      </c>
      <c r="G77" s="488" t="s">
        <v>546</v>
      </c>
      <c r="H77" s="371">
        <f>C77/F77</f>
        <v>1.6025641025641026</v>
      </c>
      <c r="I77" s="364" t="s">
        <v>572</v>
      </c>
      <c r="J77" s="364"/>
      <c r="K77" s="365"/>
      <c r="L77" s="377"/>
    </row>
    <row r="78" spans="1:24" x14ac:dyDescent="0.2">
      <c r="A78" s="354"/>
      <c r="B78" s="370"/>
      <c r="C78" s="364"/>
      <c r="D78" s="364"/>
      <c r="E78" s="488"/>
      <c r="F78" s="364"/>
      <c r="G78" s="364"/>
      <c r="H78" s="364"/>
      <c r="I78" s="364"/>
      <c r="J78" s="364"/>
      <c r="K78" s="365"/>
      <c r="L78" s="377"/>
    </row>
    <row r="79" spans="1:24" x14ac:dyDescent="0.2">
      <c r="A79" s="354"/>
      <c r="B79" s="378"/>
      <c r="C79" s="379" t="s">
        <v>573</v>
      </c>
      <c r="D79" s="379"/>
      <c r="E79" s="490"/>
      <c r="F79" s="379"/>
      <c r="G79" s="379"/>
      <c r="H79" s="379"/>
      <c r="I79" s="379"/>
      <c r="J79" s="379"/>
      <c r="K79" s="380"/>
      <c r="L79" s="377"/>
    </row>
    <row r="80" spans="1:24" x14ac:dyDescent="0.2">
      <c r="A80" s="354"/>
      <c r="B80" s="370" t="s">
        <v>574</v>
      </c>
      <c r="C80" s="948">
        <v>100000</v>
      </c>
      <c r="D80" s="948"/>
      <c r="E80" s="488" t="s">
        <v>249</v>
      </c>
      <c r="F80" s="488">
        <v>0.115</v>
      </c>
      <c r="G80" s="488" t="s">
        <v>546</v>
      </c>
      <c r="H80" s="489">
        <f>C80*F80</f>
        <v>11500</v>
      </c>
      <c r="I80" s="364" t="s">
        <v>575</v>
      </c>
      <c r="J80" s="364"/>
      <c r="K80" s="365"/>
      <c r="L80" s="377"/>
    </row>
    <row r="81" spans="1:12" x14ac:dyDescent="0.2">
      <c r="A81" s="354"/>
      <c r="B81" s="370"/>
      <c r="C81" s="364"/>
      <c r="D81" s="364"/>
      <c r="E81" s="488"/>
      <c r="F81" s="364"/>
      <c r="G81" s="364"/>
      <c r="H81" s="364"/>
      <c r="I81" s="364"/>
      <c r="J81" s="364"/>
      <c r="K81" s="365"/>
      <c r="L81" s="377"/>
    </row>
    <row r="82" spans="1:12" x14ac:dyDescent="0.2">
      <c r="A82" s="354"/>
      <c r="B82" s="378"/>
      <c r="C82" s="379" t="s">
        <v>576</v>
      </c>
      <c r="D82" s="379"/>
      <c r="E82" s="490"/>
      <c r="F82" s="379" t="s">
        <v>572</v>
      </c>
      <c r="G82" s="379"/>
      <c r="H82" s="379"/>
      <c r="I82" s="379"/>
      <c r="J82" s="379" t="s">
        <v>577</v>
      </c>
      <c r="K82" s="380"/>
      <c r="L82" s="377"/>
    </row>
    <row r="83" spans="1:12" x14ac:dyDescent="0.2">
      <c r="A83" s="354"/>
      <c r="B83" s="370" t="s">
        <v>578</v>
      </c>
      <c r="C83" s="958">
        <f>H80</f>
        <v>11500</v>
      </c>
      <c r="D83" s="958"/>
      <c r="E83" s="488" t="s">
        <v>249</v>
      </c>
      <c r="F83" s="371">
        <f>H77</f>
        <v>1.6025641025641026</v>
      </c>
      <c r="G83" s="488" t="s">
        <v>547</v>
      </c>
      <c r="H83" s="488">
        <v>1000</v>
      </c>
      <c r="I83" s="488" t="s">
        <v>546</v>
      </c>
      <c r="J83" s="491">
        <f>C83*F83/H83</f>
        <v>18.429487179487179</v>
      </c>
      <c r="K83" s="365"/>
      <c r="L83" s="377"/>
    </row>
    <row r="84" spans="1:12" ht="15" thickBot="1" x14ac:dyDescent="0.25">
      <c r="A84" s="354"/>
      <c r="B84" s="366"/>
      <c r="C84" s="381"/>
      <c r="D84" s="381"/>
      <c r="E84" s="382"/>
      <c r="F84" s="383"/>
      <c r="G84" s="382"/>
      <c r="H84" s="382"/>
      <c r="I84" s="382"/>
      <c r="J84" s="384"/>
      <c r="K84" s="368"/>
      <c r="L84" s="377"/>
    </row>
    <row r="85" spans="1:12" ht="40.5" customHeight="1" x14ac:dyDescent="0.2">
      <c r="A85" s="354"/>
      <c r="B85" s="959" t="s">
        <v>538</v>
      </c>
      <c r="C85" s="959"/>
      <c r="D85" s="959"/>
      <c r="E85" s="959"/>
      <c r="F85" s="959"/>
      <c r="G85" s="959"/>
      <c r="H85" s="959"/>
      <c r="I85" s="959"/>
      <c r="J85" s="959"/>
      <c r="K85" s="959"/>
      <c r="L85" s="354"/>
    </row>
    <row r="86" spans="1:12" x14ac:dyDescent="0.2">
      <c r="A86" s="354"/>
      <c r="B86" s="949" t="s">
        <v>579</v>
      </c>
      <c r="C86" s="949"/>
      <c r="D86" s="949"/>
      <c r="E86" s="949"/>
      <c r="F86" s="949"/>
      <c r="G86" s="949"/>
      <c r="H86" s="949"/>
      <c r="I86" s="949"/>
      <c r="J86" s="949"/>
      <c r="K86" s="949"/>
      <c r="L86" s="354"/>
    </row>
    <row r="87" spans="1:12" x14ac:dyDescent="0.2">
      <c r="A87" s="354"/>
      <c r="B87" s="385"/>
      <c r="C87" s="385"/>
      <c r="D87" s="385"/>
      <c r="E87" s="385"/>
      <c r="F87" s="385"/>
      <c r="G87" s="385"/>
      <c r="H87" s="385"/>
      <c r="I87" s="385"/>
      <c r="J87" s="385"/>
      <c r="K87" s="385"/>
      <c r="L87" s="354"/>
    </row>
    <row r="88" spans="1:12" x14ac:dyDescent="0.2">
      <c r="A88" s="354"/>
      <c r="B88" s="949" t="s">
        <v>580</v>
      </c>
      <c r="C88" s="949"/>
      <c r="D88" s="949"/>
      <c r="E88" s="949"/>
      <c r="F88" s="949"/>
      <c r="G88" s="949"/>
      <c r="H88" s="949"/>
      <c r="I88" s="949"/>
      <c r="J88" s="949"/>
      <c r="K88" s="949"/>
      <c r="L88" s="354"/>
    </row>
    <row r="89" spans="1:12" x14ac:dyDescent="0.2">
      <c r="A89" s="354"/>
      <c r="B89" s="484"/>
      <c r="C89" s="484"/>
      <c r="D89" s="484"/>
      <c r="E89" s="484"/>
      <c r="F89" s="484"/>
      <c r="G89" s="484"/>
      <c r="H89" s="484"/>
      <c r="I89" s="484"/>
      <c r="J89" s="484"/>
      <c r="K89" s="484"/>
      <c r="L89" s="354"/>
    </row>
    <row r="90" spans="1:12" ht="45" customHeight="1" x14ac:dyDescent="0.2">
      <c r="A90" s="354"/>
      <c r="B90" s="950" t="s">
        <v>581</v>
      </c>
      <c r="C90" s="950"/>
      <c r="D90" s="950"/>
      <c r="E90" s="950"/>
      <c r="F90" s="950"/>
      <c r="G90" s="950"/>
      <c r="H90" s="950"/>
      <c r="I90" s="950"/>
      <c r="J90" s="950"/>
      <c r="K90" s="950"/>
      <c r="L90" s="354"/>
    </row>
    <row r="91" spans="1:12" ht="15" customHeight="1" thickBot="1" x14ac:dyDescent="0.25">
      <c r="A91" s="354"/>
      <c r="L91" s="354"/>
    </row>
    <row r="92" spans="1:12" ht="15" customHeight="1" x14ac:dyDescent="0.2">
      <c r="A92" s="354"/>
      <c r="B92" s="386" t="s">
        <v>542</v>
      </c>
      <c r="C92" s="387"/>
      <c r="D92" s="387"/>
      <c r="E92" s="387"/>
      <c r="F92" s="387"/>
      <c r="G92" s="387"/>
      <c r="H92" s="387"/>
      <c r="I92" s="387"/>
      <c r="J92" s="387"/>
      <c r="K92" s="388"/>
      <c r="L92" s="354"/>
    </row>
    <row r="93" spans="1:12" ht="15" customHeight="1" x14ac:dyDescent="0.2">
      <c r="A93" s="354"/>
      <c r="B93" s="389"/>
      <c r="C93" s="486" t="s">
        <v>548</v>
      </c>
      <c r="D93" s="486"/>
      <c r="E93" s="486"/>
      <c r="F93" s="486"/>
      <c r="G93" s="486"/>
      <c r="H93" s="486"/>
      <c r="I93" s="486"/>
      <c r="J93" s="486"/>
      <c r="K93" s="390"/>
      <c r="L93" s="354"/>
    </row>
    <row r="94" spans="1:12" ht="15" customHeight="1" x14ac:dyDescent="0.2">
      <c r="A94" s="354"/>
      <c r="B94" s="389" t="s">
        <v>568</v>
      </c>
      <c r="C94" s="948">
        <v>3120000</v>
      </c>
      <c r="D94" s="948"/>
      <c r="E94" s="488" t="s">
        <v>547</v>
      </c>
      <c r="F94" s="488">
        <v>1000</v>
      </c>
      <c r="G94" s="488" t="s">
        <v>546</v>
      </c>
      <c r="H94" s="491">
        <f>C94/F94</f>
        <v>3120</v>
      </c>
      <c r="I94" s="486" t="s">
        <v>569</v>
      </c>
      <c r="J94" s="486"/>
      <c r="K94" s="390"/>
      <c r="L94" s="354"/>
    </row>
    <row r="95" spans="1:12" ht="15" customHeight="1" x14ac:dyDescent="0.2">
      <c r="A95" s="354"/>
      <c r="B95" s="389"/>
      <c r="C95" s="486"/>
      <c r="D95" s="486"/>
      <c r="E95" s="488"/>
      <c r="F95" s="486"/>
      <c r="G95" s="486"/>
      <c r="H95" s="486"/>
      <c r="I95" s="486"/>
      <c r="J95" s="486"/>
      <c r="K95" s="390"/>
      <c r="L95" s="354"/>
    </row>
    <row r="96" spans="1:12" ht="15" customHeight="1" x14ac:dyDescent="0.2">
      <c r="A96" s="354"/>
      <c r="B96" s="389"/>
      <c r="C96" s="486" t="s">
        <v>570</v>
      </c>
      <c r="D96" s="486"/>
      <c r="E96" s="488"/>
      <c r="F96" s="486" t="s">
        <v>569</v>
      </c>
      <c r="G96" s="486"/>
      <c r="H96" s="486"/>
      <c r="I96" s="486"/>
      <c r="J96" s="486"/>
      <c r="K96" s="390"/>
      <c r="L96" s="354"/>
    </row>
    <row r="97" spans="1:12" ht="15" customHeight="1" x14ac:dyDescent="0.2">
      <c r="A97" s="354"/>
      <c r="B97" s="389" t="s">
        <v>571</v>
      </c>
      <c r="C97" s="948">
        <v>5000</v>
      </c>
      <c r="D97" s="948"/>
      <c r="E97" s="488" t="s">
        <v>547</v>
      </c>
      <c r="F97" s="491">
        <f>H94</f>
        <v>3120</v>
      </c>
      <c r="G97" s="488" t="s">
        <v>546</v>
      </c>
      <c r="H97" s="371">
        <f>C97/F97</f>
        <v>1.6025641025641026</v>
      </c>
      <c r="I97" s="486" t="s">
        <v>572</v>
      </c>
      <c r="J97" s="486"/>
      <c r="K97" s="390"/>
      <c r="L97" s="354"/>
    </row>
    <row r="98" spans="1:12" ht="15" customHeight="1" x14ac:dyDescent="0.2">
      <c r="A98" s="354"/>
      <c r="B98" s="389"/>
      <c r="C98" s="486"/>
      <c r="D98" s="486"/>
      <c r="E98" s="488"/>
      <c r="F98" s="486"/>
      <c r="G98" s="486"/>
      <c r="H98" s="486"/>
      <c r="I98" s="486"/>
      <c r="J98" s="486"/>
      <c r="K98" s="390"/>
      <c r="L98" s="354"/>
    </row>
    <row r="99" spans="1:12" ht="15" customHeight="1" x14ac:dyDescent="0.2">
      <c r="A99" s="354"/>
      <c r="B99" s="391"/>
      <c r="C99" s="392" t="s">
        <v>582</v>
      </c>
      <c r="D99" s="392"/>
      <c r="E99" s="490"/>
      <c r="F99" s="392"/>
      <c r="G99" s="392"/>
      <c r="H99" s="392"/>
      <c r="I99" s="392"/>
      <c r="J99" s="392"/>
      <c r="K99" s="393"/>
      <c r="L99" s="354"/>
    </row>
    <row r="100" spans="1:12" ht="15" customHeight="1" x14ac:dyDescent="0.2">
      <c r="A100" s="354"/>
      <c r="B100" s="389" t="s">
        <v>574</v>
      </c>
      <c r="C100" s="948">
        <v>2500000</v>
      </c>
      <c r="D100" s="948"/>
      <c r="E100" s="488" t="s">
        <v>249</v>
      </c>
      <c r="F100" s="394">
        <v>0.3</v>
      </c>
      <c r="G100" s="488" t="s">
        <v>546</v>
      </c>
      <c r="H100" s="489">
        <f>C100*F100</f>
        <v>750000</v>
      </c>
      <c r="I100" s="486" t="s">
        <v>575</v>
      </c>
      <c r="J100" s="486"/>
      <c r="K100" s="390"/>
      <c r="L100" s="354"/>
    </row>
    <row r="101" spans="1:12" ht="15" customHeight="1" x14ac:dyDescent="0.2">
      <c r="A101" s="354"/>
      <c r="B101" s="389"/>
      <c r="C101" s="486"/>
      <c r="D101" s="486"/>
      <c r="E101" s="488"/>
      <c r="F101" s="486"/>
      <c r="G101" s="486"/>
      <c r="H101" s="486"/>
      <c r="I101" s="486"/>
      <c r="J101" s="486"/>
      <c r="K101" s="390"/>
      <c r="L101" s="354"/>
    </row>
    <row r="102" spans="1:12" ht="15" customHeight="1" x14ac:dyDescent="0.2">
      <c r="A102" s="354"/>
      <c r="B102" s="391"/>
      <c r="C102" s="392" t="s">
        <v>576</v>
      </c>
      <c r="D102" s="392"/>
      <c r="E102" s="490"/>
      <c r="F102" s="392" t="s">
        <v>572</v>
      </c>
      <c r="G102" s="392"/>
      <c r="H102" s="392"/>
      <c r="I102" s="392"/>
      <c r="J102" s="392" t="s">
        <v>577</v>
      </c>
      <c r="K102" s="393"/>
      <c r="L102" s="354"/>
    </row>
    <row r="103" spans="1:12" ht="15" customHeight="1" x14ac:dyDescent="0.2">
      <c r="A103" s="354"/>
      <c r="B103" s="389" t="s">
        <v>578</v>
      </c>
      <c r="C103" s="958">
        <f>H100</f>
        <v>750000</v>
      </c>
      <c r="D103" s="958"/>
      <c r="E103" s="488" t="s">
        <v>249</v>
      </c>
      <c r="F103" s="371">
        <f>H97</f>
        <v>1.6025641025641026</v>
      </c>
      <c r="G103" s="488" t="s">
        <v>547</v>
      </c>
      <c r="H103" s="488">
        <v>1000</v>
      </c>
      <c r="I103" s="488" t="s">
        <v>546</v>
      </c>
      <c r="J103" s="491">
        <f>C103*F103/H103</f>
        <v>1201.9230769230769</v>
      </c>
      <c r="K103" s="390"/>
      <c r="L103" s="354"/>
    </row>
    <row r="104" spans="1:12" ht="15" customHeight="1" thickBot="1" x14ac:dyDescent="0.25">
      <c r="A104" s="354"/>
      <c r="B104" s="395"/>
      <c r="C104" s="381"/>
      <c r="D104" s="381"/>
      <c r="E104" s="382"/>
      <c r="F104" s="383"/>
      <c r="G104" s="382"/>
      <c r="H104" s="382"/>
      <c r="I104" s="382"/>
      <c r="J104" s="384"/>
      <c r="K104" s="487"/>
      <c r="L104" s="354"/>
    </row>
    <row r="105" spans="1:12" ht="40.5" customHeight="1" x14ac:dyDescent="0.2">
      <c r="A105" s="354"/>
      <c r="B105" s="959" t="s">
        <v>538</v>
      </c>
      <c r="C105" s="960"/>
      <c r="D105" s="960"/>
      <c r="E105" s="960"/>
      <c r="F105" s="960"/>
      <c r="G105" s="960"/>
      <c r="H105" s="960"/>
      <c r="I105" s="960"/>
      <c r="J105" s="960"/>
      <c r="K105" s="960"/>
      <c r="L105" s="354"/>
    </row>
    <row r="106" spans="1:12" ht="15" customHeight="1" x14ac:dyDescent="0.2">
      <c r="A106" s="354"/>
      <c r="B106" s="961" t="s">
        <v>583</v>
      </c>
      <c r="C106" s="962"/>
      <c r="D106" s="962"/>
      <c r="E106" s="962"/>
      <c r="F106" s="962"/>
      <c r="G106" s="962"/>
      <c r="H106" s="962"/>
      <c r="I106" s="962"/>
      <c r="J106" s="962"/>
      <c r="K106" s="962"/>
      <c r="L106" s="354"/>
    </row>
    <row r="107" spans="1:12" ht="15" customHeight="1" x14ac:dyDescent="0.2">
      <c r="A107" s="354"/>
      <c r="B107" s="486"/>
      <c r="C107" s="396"/>
      <c r="D107" s="396"/>
      <c r="E107" s="488"/>
      <c r="F107" s="371"/>
      <c r="G107" s="488"/>
      <c r="H107" s="488"/>
      <c r="I107" s="488"/>
      <c r="J107" s="491"/>
      <c r="K107" s="486"/>
      <c r="L107" s="354"/>
    </row>
    <row r="108" spans="1:12" ht="15" customHeight="1" x14ac:dyDescent="0.2">
      <c r="A108" s="354"/>
      <c r="B108" s="961" t="s">
        <v>584</v>
      </c>
      <c r="C108" s="963"/>
      <c r="D108" s="963"/>
      <c r="E108" s="963"/>
      <c r="F108" s="963"/>
      <c r="G108" s="963"/>
      <c r="H108" s="963"/>
      <c r="I108" s="963"/>
      <c r="J108" s="963"/>
      <c r="K108" s="963"/>
      <c r="L108" s="354"/>
    </row>
    <row r="109" spans="1:12" ht="15" customHeight="1" x14ac:dyDescent="0.2">
      <c r="A109" s="354"/>
      <c r="B109" s="486"/>
      <c r="C109" s="396"/>
      <c r="D109" s="396"/>
      <c r="E109" s="488"/>
      <c r="F109" s="371"/>
      <c r="G109" s="488"/>
      <c r="H109" s="488"/>
      <c r="I109" s="488"/>
      <c r="J109" s="491"/>
      <c r="K109" s="486"/>
      <c r="L109" s="354"/>
    </row>
    <row r="110" spans="1:12" ht="59.25" customHeight="1" x14ac:dyDescent="0.2">
      <c r="A110" s="354"/>
      <c r="B110" s="964" t="s">
        <v>585</v>
      </c>
      <c r="C110" s="965"/>
      <c r="D110" s="965"/>
      <c r="E110" s="965"/>
      <c r="F110" s="965"/>
      <c r="G110" s="965"/>
      <c r="H110" s="965"/>
      <c r="I110" s="965"/>
      <c r="J110" s="965"/>
      <c r="K110" s="965"/>
      <c r="L110" s="354"/>
    </row>
    <row r="111" spans="1:12" ht="15" thickBot="1" x14ac:dyDescent="0.25">
      <c r="A111" s="354"/>
      <c r="B111" s="485"/>
      <c r="C111" s="485"/>
      <c r="D111" s="485"/>
      <c r="E111" s="485"/>
      <c r="F111" s="485"/>
      <c r="G111" s="485"/>
      <c r="H111" s="485"/>
      <c r="I111" s="485"/>
      <c r="J111" s="485"/>
      <c r="K111" s="485"/>
      <c r="L111" s="397"/>
    </row>
    <row r="112" spans="1:12" x14ac:dyDescent="0.2">
      <c r="A112" s="354"/>
      <c r="B112" s="360" t="s">
        <v>542</v>
      </c>
      <c r="C112" s="361"/>
      <c r="D112" s="361"/>
      <c r="E112" s="361"/>
      <c r="F112" s="361"/>
      <c r="G112" s="361"/>
      <c r="H112" s="361"/>
      <c r="I112" s="361"/>
      <c r="J112" s="361"/>
      <c r="K112" s="362"/>
      <c r="L112" s="354"/>
    </row>
    <row r="113" spans="1:12" x14ac:dyDescent="0.2">
      <c r="A113" s="354"/>
      <c r="B113" s="370"/>
      <c r="C113" s="364" t="s">
        <v>548</v>
      </c>
      <c r="D113" s="364"/>
      <c r="E113" s="364"/>
      <c r="F113" s="364"/>
      <c r="G113" s="364"/>
      <c r="H113" s="364"/>
      <c r="I113" s="364"/>
      <c r="J113" s="364"/>
      <c r="K113" s="365"/>
      <c r="L113" s="354"/>
    </row>
    <row r="114" spans="1:12" x14ac:dyDescent="0.2">
      <c r="A114" s="354"/>
      <c r="B114" s="370" t="s">
        <v>568</v>
      </c>
      <c r="C114" s="948">
        <v>3120000</v>
      </c>
      <c r="D114" s="948"/>
      <c r="E114" s="488" t="s">
        <v>547</v>
      </c>
      <c r="F114" s="488">
        <v>1000</v>
      </c>
      <c r="G114" s="488" t="s">
        <v>546</v>
      </c>
      <c r="H114" s="491">
        <f>C114/F114</f>
        <v>3120</v>
      </c>
      <c r="I114" s="364" t="s">
        <v>569</v>
      </c>
      <c r="J114" s="364"/>
      <c r="K114" s="365"/>
      <c r="L114" s="354"/>
    </row>
    <row r="115" spans="1:12" x14ac:dyDescent="0.2">
      <c r="A115" s="354"/>
      <c r="B115" s="370"/>
      <c r="C115" s="364"/>
      <c r="D115" s="364"/>
      <c r="E115" s="488"/>
      <c r="F115" s="364"/>
      <c r="G115" s="364"/>
      <c r="H115" s="364"/>
      <c r="I115" s="364"/>
      <c r="J115" s="364"/>
      <c r="K115" s="365"/>
      <c r="L115" s="354"/>
    </row>
    <row r="116" spans="1:12" x14ac:dyDescent="0.2">
      <c r="A116" s="354"/>
      <c r="B116" s="370"/>
      <c r="C116" s="364" t="s">
        <v>570</v>
      </c>
      <c r="D116" s="364"/>
      <c r="E116" s="488"/>
      <c r="F116" s="364" t="s">
        <v>569</v>
      </c>
      <c r="G116" s="364"/>
      <c r="H116" s="364"/>
      <c r="I116" s="364"/>
      <c r="J116" s="364"/>
      <c r="K116" s="365"/>
      <c r="L116" s="354"/>
    </row>
    <row r="117" spans="1:12" x14ac:dyDescent="0.2">
      <c r="A117" s="354"/>
      <c r="B117" s="370" t="s">
        <v>571</v>
      </c>
      <c r="C117" s="948">
        <v>5000</v>
      </c>
      <c r="D117" s="948"/>
      <c r="E117" s="488" t="s">
        <v>547</v>
      </c>
      <c r="F117" s="491">
        <f>H114</f>
        <v>3120</v>
      </c>
      <c r="G117" s="488" t="s">
        <v>546</v>
      </c>
      <c r="H117" s="371">
        <f>C117/F117</f>
        <v>1.6025641025641026</v>
      </c>
      <c r="I117" s="364" t="s">
        <v>572</v>
      </c>
      <c r="J117" s="364"/>
      <c r="K117" s="365"/>
      <c r="L117" s="354"/>
    </row>
    <row r="118" spans="1:12" x14ac:dyDescent="0.2">
      <c r="A118" s="354"/>
      <c r="B118" s="370"/>
      <c r="C118" s="364"/>
      <c r="D118" s="364"/>
      <c r="E118" s="488"/>
      <c r="F118" s="364"/>
      <c r="G118" s="364"/>
      <c r="H118" s="364"/>
      <c r="I118" s="364"/>
      <c r="J118" s="364"/>
      <c r="K118" s="365"/>
      <c r="L118" s="354"/>
    </row>
    <row r="119" spans="1:12" x14ac:dyDescent="0.2">
      <c r="A119" s="354"/>
      <c r="B119" s="378"/>
      <c r="C119" s="379" t="s">
        <v>582</v>
      </c>
      <c r="D119" s="379"/>
      <c r="E119" s="490"/>
      <c r="F119" s="379"/>
      <c r="G119" s="379"/>
      <c r="H119" s="379"/>
      <c r="I119" s="379"/>
      <c r="J119" s="379"/>
      <c r="K119" s="380"/>
      <c r="L119" s="354"/>
    </row>
    <row r="120" spans="1:12" x14ac:dyDescent="0.2">
      <c r="A120" s="354"/>
      <c r="B120" s="370" t="s">
        <v>574</v>
      </c>
      <c r="C120" s="948">
        <v>2500000</v>
      </c>
      <c r="D120" s="948"/>
      <c r="E120" s="488" t="s">
        <v>249</v>
      </c>
      <c r="F120" s="394">
        <v>0.25</v>
      </c>
      <c r="G120" s="488" t="s">
        <v>546</v>
      </c>
      <c r="H120" s="489">
        <f>C120*F120</f>
        <v>625000</v>
      </c>
      <c r="I120" s="364" t="s">
        <v>575</v>
      </c>
      <c r="J120" s="364"/>
      <c r="K120" s="365"/>
      <c r="L120" s="354"/>
    </row>
    <row r="121" spans="1:12" x14ac:dyDescent="0.2">
      <c r="A121" s="354"/>
      <c r="B121" s="370"/>
      <c r="C121" s="364"/>
      <c r="D121" s="364"/>
      <c r="E121" s="488"/>
      <c r="F121" s="364"/>
      <c r="G121" s="364"/>
      <c r="H121" s="364"/>
      <c r="I121" s="364"/>
      <c r="J121" s="364"/>
      <c r="K121" s="365"/>
      <c r="L121" s="354"/>
    </row>
    <row r="122" spans="1:12" x14ac:dyDescent="0.2">
      <c r="A122" s="354"/>
      <c r="B122" s="378"/>
      <c r="C122" s="379" t="s">
        <v>576</v>
      </c>
      <c r="D122" s="379"/>
      <c r="E122" s="490"/>
      <c r="F122" s="379" t="s">
        <v>572</v>
      </c>
      <c r="G122" s="379"/>
      <c r="H122" s="379"/>
      <c r="I122" s="379"/>
      <c r="J122" s="379" t="s">
        <v>577</v>
      </c>
      <c r="K122" s="380"/>
      <c r="L122" s="354"/>
    </row>
    <row r="123" spans="1:12" x14ac:dyDescent="0.2">
      <c r="A123" s="354"/>
      <c r="B123" s="370" t="s">
        <v>578</v>
      </c>
      <c r="C123" s="958">
        <f>H120</f>
        <v>625000</v>
      </c>
      <c r="D123" s="958"/>
      <c r="E123" s="488" t="s">
        <v>249</v>
      </c>
      <c r="F123" s="371">
        <f>H117</f>
        <v>1.6025641025641026</v>
      </c>
      <c r="G123" s="488" t="s">
        <v>547</v>
      </c>
      <c r="H123" s="488">
        <v>1000</v>
      </c>
      <c r="I123" s="488" t="s">
        <v>546</v>
      </c>
      <c r="J123" s="491">
        <f>C123*F123/H123</f>
        <v>1001.6025641025641</v>
      </c>
      <c r="K123" s="365"/>
      <c r="L123" s="354"/>
    </row>
    <row r="124" spans="1:12" ht="15" thickBot="1" x14ac:dyDescent="0.25">
      <c r="A124" s="354"/>
      <c r="B124" s="366"/>
      <c r="C124" s="381"/>
      <c r="D124" s="381"/>
      <c r="E124" s="382"/>
      <c r="F124" s="383"/>
      <c r="G124" s="382"/>
      <c r="H124" s="382"/>
      <c r="I124" s="382"/>
      <c r="J124" s="384"/>
      <c r="K124" s="368"/>
      <c r="L124" s="354"/>
    </row>
    <row r="125" spans="1:12" ht="40.5" customHeight="1" x14ac:dyDescent="0.2">
      <c r="A125" s="354"/>
      <c r="B125" s="959" t="s">
        <v>538</v>
      </c>
      <c r="C125" s="959"/>
      <c r="D125" s="959"/>
      <c r="E125" s="959"/>
      <c r="F125" s="959"/>
      <c r="G125" s="959"/>
      <c r="H125" s="959"/>
      <c r="I125" s="959"/>
      <c r="J125" s="959"/>
      <c r="K125" s="959"/>
      <c r="L125" s="397"/>
    </row>
    <row r="126" spans="1:12" x14ac:dyDescent="0.2">
      <c r="A126" s="354"/>
      <c r="B126" s="949" t="s">
        <v>586</v>
      </c>
      <c r="C126" s="949"/>
      <c r="D126" s="949"/>
      <c r="E126" s="949"/>
      <c r="F126" s="949"/>
      <c r="G126" s="949"/>
      <c r="H126" s="949"/>
      <c r="I126" s="949"/>
      <c r="J126" s="949"/>
      <c r="K126" s="949"/>
      <c r="L126" s="397"/>
    </row>
    <row r="127" spans="1:12" x14ac:dyDescent="0.2">
      <c r="A127" s="354"/>
      <c r="B127" s="485"/>
      <c r="C127" s="485"/>
      <c r="D127" s="485"/>
      <c r="E127" s="485"/>
      <c r="F127" s="485"/>
      <c r="G127" s="485"/>
      <c r="H127" s="485"/>
      <c r="I127" s="485"/>
      <c r="J127" s="485"/>
      <c r="K127" s="485"/>
      <c r="L127" s="397"/>
    </row>
    <row r="128" spans="1:12" x14ac:dyDescent="0.2">
      <c r="A128" s="354"/>
      <c r="B128" s="949" t="s">
        <v>587</v>
      </c>
      <c r="C128" s="949"/>
      <c r="D128" s="949"/>
      <c r="E128" s="949"/>
      <c r="F128" s="949"/>
      <c r="G128" s="949"/>
      <c r="H128" s="949"/>
      <c r="I128" s="949"/>
      <c r="J128" s="949"/>
      <c r="K128" s="949"/>
      <c r="L128" s="397"/>
    </row>
    <row r="129" spans="1:12" x14ac:dyDescent="0.2">
      <c r="A129" s="354"/>
      <c r="B129" s="484"/>
      <c r="C129" s="484"/>
      <c r="D129" s="484"/>
      <c r="E129" s="484"/>
      <c r="F129" s="484"/>
      <c r="G129" s="484"/>
      <c r="H129" s="484"/>
      <c r="I129" s="484"/>
      <c r="J129" s="484"/>
      <c r="K129" s="484"/>
      <c r="L129" s="397"/>
    </row>
    <row r="130" spans="1:12" ht="74.25" customHeight="1" x14ac:dyDescent="0.2">
      <c r="A130" s="354"/>
      <c r="B130" s="950" t="s">
        <v>588</v>
      </c>
      <c r="C130" s="950"/>
      <c r="D130" s="950"/>
      <c r="E130" s="950"/>
      <c r="F130" s="950"/>
      <c r="G130" s="950"/>
      <c r="H130" s="950"/>
      <c r="I130" s="950"/>
      <c r="J130" s="950"/>
      <c r="K130" s="950"/>
      <c r="L130" s="397"/>
    </row>
    <row r="131" spans="1:12" ht="15" thickBot="1" x14ac:dyDescent="0.25">
      <c r="A131" s="354"/>
      <c r="L131" s="354"/>
    </row>
    <row r="132" spans="1:12" x14ac:dyDescent="0.2">
      <c r="A132" s="354"/>
      <c r="B132" s="360" t="s">
        <v>542</v>
      </c>
      <c r="C132" s="361"/>
      <c r="D132" s="361"/>
      <c r="E132" s="361"/>
      <c r="F132" s="361"/>
      <c r="G132" s="361"/>
      <c r="H132" s="361"/>
      <c r="I132" s="361"/>
      <c r="J132" s="361"/>
      <c r="K132" s="362"/>
      <c r="L132" s="354"/>
    </row>
    <row r="133" spans="1:12" x14ac:dyDescent="0.2">
      <c r="A133" s="354"/>
      <c r="B133" s="370"/>
      <c r="C133" s="951" t="s">
        <v>589</v>
      </c>
      <c r="D133" s="951"/>
      <c r="E133" s="364"/>
      <c r="F133" s="488" t="s">
        <v>590</v>
      </c>
      <c r="G133" s="364"/>
      <c r="H133" s="951" t="s">
        <v>575</v>
      </c>
      <c r="I133" s="951"/>
      <c r="J133" s="364"/>
      <c r="K133" s="365"/>
      <c r="L133" s="354"/>
    </row>
    <row r="134" spans="1:12" x14ac:dyDescent="0.2">
      <c r="A134" s="354"/>
      <c r="B134" s="370" t="s">
        <v>568</v>
      </c>
      <c r="C134" s="948">
        <v>100000</v>
      </c>
      <c r="D134" s="948"/>
      <c r="E134" s="488" t="s">
        <v>249</v>
      </c>
      <c r="F134" s="488">
        <v>0.115</v>
      </c>
      <c r="G134" s="488" t="s">
        <v>546</v>
      </c>
      <c r="H134" s="952">
        <f>C134*F134</f>
        <v>11500</v>
      </c>
      <c r="I134" s="952"/>
      <c r="J134" s="364"/>
      <c r="K134" s="365"/>
      <c r="L134" s="354"/>
    </row>
    <row r="135" spans="1:12" x14ac:dyDescent="0.2">
      <c r="A135" s="354"/>
      <c r="B135" s="370"/>
      <c r="C135" s="364"/>
      <c r="D135" s="364"/>
      <c r="E135" s="364"/>
      <c r="F135" s="364"/>
      <c r="G135" s="364"/>
      <c r="H135" s="364"/>
      <c r="I135" s="364"/>
      <c r="J135" s="364"/>
      <c r="K135" s="365"/>
      <c r="L135" s="354"/>
    </row>
    <row r="136" spans="1:12" x14ac:dyDescent="0.2">
      <c r="A136" s="354"/>
      <c r="B136" s="378"/>
      <c r="C136" s="953" t="s">
        <v>575</v>
      </c>
      <c r="D136" s="953"/>
      <c r="E136" s="379"/>
      <c r="F136" s="490" t="s">
        <v>591</v>
      </c>
      <c r="G136" s="490"/>
      <c r="H136" s="379"/>
      <c r="I136" s="379"/>
      <c r="J136" s="379" t="s">
        <v>592</v>
      </c>
      <c r="K136" s="380"/>
      <c r="L136" s="354"/>
    </row>
    <row r="137" spans="1:12" x14ac:dyDescent="0.2">
      <c r="A137" s="354"/>
      <c r="B137" s="370" t="s">
        <v>571</v>
      </c>
      <c r="C137" s="952">
        <f>H134</f>
        <v>11500</v>
      </c>
      <c r="D137" s="952"/>
      <c r="E137" s="488" t="s">
        <v>249</v>
      </c>
      <c r="F137" s="398">
        <v>52.869</v>
      </c>
      <c r="G137" s="488" t="s">
        <v>547</v>
      </c>
      <c r="H137" s="488">
        <v>1000</v>
      </c>
      <c r="I137" s="488" t="s">
        <v>546</v>
      </c>
      <c r="J137" s="399">
        <f>C137*F137/H137</f>
        <v>607.99350000000004</v>
      </c>
      <c r="K137" s="365"/>
      <c r="L137" s="354"/>
    </row>
    <row r="138" spans="1:12" ht="15" thickBot="1" x14ac:dyDescent="0.25">
      <c r="A138" s="354"/>
      <c r="B138" s="366"/>
      <c r="C138" s="400"/>
      <c r="D138" s="400"/>
      <c r="E138" s="382"/>
      <c r="F138" s="401"/>
      <c r="G138" s="382"/>
      <c r="H138" s="382"/>
      <c r="I138" s="382"/>
      <c r="J138" s="402"/>
      <c r="K138" s="368"/>
      <c r="L138" s="354"/>
    </row>
    <row r="139" spans="1:12" ht="40.5" customHeight="1" x14ac:dyDescent="0.2">
      <c r="A139" s="354"/>
      <c r="B139" s="403" t="s">
        <v>538</v>
      </c>
      <c r="C139" s="404"/>
      <c r="D139" s="404"/>
      <c r="E139" s="405"/>
      <c r="F139" s="406"/>
      <c r="G139" s="405"/>
      <c r="H139" s="405"/>
      <c r="I139" s="405"/>
      <c r="J139" s="407"/>
      <c r="K139" s="408"/>
      <c r="L139" s="354"/>
    </row>
    <row r="140" spans="1:12" x14ac:dyDescent="0.2">
      <c r="A140" s="354"/>
      <c r="B140" s="409" t="s">
        <v>593</v>
      </c>
      <c r="C140" s="410"/>
      <c r="D140" s="410"/>
      <c r="E140" s="411"/>
      <c r="F140" s="412"/>
      <c r="G140" s="411"/>
      <c r="H140" s="411"/>
      <c r="I140" s="411"/>
      <c r="J140" s="413"/>
      <c r="K140" s="414"/>
      <c r="L140" s="354"/>
    </row>
    <row r="141" spans="1:12" x14ac:dyDescent="0.2">
      <c r="A141" s="354"/>
      <c r="B141" s="370"/>
      <c r="C141" s="489"/>
      <c r="D141" s="489"/>
      <c r="E141" s="488"/>
      <c r="F141" s="415"/>
      <c r="G141" s="488"/>
      <c r="H141" s="488"/>
      <c r="I141" s="488"/>
      <c r="J141" s="399"/>
      <c r="K141" s="365"/>
      <c r="L141" s="354"/>
    </row>
    <row r="142" spans="1:12" x14ac:dyDescent="0.2">
      <c r="A142" s="354"/>
      <c r="B142" s="409" t="s">
        <v>594</v>
      </c>
      <c r="C142" s="410"/>
      <c r="D142" s="410"/>
      <c r="E142" s="411"/>
      <c r="F142" s="412"/>
      <c r="G142" s="411"/>
      <c r="H142" s="411"/>
      <c r="I142" s="411"/>
      <c r="J142" s="413"/>
      <c r="K142" s="414"/>
      <c r="L142" s="354"/>
    </row>
    <row r="143" spans="1:12" x14ac:dyDescent="0.2">
      <c r="A143" s="354"/>
      <c r="B143" s="370"/>
      <c r="C143" s="489"/>
      <c r="D143" s="489"/>
      <c r="E143" s="488"/>
      <c r="F143" s="415"/>
      <c r="G143" s="488"/>
      <c r="H143" s="488"/>
      <c r="I143" s="488"/>
      <c r="J143" s="399"/>
      <c r="K143" s="365"/>
      <c r="L143" s="354"/>
    </row>
    <row r="144" spans="1:12" ht="76.5" customHeight="1" x14ac:dyDescent="0.2">
      <c r="A144" s="354"/>
      <c r="B144" s="954" t="s">
        <v>595</v>
      </c>
      <c r="C144" s="955"/>
      <c r="D144" s="955"/>
      <c r="E144" s="955"/>
      <c r="F144" s="955"/>
      <c r="G144" s="955"/>
      <c r="H144" s="955"/>
      <c r="I144" s="955"/>
      <c r="J144" s="955"/>
      <c r="K144" s="956"/>
      <c r="L144" s="354"/>
    </row>
    <row r="145" spans="1:12" ht="15" thickBot="1" x14ac:dyDescent="0.25">
      <c r="A145" s="354"/>
      <c r="B145" s="370"/>
      <c r="C145" s="489"/>
      <c r="D145" s="489"/>
      <c r="E145" s="488"/>
      <c r="F145" s="415"/>
      <c r="G145" s="488"/>
      <c r="H145" s="488"/>
      <c r="I145" s="488"/>
      <c r="J145" s="399"/>
      <c r="K145" s="365"/>
      <c r="L145" s="354"/>
    </row>
    <row r="146" spans="1:12" x14ac:dyDescent="0.2">
      <c r="A146" s="354"/>
      <c r="B146" s="360" t="s">
        <v>542</v>
      </c>
      <c r="C146" s="416"/>
      <c r="D146" s="416"/>
      <c r="E146" s="417"/>
      <c r="F146" s="418"/>
      <c r="G146" s="417"/>
      <c r="H146" s="417"/>
      <c r="I146" s="417"/>
      <c r="J146" s="419"/>
      <c r="K146" s="362"/>
      <c r="L146" s="354"/>
    </row>
    <row r="147" spans="1:12" x14ac:dyDescent="0.2">
      <c r="A147" s="354"/>
      <c r="B147" s="370"/>
      <c r="C147" s="952" t="s">
        <v>596</v>
      </c>
      <c r="D147" s="952"/>
      <c r="E147" s="488"/>
      <c r="F147" s="415" t="s">
        <v>597</v>
      </c>
      <c r="G147" s="488"/>
      <c r="H147" s="488"/>
      <c r="I147" s="488"/>
      <c r="J147" s="946" t="s">
        <v>598</v>
      </c>
      <c r="K147" s="957"/>
      <c r="L147" s="354"/>
    </row>
    <row r="148" spans="1:12" x14ac:dyDescent="0.2">
      <c r="A148" s="354"/>
      <c r="B148" s="370"/>
      <c r="C148" s="945">
        <v>52.869</v>
      </c>
      <c r="D148" s="945"/>
      <c r="E148" s="488" t="s">
        <v>249</v>
      </c>
      <c r="F148" s="948">
        <v>3120000</v>
      </c>
      <c r="G148" s="948"/>
      <c r="H148" s="488">
        <v>1000</v>
      </c>
      <c r="I148" s="488" t="s">
        <v>546</v>
      </c>
      <c r="J148" s="946">
        <f>C148*(F148/1000)</f>
        <v>164951.28</v>
      </c>
      <c r="K148" s="947"/>
      <c r="L148" s="354"/>
    </row>
    <row r="149" spans="1:12" ht="15" thickBot="1" x14ac:dyDescent="0.25">
      <c r="A149" s="354"/>
      <c r="B149" s="366"/>
      <c r="C149" s="400"/>
      <c r="D149" s="400"/>
      <c r="E149" s="382"/>
      <c r="F149" s="401"/>
      <c r="G149" s="382"/>
      <c r="H149" s="382"/>
      <c r="I149" s="382"/>
      <c r="J149" s="402"/>
      <c r="K149" s="368"/>
      <c r="L149" s="354"/>
    </row>
    <row r="150" spans="1:12" ht="15" thickBot="1" x14ac:dyDescent="0.25">
      <c r="A150" s="354"/>
      <c r="B150" s="366"/>
      <c r="C150" s="367"/>
      <c r="D150" s="367"/>
      <c r="E150" s="367"/>
      <c r="F150" s="367"/>
      <c r="G150" s="367"/>
      <c r="H150" s="367"/>
      <c r="I150" s="367"/>
      <c r="J150" s="367"/>
      <c r="K150" s="368"/>
      <c r="L150" s="354"/>
    </row>
    <row r="151" spans="1:12" x14ac:dyDescent="0.2">
      <c r="A151" s="354"/>
      <c r="B151" s="354"/>
      <c r="C151" s="354"/>
      <c r="D151" s="354"/>
      <c r="E151" s="354"/>
      <c r="F151" s="354"/>
      <c r="G151" s="354"/>
      <c r="H151" s="354"/>
      <c r="I151" s="354"/>
      <c r="J151" s="354"/>
      <c r="K151" s="354"/>
      <c r="L151" s="354"/>
    </row>
    <row r="152" spans="1:12" x14ac:dyDescent="0.2">
      <c r="A152" s="354"/>
      <c r="B152" s="354"/>
      <c r="C152" s="354"/>
      <c r="D152" s="354"/>
      <c r="E152" s="354"/>
      <c r="F152" s="354"/>
      <c r="G152" s="354"/>
      <c r="H152" s="354"/>
      <c r="I152" s="354"/>
      <c r="J152" s="354"/>
      <c r="K152" s="354"/>
      <c r="L152" s="354"/>
    </row>
    <row r="153" spans="1:12" x14ac:dyDescent="0.2">
      <c r="A153" s="354"/>
      <c r="B153" s="354"/>
      <c r="C153" s="354"/>
      <c r="D153" s="354"/>
      <c r="E153" s="354"/>
      <c r="F153" s="354"/>
      <c r="G153" s="354"/>
      <c r="H153" s="354"/>
      <c r="I153" s="354"/>
      <c r="J153" s="354"/>
      <c r="K153" s="354"/>
      <c r="L153" s="354"/>
    </row>
    <row r="154" spans="1:12" x14ac:dyDescent="0.2">
      <c r="A154" s="420"/>
      <c r="B154" s="420"/>
      <c r="C154" s="420"/>
      <c r="D154" s="420"/>
      <c r="E154" s="420"/>
      <c r="F154" s="420"/>
      <c r="G154" s="420"/>
      <c r="H154" s="420"/>
      <c r="I154" s="420"/>
      <c r="J154" s="420"/>
      <c r="K154" s="420"/>
      <c r="L154" s="420"/>
    </row>
    <row r="155" spans="1:12" x14ac:dyDescent="0.2">
      <c r="A155" s="420"/>
      <c r="B155" s="420"/>
      <c r="C155" s="420"/>
      <c r="D155" s="420"/>
      <c r="E155" s="420"/>
      <c r="F155" s="420"/>
      <c r="G155" s="420"/>
      <c r="H155" s="420"/>
      <c r="I155" s="420"/>
      <c r="J155" s="420"/>
      <c r="K155" s="420"/>
      <c r="L155" s="420"/>
    </row>
    <row r="156" spans="1:12" x14ac:dyDescent="0.2">
      <c r="A156" s="420"/>
      <c r="B156" s="420"/>
      <c r="C156" s="420"/>
      <c r="D156" s="420"/>
      <c r="E156" s="420"/>
      <c r="F156" s="420"/>
      <c r="G156" s="420"/>
      <c r="H156" s="420"/>
      <c r="I156" s="420"/>
      <c r="J156" s="420"/>
      <c r="K156" s="420"/>
      <c r="L156" s="420"/>
    </row>
    <row r="157" spans="1:12" x14ac:dyDescent="0.2">
      <c r="A157" s="420"/>
      <c r="B157" s="420"/>
      <c r="C157" s="420"/>
      <c r="D157" s="420"/>
      <c r="E157" s="420"/>
      <c r="F157" s="420"/>
      <c r="G157" s="420"/>
      <c r="H157" s="420"/>
      <c r="I157" s="420"/>
      <c r="J157" s="420"/>
      <c r="K157" s="420"/>
      <c r="L157" s="420"/>
    </row>
    <row r="158" spans="1:12" x14ac:dyDescent="0.2">
      <c r="A158" s="420"/>
      <c r="B158" s="420"/>
      <c r="C158" s="420"/>
      <c r="D158" s="420"/>
      <c r="E158" s="420"/>
      <c r="F158" s="420"/>
      <c r="G158" s="420"/>
      <c r="H158" s="420"/>
      <c r="I158" s="420"/>
      <c r="J158" s="420"/>
      <c r="K158" s="420"/>
      <c r="L158" s="420"/>
    </row>
    <row r="159" spans="1:12" x14ac:dyDescent="0.2">
      <c r="A159" s="420"/>
      <c r="B159" s="420"/>
      <c r="C159" s="420"/>
      <c r="D159" s="420"/>
      <c r="E159" s="420"/>
      <c r="F159" s="420"/>
      <c r="G159" s="420"/>
      <c r="H159" s="420"/>
      <c r="I159" s="420"/>
      <c r="J159" s="420"/>
      <c r="K159" s="420"/>
      <c r="L159" s="420"/>
    </row>
    <row r="160" spans="1:12" x14ac:dyDescent="0.2">
      <c r="A160" s="420"/>
      <c r="B160" s="420"/>
      <c r="C160" s="420"/>
      <c r="D160" s="420"/>
      <c r="E160" s="420"/>
      <c r="F160" s="420"/>
      <c r="G160" s="420"/>
      <c r="H160" s="420"/>
      <c r="I160" s="420"/>
      <c r="J160" s="420"/>
      <c r="K160" s="420"/>
      <c r="L160" s="420"/>
    </row>
    <row r="161" spans="1:12" x14ac:dyDescent="0.2">
      <c r="A161" s="420"/>
      <c r="B161" s="420"/>
      <c r="C161" s="420"/>
      <c r="D161" s="420"/>
      <c r="E161" s="420"/>
      <c r="F161" s="420"/>
      <c r="G161" s="420"/>
      <c r="H161" s="420"/>
      <c r="I161" s="420"/>
      <c r="J161" s="420"/>
      <c r="K161" s="420"/>
      <c r="L161" s="420"/>
    </row>
    <row r="162" spans="1:12" x14ac:dyDescent="0.2">
      <c r="A162" s="420"/>
      <c r="B162" s="420"/>
      <c r="C162" s="420"/>
      <c r="D162" s="420"/>
      <c r="E162" s="420"/>
      <c r="F162" s="420"/>
      <c r="G162" s="420"/>
      <c r="H162" s="420"/>
      <c r="I162" s="420"/>
      <c r="J162" s="420"/>
      <c r="K162" s="420"/>
      <c r="L162" s="420"/>
    </row>
    <row r="163" spans="1:12" x14ac:dyDescent="0.2">
      <c r="A163" s="420"/>
      <c r="B163" s="420"/>
      <c r="C163" s="420"/>
      <c r="D163" s="420"/>
      <c r="E163" s="420"/>
      <c r="F163" s="420"/>
      <c r="G163" s="420"/>
      <c r="H163" s="420"/>
      <c r="I163" s="420"/>
      <c r="J163" s="420"/>
      <c r="K163" s="420"/>
      <c r="L163" s="420"/>
    </row>
    <row r="164" spans="1:12" x14ac:dyDescent="0.2">
      <c r="A164" s="420"/>
      <c r="B164" s="420"/>
      <c r="C164" s="420"/>
      <c r="D164" s="420"/>
      <c r="E164" s="420"/>
      <c r="F164" s="420"/>
      <c r="G164" s="420"/>
      <c r="H164" s="420"/>
      <c r="I164" s="420"/>
      <c r="J164" s="420"/>
      <c r="K164" s="420"/>
      <c r="L164" s="420"/>
    </row>
    <row r="165" spans="1:12" x14ac:dyDescent="0.2">
      <c r="A165" s="420"/>
      <c r="B165" s="420"/>
      <c r="C165" s="420"/>
      <c r="D165" s="420"/>
      <c r="E165" s="420"/>
      <c r="F165" s="420"/>
      <c r="G165" s="420"/>
      <c r="H165" s="420"/>
      <c r="I165" s="420"/>
      <c r="J165" s="420"/>
      <c r="K165" s="420"/>
      <c r="L165" s="420"/>
    </row>
    <row r="166" spans="1:12" x14ac:dyDescent="0.2">
      <c r="A166" s="420"/>
      <c r="B166" s="420"/>
      <c r="C166" s="420"/>
      <c r="D166" s="420"/>
      <c r="E166" s="420"/>
      <c r="F166" s="420"/>
      <c r="G166" s="420"/>
      <c r="H166" s="420"/>
      <c r="I166" s="420"/>
      <c r="J166" s="420"/>
      <c r="K166" s="420"/>
      <c r="L166" s="420"/>
    </row>
    <row r="167" spans="1:12" x14ac:dyDescent="0.2">
      <c r="A167" s="420"/>
      <c r="B167" s="420"/>
      <c r="C167" s="420"/>
      <c r="D167" s="420"/>
      <c r="E167" s="420"/>
      <c r="F167" s="420"/>
      <c r="G167" s="420"/>
      <c r="H167" s="420"/>
      <c r="I167" s="420"/>
      <c r="J167" s="420"/>
      <c r="K167" s="420"/>
      <c r="L167" s="420"/>
    </row>
    <row r="168" spans="1:12" x14ac:dyDescent="0.2">
      <c r="A168" s="420"/>
      <c r="B168" s="420"/>
      <c r="C168" s="420"/>
      <c r="D168" s="420"/>
      <c r="E168" s="420"/>
      <c r="F168" s="420"/>
      <c r="G168" s="420"/>
      <c r="H168" s="420"/>
      <c r="I168" s="420"/>
      <c r="J168" s="420"/>
      <c r="K168" s="420"/>
      <c r="L168" s="420"/>
    </row>
    <row r="169" spans="1:12" x14ac:dyDescent="0.2">
      <c r="A169" s="420"/>
      <c r="B169" s="420"/>
      <c r="C169" s="420"/>
      <c r="D169" s="420"/>
      <c r="E169" s="420"/>
      <c r="F169" s="420"/>
      <c r="G169" s="420"/>
      <c r="H169" s="420"/>
      <c r="I169" s="420"/>
      <c r="J169" s="420"/>
      <c r="K169" s="420"/>
      <c r="L169" s="420"/>
    </row>
    <row r="170" spans="1:12" x14ac:dyDescent="0.2">
      <c r="A170" s="420"/>
      <c r="B170" s="420"/>
      <c r="C170" s="420"/>
      <c r="D170" s="420"/>
      <c r="E170" s="420"/>
      <c r="F170" s="420"/>
      <c r="G170" s="420"/>
      <c r="H170" s="420"/>
      <c r="I170" s="420"/>
      <c r="J170" s="420"/>
      <c r="K170" s="420"/>
      <c r="L170" s="420"/>
    </row>
    <row r="171" spans="1:12" x14ac:dyDescent="0.2">
      <c r="A171" s="420"/>
      <c r="B171" s="420"/>
      <c r="C171" s="420"/>
      <c r="D171" s="420"/>
      <c r="E171" s="420"/>
      <c r="F171" s="420"/>
      <c r="G171" s="420"/>
      <c r="H171" s="420"/>
      <c r="I171" s="420"/>
      <c r="J171" s="420"/>
      <c r="K171" s="420"/>
      <c r="L171" s="420"/>
    </row>
    <row r="172" spans="1:12" x14ac:dyDescent="0.2">
      <c r="A172" s="420"/>
      <c r="B172" s="420"/>
      <c r="C172" s="420"/>
      <c r="D172" s="420"/>
      <c r="E172" s="420"/>
      <c r="F172" s="420"/>
      <c r="G172" s="420"/>
      <c r="H172" s="420"/>
      <c r="I172" s="420"/>
      <c r="J172" s="420"/>
      <c r="K172" s="420"/>
      <c r="L172" s="420"/>
    </row>
    <row r="173" spans="1:12" x14ac:dyDescent="0.2">
      <c r="A173" s="420"/>
      <c r="B173" s="420"/>
      <c r="C173" s="420"/>
      <c r="D173" s="420"/>
      <c r="E173" s="420"/>
      <c r="F173" s="420"/>
      <c r="G173" s="420"/>
      <c r="H173" s="420"/>
      <c r="I173" s="420"/>
      <c r="J173" s="420"/>
      <c r="K173" s="420"/>
      <c r="L173" s="420"/>
    </row>
    <row r="174" spans="1:12" x14ac:dyDescent="0.2">
      <c r="A174" s="420"/>
      <c r="B174" s="420"/>
      <c r="C174" s="420"/>
      <c r="D174" s="420"/>
      <c r="E174" s="420"/>
      <c r="F174" s="420"/>
      <c r="G174" s="420"/>
      <c r="H174" s="420"/>
      <c r="I174" s="420"/>
      <c r="J174" s="420"/>
      <c r="K174" s="420"/>
      <c r="L174" s="420"/>
    </row>
    <row r="175" spans="1:12" x14ac:dyDescent="0.2">
      <c r="A175" s="420"/>
      <c r="B175" s="420"/>
      <c r="C175" s="420"/>
      <c r="D175" s="420"/>
      <c r="E175" s="420"/>
      <c r="F175" s="420"/>
      <c r="G175" s="420"/>
      <c r="H175" s="420"/>
      <c r="I175" s="420"/>
      <c r="J175" s="420"/>
      <c r="K175" s="420"/>
      <c r="L175" s="420"/>
    </row>
    <row r="176" spans="1:12" x14ac:dyDescent="0.2">
      <c r="A176" s="420"/>
      <c r="B176" s="420"/>
      <c r="C176" s="420"/>
      <c r="D176" s="420"/>
      <c r="E176" s="420"/>
      <c r="F176" s="420"/>
      <c r="G176" s="420"/>
      <c r="H176" s="420"/>
      <c r="I176" s="420"/>
      <c r="J176" s="420"/>
      <c r="K176" s="420"/>
      <c r="L176" s="420"/>
    </row>
    <row r="177" spans="1:12" x14ac:dyDescent="0.2">
      <c r="A177" s="420"/>
      <c r="B177" s="420"/>
      <c r="C177" s="420"/>
      <c r="D177" s="420"/>
      <c r="E177" s="420"/>
      <c r="F177" s="420"/>
      <c r="G177" s="420"/>
      <c r="H177" s="420"/>
      <c r="I177" s="420"/>
      <c r="J177" s="420"/>
      <c r="K177" s="420"/>
      <c r="L177" s="420"/>
    </row>
    <row r="178" spans="1:12" x14ac:dyDescent="0.2">
      <c r="A178" s="420"/>
      <c r="B178" s="420"/>
      <c r="C178" s="420"/>
      <c r="D178" s="420"/>
      <c r="E178" s="420"/>
      <c r="F178" s="420"/>
      <c r="G178" s="420"/>
      <c r="H178" s="420"/>
      <c r="I178" s="420"/>
      <c r="J178" s="420"/>
      <c r="K178" s="420"/>
      <c r="L178" s="420"/>
    </row>
    <row r="179" spans="1:12" x14ac:dyDescent="0.2">
      <c r="A179" s="420"/>
      <c r="B179" s="420"/>
      <c r="C179" s="420"/>
      <c r="D179" s="420"/>
      <c r="E179" s="420"/>
      <c r="F179" s="420"/>
      <c r="G179" s="420"/>
      <c r="H179" s="420"/>
      <c r="I179" s="420"/>
      <c r="J179" s="420"/>
      <c r="K179" s="420"/>
      <c r="L179" s="420"/>
    </row>
    <row r="180" spans="1:12" x14ac:dyDescent="0.2">
      <c r="A180" s="420"/>
      <c r="B180" s="420"/>
      <c r="C180" s="420"/>
      <c r="D180" s="420"/>
      <c r="E180" s="420"/>
      <c r="F180" s="420"/>
      <c r="G180" s="420"/>
      <c r="H180" s="420"/>
      <c r="I180" s="420"/>
      <c r="J180" s="420"/>
      <c r="K180" s="420"/>
      <c r="L180" s="420"/>
    </row>
    <row r="181" spans="1:12" x14ac:dyDescent="0.2">
      <c r="A181" s="420"/>
      <c r="B181" s="420"/>
      <c r="C181" s="420"/>
      <c r="D181" s="420"/>
      <c r="E181" s="420"/>
      <c r="F181" s="420"/>
      <c r="G181" s="420"/>
      <c r="H181" s="420"/>
      <c r="I181" s="420"/>
      <c r="J181" s="420"/>
      <c r="K181" s="420"/>
      <c r="L181" s="420"/>
    </row>
    <row r="182" spans="1:12" x14ac:dyDescent="0.2">
      <c r="A182" s="420"/>
      <c r="B182" s="420"/>
      <c r="C182" s="420"/>
      <c r="D182" s="420"/>
      <c r="E182" s="420"/>
      <c r="F182" s="420"/>
      <c r="G182" s="420"/>
      <c r="H182" s="420"/>
      <c r="I182" s="420"/>
      <c r="J182" s="420"/>
      <c r="K182" s="420"/>
      <c r="L182" s="420"/>
    </row>
    <row r="183" spans="1:12" x14ac:dyDescent="0.2">
      <c r="A183" s="420"/>
      <c r="B183" s="420"/>
      <c r="C183" s="420"/>
      <c r="D183" s="420"/>
      <c r="E183" s="420"/>
      <c r="F183" s="420"/>
      <c r="G183" s="420"/>
      <c r="H183" s="420"/>
      <c r="I183" s="420"/>
      <c r="J183" s="420"/>
      <c r="K183" s="420"/>
      <c r="L183" s="420"/>
    </row>
    <row r="184" spans="1:12" x14ac:dyDescent="0.2">
      <c r="A184" s="420"/>
      <c r="B184" s="420"/>
      <c r="C184" s="420"/>
      <c r="D184" s="420"/>
      <c r="E184" s="420"/>
      <c r="F184" s="420"/>
      <c r="G184" s="420"/>
      <c r="H184" s="420"/>
      <c r="I184" s="420"/>
      <c r="J184" s="420"/>
      <c r="K184" s="420"/>
      <c r="L184" s="420"/>
    </row>
    <row r="185" spans="1:12" x14ac:dyDescent="0.2">
      <c r="A185" s="420"/>
      <c r="B185" s="420"/>
      <c r="C185" s="420"/>
      <c r="D185" s="420"/>
      <c r="E185" s="420"/>
      <c r="F185" s="420"/>
      <c r="G185" s="420"/>
      <c r="H185" s="420"/>
      <c r="I185" s="420"/>
      <c r="J185" s="420"/>
      <c r="K185" s="420"/>
      <c r="L185" s="420"/>
    </row>
    <row r="186" spans="1:12" x14ac:dyDescent="0.2">
      <c r="A186" s="420"/>
      <c r="B186" s="420"/>
      <c r="C186" s="420"/>
      <c r="D186" s="420"/>
      <c r="E186" s="420"/>
      <c r="F186" s="420"/>
      <c r="G186" s="420"/>
      <c r="H186" s="420"/>
      <c r="I186" s="420"/>
      <c r="J186" s="420"/>
      <c r="K186" s="420"/>
      <c r="L186" s="420"/>
    </row>
    <row r="187" spans="1:12" x14ac:dyDescent="0.2">
      <c r="A187" s="420"/>
      <c r="B187" s="420"/>
      <c r="C187" s="420"/>
      <c r="D187" s="420"/>
      <c r="E187" s="420"/>
      <c r="F187" s="420"/>
      <c r="G187" s="420"/>
      <c r="H187" s="420"/>
      <c r="I187" s="420"/>
      <c r="J187" s="420"/>
      <c r="K187" s="420"/>
      <c r="L187" s="420"/>
    </row>
    <row r="188" spans="1:12" x14ac:dyDescent="0.2">
      <c r="A188" s="420"/>
      <c r="B188" s="420"/>
      <c r="C188" s="420"/>
      <c r="D188" s="420"/>
      <c r="E188" s="420"/>
      <c r="F188" s="420"/>
      <c r="G188" s="420"/>
      <c r="H188" s="420"/>
      <c r="I188" s="420"/>
      <c r="J188" s="420"/>
      <c r="K188" s="420"/>
      <c r="L188" s="420"/>
    </row>
    <row r="189" spans="1:12" x14ac:dyDescent="0.2">
      <c r="A189" s="420"/>
      <c r="B189" s="420"/>
      <c r="C189" s="420"/>
      <c r="D189" s="420"/>
      <c r="E189" s="420"/>
      <c r="F189" s="420"/>
      <c r="G189" s="420"/>
      <c r="H189" s="420"/>
      <c r="I189" s="420"/>
      <c r="J189" s="420"/>
      <c r="K189" s="420"/>
      <c r="L189" s="420"/>
    </row>
    <row r="190" spans="1:12" x14ac:dyDescent="0.2">
      <c r="A190" s="420"/>
      <c r="B190" s="420"/>
      <c r="C190" s="420"/>
      <c r="D190" s="420"/>
      <c r="E190" s="420"/>
      <c r="F190" s="420"/>
      <c r="G190" s="420"/>
      <c r="H190" s="420"/>
      <c r="I190" s="420"/>
      <c r="J190" s="420"/>
      <c r="K190" s="420"/>
      <c r="L190" s="420"/>
    </row>
    <row r="191" spans="1:12" x14ac:dyDescent="0.2">
      <c r="A191" s="420"/>
      <c r="B191" s="420"/>
      <c r="C191" s="420"/>
      <c r="D191" s="420"/>
      <c r="E191" s="420"/>
      <c r="F191" s="420"/>
      <c r="G191" s="420"/>
      <c r="H191" s="420"/>
      <c r="I191" s="420"/>
      <c r="J191" s="420"/>
      <c r="K191" s="420"/>
      <c r="L191" s="420"/>
    </row>
    <row r="192" spans="1:12" x14ac:dyDescent="0.2">
      <c r="A192" s="420"/>
      <c r="B192" s="420"/>
      <c r="C192" s="420"/>
      <c r="D192" s="420"/>
      <c r="E192" s="420"/>
      <c r="F192" s="420"/>
      <c r="G192" s="420"/>
      <c r="H192" s="420"/>
      <c r="I192" s="420"/>
      <c r="J192" s="420"/>
      <c r="K192" s="420"/>
      <c r="L192" s="420"/>
    </row>
    <row r="193" spans="1:12" x14ac:dyDescent="0.2">
      <c r="A193" s="420"/>
      <c r="B193" s="420"/>
      <c r="C193" s="420"/>
      <c r="D193" s="420"/>
      <c r="E193" s="420"/>
      <c r="F193" s="420"/>
      <c r="G193" s="420"/>
      <c r="H193" s="420"/>
      <c r="I193" s="420"/>
      <c r="J193" s="420"/>
      <c r="K193" s="420"/>
      <c r="L193" s="420"/>
    </row>
    <row r="194" spans="1:12" x14ac:dyDescent="0.2">
      <c r="A194" s="420"/>
      <c r="B194" s="420"/>
      <c r="C194" s="420"/>
      <c r="D194" s="420"/>
      <c r="E194" s="420"/>
      <c r="F194" s="420"/>
      <c r="G194" s="420"/>
      <c r="H194" s="420"/>
      <c r="I194" s="420"/>
      <c r="J194" s="420"/>
      <c r="K194" s="420"/>
      <c r="L194" s="420"/>
    </row>
    <row r="195" spans="1:12" x14ac:dyDescent="0.2">
      <c r="A195" s="420"/>
      <c r="B195" s="420"/>
      <c r="C195" s="420"/>
      <c r="D195" s="420"/>
      <c r="E195" s="420"/>
      <c r="F195" s="420"/>
      <c r="G195" s="420"/>
      <c r="H195" s="420"/>
      <c r="I195" s="420"/>
      <c r="J195" s="420"/>
      <c r="K195" s="420"/>
      <c r="L195" s="420"/>
    </row>
    <row r="196" spans="1:12" x14ac:dyDescent="0.2">
      <c r="A196" s="420"/>
      <c r="B196" s="420"/>
      <c r="C196" s="420"/>
      <c r="D196" s="420"/>
      <c r="E196" s="420"/>
      <c r="F196" s="420"/>
      <c r="G196" s="420"/>
      <c r="H196" s="420"/>
      <c r="I196" s="420"/>
      <c r="J196" s="420"/>
      <c r="K196" s="420"/>
      <c r="L196" s="420"/>
    </row>
    <row r="197" spans="1:12" x14ac:dyDescent="0.2">
      <c r="A197" s="420"/>
      <c r="B197" s="420"/>
      <c r="C197" s="420"/>
      <c r="D197" s="420"/>
      <c r="E197" s="420"/>
      <c r="F197" s="420"/>
      <c r="G197" s="420"/>
      <c r="H197" s="420"/>
      <c r="I197" s="420"/>
      <c r="J197" s="420"/>
      <c r="K197" s="420"/>
      <c r="L197" s="420"/>
    </row>
    <row r="198" spans="1:12" x14ac:dyDescent="0.2">
      <c r="A198" s="420"/>
      <c r="B198" s="420"/>
      <c r="C198" s="420"/>
      <c r="D198" s="420"/>
      <c r="E198" s="420"/>
      <c r="F198" s="420"/>
      <c r="G198" s="420"/>
      <c r="H198" s="420"/>
      <c r="I198" s="420"/>
      <c r="J198" s="420"/>
      <c r="K198" s="420"/>
      <c r="L198" s="420"/>
    </row>
    <row r="199" spans="1:12" x14ac:dyDescent="0.2">
      <c r="A199" s="420"/>
      <c r="B199" s="420"/>
      <c r="C199" s="420"/>
      <c r="D199" s="420"/>
      <c r="E199" s="420"/>
      <c r="F199" s="420"/>
      <c r="G199" s="420"/>
      <c r="H199" s="420"/>
      <c r="I199" s="420"/>
      <c r="J199" s="420"/>
      <c r="K199" s="420"/>
      <c r="L199" s="420"/>
    </row>
    <row r="200" spans="1:12" x14ac:dyDescent="0.2">
      <c r="A200" s="420"/>
      <c r="B200" s="420"/>
      <c r="C200" s="420"/>
      <c r="D200" s="420"/>
      <c r="E200" s="420"/>
      <c r="F200" s="420"/>
      <c r="G200" s="420"/>
      <c r="H200" s="420"/>
      <c r="I200" s="420"/>
      <c r="J200" s="420"/>
      <c r="K200" s="420"/>
      <c r="L200" s="420"/>
    </row>
    <row r="201" spans="1:12" x14ac:dyDescent="0.2">
      <c r="A201" s="420"/>
      <c r="B201" s="420"/>
      <c r="C201" s="420"/>
      <c r="D201" s="420"/>
      <c r="E201" s="420"/>
      <c r="F201" s="420"/>
      <c r="G201" s="420"/>
      <c r="H201" s="420"/>
      <c r="I201" s="420"/>
      <c r="J201" s="420"/>
      <c r="K201" s="420"/>
      <c r="L201" s="420"/>
    </row>
    <row r="202" spans="1:12" x14ac:dyDescent="0.2">
      <c r="A202" s="420"/>
      <c r="B202" s="420"/>
      <c r="C202" s="420"/>
      <c r="D202" s="420"/>
      <c r="E202" s="420"/>
      <c r="F202" s="420"/>
      <c r="G202" s="420"/>
      <c r="H202" s="420"/>
      <c r="I202" s="420"/>
      <c r="J202" s="420"/>
      <c r="K202" s="420"/>
      <c r="L202" s="420"/>
    </row>
    <row r="203" spans="1:12" x14ac:dyDescent="0.2">
      <c r="A203" s="420"/>
      <c r="B203" s="420"/>
      <c r="C203" s="420"/>
      <c r="D203" s="420"/>
      <c r="E203" s="420"/>
      <c r="F203" s="420"/>
      <c r="G203" s="420"/>
      <c r="H203" s="420"/>
      <c r="I203" s="420"/>
      <c r="J203" s="420"/>
      <c r="K203" s="420"/>
      <c r="L203" s="420"/>
    </row>
    <row r="204" spans="1:12" x14ac:dyDescent="0.2">
      <c r="A204" s="420"/>
      <c r="B204" s="420"/>
      <c r="C204" s="420"/>
      <c r="D204" s="420"/>
      <c r="E204" s="420"/>
      <c r="F204" s="420"/>
      <c r="G204" s="420"/>
      <c r="H204" s="420"/>
      <c r="I204" s="420"/>
      <c r="J204" s="420"/>
      <c r="K204" s="420"/>
      <c r="L204" s="420"/>
    </row>
    <row r="205" spans="1:12" x14ac:dyDescent="0.2">
      <c r="A205" s="420"/>
      <c r="B205" s="420"/>
      <c r="C205" s="420"/>
      <c r="D205" s="420"/>
      <c r="E205" s="420"/>
      <c r="F205" s="420"/>
      <c r="G205" s="420"/>
      <c r="H205" s="420"/>
      <c r="I205" s="420"/>
      <c r="J205" s="420"/>
      <c r="K205" s="420"/>
      <c r="L205" s="420"/>
    </row>
    <row r="206" spans="1:12" x14ac:dyDescent="0.2">
      <c r="A206" s="420"/>
      <c r="B206" s="420"/>
      <c r="C206" s="420"/>
      <c r="D206" s="420"/>
      <c r="E206" s="420"/>
      <c r="F206" s="420"/>
      <c r="G206" s="420"/>
      <c r="H206" s="420"/>
      <c r="I206" s="420"/>
      <c r="J206" s="420"/>
      <c r="K206" s="420"/>
      <c r="L206" s="420"/>
    </row>
    <row r="207" spans="1:12" x14ac:dyDescent="0.2">
      <c r="A207" s="420"/>
      <c r="B207" s="420"/>
      <c r="C207" s="420"/>
      <c r="D207" s="420"/>
      <c r="E207" s="420"/>
      <c r="F207" s="420"/>
      <c r="G207" s="420"/>
      <c r="H207" s="420"/>
      <c r="I207" s="420"/>
      <c r="J207" s="420"/>
      <c r="K207" s="420"/>
      <c r="L207" s="420"/>
    </row>
    <row r="208" spans="1:12" x14ac:dyDescent="0.2">
      <c r="A208" s="420"/>
      <c r="B208" s="420"/>
      <c r="C208" s="420"/>
      <c r="D208" s="420"/>
      <c r="E208" s="420"/>
      <c r="F208" s="420"/>
      <c r="G208" s="420"/>
      <c r="H208" s="420"/>
      <c r="I208" s="420"/>
      <c r="J208" s="420"/>
      <c r="K208" s="420"/>
      <c r="L208" s="420"/>
    </row>
    <row r="209" spans="1:12" x14ac:dyDescent="0.2">
      <c r="A209" s="420"/>
      <c r="B209" s="420"/>
      <c r="C209" s="420"/>
      <c r="D209" s="420"/>
      <c r="E209" s="420"/>
      <c r="F209" s="420"/>
      <c r="G209" s="420"/>
      <c r="H209" s="420"/>
      <c r="I209" s="420"/>
      <c r="J209" s="420"/>
      <c r="K209" s="420"/>
      <c r="L209" s="420"/>
    </row>
    <row r="210" spans="1:12" x14ac:dyDescent="0.2">
      <c r="A210" s="420"/>
      <c r="B210" s="420"/>
      <c r="C210" s="420"/>
      <c r="D210" s="420"/>
      <c r="E210" s="420"/>
      <c r="F210" s="420"/>
      <c r="G210" s="420"/>
      <c r="H210" s="420"/>
      <c r="I210" s="420"/>
      <c r="J210" s="420"/>
      <c r="K210" s="420"/>
      <c r="L210" s="420"/>
    </row>
    <row r="211" spans="1:12" x14ac:dyDescent="0.2">
      <c r="A211" s="420"/>
      <c r="B211" s="420"/>
      <c r="C211" s="420"/>
      <c r="D211" s="420"/>
      <c r="E211" s="420"/>
      <c r="F211" s="420"/>
      <c r="G211" s="420"/>
      <c r="H211" s="420"/>
      <c r="I211" s="420"/>
      <c r="J211" s="420"/>
      <c r="K211" s="420"/>
      <c r="L211" s="420"/>
    </row>
    <row r="212" spans="1:12" x14ac:dyDescent="0.2">
      <c r="A212" s="420"/>
      <c r="B212" s="420"/>
      <c r="C212" s="420"/>
      <c r="D212" s="420"/>
      <c r="E212" s="420"/>
      <c r="F212" s="420"/>
      <c r="G212" s="420"/>
      <c r="H212" s="420"/>
      <c r="I212" s="420"/>
      <c r="J212" s="420"/>
      <c r="K212" s="420"/>
      <c r="L212" s="420"/>
    </row>
    <row r="213" spans="1:12" x14ac:dyDescent="0.2">
      <c r="A213" s="420"/>
      <c r="B213" s="420"/>
      <c r="C213" s="420"/>
      <c r="D213" s="420"/>
      <c r="E213" s="420"/>
      <c r="F213" s="420"/>
      <c r="G213" s="420"/>
      <c r="H213" s="420"/>
      <c r="I213" s="420"/>
      <c r="J213" s="420"/>
      <c r="K213" s="420"/>
      <c r="L213" s="420"/>
    </row>
    <row r="214" spans="1:12" x14ac:dyDescent="0.2">
      <c r="A214" s="420"/>
      <c r="B214" s="420"/>
      <c r="C214" s="420"/>
      <c r="D214" s="420"/>
      <c r="E214" s="420"/>
      <c r="F214" s="420"/>
      <c r="G214" s="420"/>
      <c r="H214" s="420"/>
      <c r="I214" s="420"/>
      <c r="J214" s="420"/>
      <c r="K214" s="420"/>
      <c r="L214" s="420"/>
    </row>
    <row r="215" spans="1:12" x14ac:dyDescent="0.2">
      <c r="A215" s="420"/>
      <c r="B215" s="420"/>
      <c r="C215" s="420"/>
      <c r="D215" s="420"/>
      <c r="E215" s="420"/>
      <c r="F215" s="420"/>
      <c r="G215" s="420"/>
      <c r="H215" s="420"/>
      <c r="I215" s="420"/>
      <c r="J215" s="420"/>
      <c r="K215" s="420"/>
      <c r="L215" s="420"/>
    </row>
    <row r="216" spans="1:12" x14ac:dyDescent="0.2">
      <c r="A216" s="420"/>
      <c r="B216" s="420"/>
      <c r="C216" s="420"/>
      <c r="D216" s="420"/>
      <c r="E216" s="420"/>
      <c r="F216" s="420"/>
      <c r="G216" s="420"/>
      <c r="H216" s="420"/>
      <c r="I216" s="420"/>
      <c r="J216" s="420"/>
      <c r="K216" s="420"/>
      <c r="L216" s="420"/>
    </row>
    <row r="217" spans="1:12" x14ac:dyDescent="0.2">
      <c r="A217" s="420"/>
      <c r="B217" s="420"/>
      <c r="C217" s="420"/>
      <c r="D217" s="420"/>
      <c r="E217" s="420"/>
      <c r="F217" s="420"/>
      <c r="G217" s="420"/>
      <c r="H217" s="420"/>
      <c r="I217" s="420"/>
      <c r="J217" s="420"/>
      <c r="K217" s="420"/>
      <c r="L217" s="420"/>
    </row>
    <row r="218" spans="1:12" x14ac:dyDescent="0.2">
      <c r="A218" s="420"/>
      <c r="B218" s="420"/>
      <c r="C218" s="420"/>
      <c r="D218" s="420"/>
      <c r="E218" s="420"/>
      <c r="F218" s="420"/>
      <c r="G218" s="420"/>
      <c r="H218" s="420"/>
      <c r="I218" s="420"/>
      <c r="J218" s="420"/>
      <c r="K218" s="420"/>
      <c r="L218" s="420"/>
    </row>
    <row r="219" spans="1:12" x14ac:dyDescent="0.2">
      <c r="A219" s="420"/>
      <c r="B219" s="420"/>
      <c r="C219" s="420"/>
      <c r="D219" s="420"/>
      <c r="E219" s="420"/>
      <c r="F219" s="420"/>
      <c r="G219" s="420"/>
      <c r="H219" s="420"/>
      <c r="I219" s="420"/>
      <c r="J219" s="420"/>
      <c r="K219" s="420"/>
      <c r="L219" s="420"/>
    </row>
    <row r="220" spans="1:12" x14ac:dyDescent="0.2">
      <c r="A220" s="420"/>
      <c r="B220" s="420"/>
      <c r="C220" s="420"/>
      <c r="D220" s="420"/>
      <c r="E220" s="420"/>
      <c r="F220" s="420"/>
      <c r="G220" s="420"/>
      <c r="H220" s="420"/>
      <c r="I220" s="420"/>
      <c r="J220" s="420"/>
      <c r="K220" s="420"/>
      <c r="L220" s="420"/>
    </row>
    <row r="221" spans="1:12" x14ac:dyDescent="0.2">
      <c r="A221" s="420"/>
      <c r="B221" s="420"/>
      <c r="C221" s="420"/>
      <c r="D221" s="420"/>
      <c r="E221" s="420"/>
      <c r="F221" s="420"/>
      <c r="G221" s="420"/>
      <c r="H221" s="420"/>
      <c r="I221" s="420"/>
      <c r="J221" s="420"/>
      <c r="K221" s="420"/>
      <c r="L221" s="420"/>
    </row>
    <row r="222" spans="1:12" x14ac:dyDescent="0.2">
      <c r="A222" s="420"/>
      <c r="B222" s="420"/>
      <c r="C222" s="420"/>
      <c r="D222" s="420"/>
      <c r="E222" s="420"/>
      <c r="F222" s="420"/>
      <c r="G222" s="420"/>
      <c r="H222" s="420"/>
      <c r="I222" s="420"/>
      <c r="J222" s="420"/>
      <c r="K222" s="420"/>
      <c r="L222" s="420"/>
    </row>
    <row r="223" spans="1:12" x14ac:dyDescent="0.2">
      <c r="A223" s="420"/>
      <c r="B223" s="420"/>
      <c r="C223" s="420"/>
      <c r="D223" s="420"/>
      <c r="E223" s="420"/>
      <c r="F223" s="420"/>
      <c r="G223" s="420"/>
      <c r="H223" s="420"/>
      <c r="I223" s="420"/>
      <c r="J223" s="420"/>
      <c r="K223" s="420"/>
      <c r="L223" s="420"/>
    </row>
    <row r="224" spans="1:12" x14ac:dyDescent="0.2">
      <c r="A224" s="420"/>
      <c r="B224" s="420"/>
      <c r="C224" s="420"/>
      <c r="D224" s="420"/>
      <c r="E224" s="420"/>
      <c r="F224" s="420"/>
      <c r="G224" s="420"/>
      <c r="H224" s="420"/>
      <c r="I224" s="420"/>
      <c r="J224" s="420"/>
      <c r="K224" s="420"/>
      <c r="L224" s="420"/>
    </row>
    <row r="225" spans="1:12" x14ac:dyDescent="0.2">
      <c r="A225" s="420"/>
      <c r="B225" s="420"/>
      <c r="C225" s="420"/>
      <c r="D225" s="420"/>
      <c r="E225" s="420"/>
      <c r="F225" s="420"/>
      <c r="G225" s="420"/>
      <c r="H225" s="420"/>
      <c r="I225" s="420"/>
      <c r="J225" s="420"/>
      <c r="K225" s="420"/>
      <c r="L225" s="420"/>
    </row>
    <row r="226" spans="1:12" x14ac:dyDescent="0.2">
      <c r="A226" s="420"/>
      <c r="B226" s="420"/>
      <c r="C226" s="420"/>
      <c r="D226" s="420"/>
      <c r="E226" s="420"/>
      <c r="F226" s="420"/>
      <c r="G226" s="420"/>
      <c r="H226" s="420"/>
      <c r="I226" s="420"/>
      <c r="J226" s="420"/>
      <c r="K226" s="420"/>
      <c r="L226" s="420"/>
    </row>
    <row r="227" spans="1:12" x14ac:dyDescent="0.2">
      <c r="A227" s="420"/>
      <c r="B227" s="420"/>
      <c r="C227" s="420"/>
      <c r="D227" s="420"/>
      <c r="E227" s="420"/>
      <c r="F227" s="420"/>
      <c r="G227" s="420"/>
      <c r="H227" s="420"/>
      <c r="I227" s="420"/>
      <c r="J227" s="420"/>
      <c r="K227" s="420"/>
      <c r="L227" s="420"/>
    </row>
    <row r="228" spans="1:12" x14ac:dyDescent="0.2">
      <c r="A228" s="420"/>
      <c r="B228" s="420"/>
      <c r="C228" s="420"/>
      <c r="D228" s="420"/>
      <c r="E228" s="420"/>
      <c r="F228" s="420"/>
      <c r="G228" s="420"/>
      <c r="H228" s="420"/>
      <c r="I228" s="420"/>
      <c r="J228" s="420"/>
      <c r="K228" s="420"/>
      <c r="L228" s="420"/>
    </row>
    <row r="229" spans="1:12" x14ac:dyDescent="0.2">
      <c r="A229" s="420"/>
      <c r="B229" s="420"/>
      <c r="C229" s="420"/>
      <c r="D229" s="420"/>
      <c r="E229" s="420"/>
      <c r="F229" s="420"/>
      <c r="G229" s="420"/>
      <c r="H229" s="420"/>
      <c r="I229" s="420"/>
      <c r="J229" s="420"/>
      <c r="K229" s="420"/>
      <c r="L229" s="420"/>
    </row>
    <row r="230" spans="1:12" x14ac:dyDescent="0.2">
      <c r="A230" s="420"/>
      <c r="B230" s="420"/>
      <c r="C230" s="420"/>
      <c r="D230" s="420"/>
      <c r="E230" s="420"/>
      <c r="F230" s="420"/>
      <c r="G230" s="420"/>
      <c r="H230" s="420"/>
      <c r="I230" s="420"/>
      <c r="J230" s="420"/>
      <c r="K230" s="420"/>
      <c r="L230" s="420"/>
    </row>
    <row r="231" spans="1:12" x14ac:dyDescent="0.2">
      <c r="A231" s="420"/>
      <c r="B231" s="420"/>
      <c r="C231" s="420"/>
      <c r="D231" s="420"/>
      <c r="E231" s="420"/>
      <c r="F231" s="420"/>
      <c r="G231" s="420"/>
      <c r="H231" s="420"/>
      <c r="I231" s="420"/>
      <c r="J231" s="420"/>
      <c r="K231" s="420"/>
      <c r="L231" s="420"/>
    </row>
    <row r="232" spans="1:12" x14ac:dyDescent="0.2">
      <c r="A232" s="420"/>
      <c r="B232" s="420"/>
      <c r="C232" s="420"/>
      <c r="D232" s="420"/>
      <c r="E232" s="420"/>
      <c r="F232" s="420"/>
      <c r="G232" s="420"/>
      <c r="H232" s="420"/>
      <c r="I232" s="420"/>
      <c r="J232" s="420"/>
      <c r="K232" s="420"/>
      <c r="L232" s="420"/>
    </row>
    <row r="233" spans="1:12" x14ac:dyDescent="0.2">
      <c r="A233" s="420"/>
      <c r="B233" s="420"/>
      <c r="C233" s="420"/>
      <c r="D233" s="420"/>
      <c r="E233" s="420"/>
      <c r="F233" s="420"/>
      <c r="G233" s="420"/>
      <c r="H233" s="420"/>
      <c r="I233" s="420"/>
      <c r="J233" s="420"/>
      <c r="K233" s="420"/>
      <c r="L233" s="420"/>
    </row>
    <row r="234" spans="1:12" x14ac:dyDescent="0.2">
      <c r="A234" s="420"/>
      <c r="B234" s="420"/>
      <c r="C234" s="420"/>
      <c r="D234" s="420"/>
      <c r="E234" s="420"/>
      <c r="F234" s="420"/>
      <c r="G234" s="420"/>
      <c r="H234" s="420"/>
      <c r="I234" s="420"/>
      <c r="J234" s="420"/>
      <c r="K234" s="420"/>
      <c r="L234" s="420"/>
    </row>
    <row r="235" spans="1:12" x14ac:dyDescent="0.2">
      <c r="A235" s="420"/>
      <c r="B235" s="420"/>
      <c r="C235" s="420"/>
      <c r="D235" s="420"/>
      <c r="E235" s="420"/>
      <c r="F235" s="420"/>
      <c r="G235" s="420"/>
      <c r="H235" s="420"/>
      <c r="I235" s="420"/>
      <c r="J235" s="420"/>
      <c r="K235" s="420"/>
      <c r="L235" s="420"/>
    </row>
    <row r="236" spans="1:12" x14ac:dyDescent="0.2">
      <c r="A236" s="420"/>
      <c r="B236" s="420"/>
      <c r="C236" s="420"/>
      <c r="D236" s="420"/>
      <c r="E236" s="420"/>
      <c r="F236" s="420"/>
      <c r="G236" s="420"/>
      <c r="H236" s="420"/>
      <c r="I236" s="420"/>
      <c r="J236" s="420"/>
      <c r="K236" s="420"/>
      <c r="L236" s="420"/>
    </row>
    <row r="237" spans="1:12" x14ac:dyDescent="0.2">
      <c r="A237" s="420"/>
      <c r="B237" s="420"/>
      <c r="C237" s="420"/>
      <c r="D237" s="420"/>
      <c r="E237" s="420"/>
      <c r="F237" s="420"/>
      <c r="G237" s="420"/>
      <c r="H237" s="420"/>
      <c r="I237" s="420"/>
      <c r="J237" s="420"/>
      <c r="K237" s="420"/>
      <c r="L237" s="420"/>
    </row>
    <row r="238" spans="1:12" x14ac:dyDescent="0.2">
      <c r="A238" s="420"/>
      <c r="B238" s="420"/>
      <c r="C238" s="420"/>
      <c r="D238" s="420"/>
      <c r="E238" s="420"/>
      <c r="F238" s="420"/>
      <c r="G238" s="420"/>
      <c r="H238" s="420"/>
      <c r="I238" s="420"/>
      <c r="J238" s="420"/>
      <c r="K238" s="420"/>
      <c r="L238" s="420"/>
    </row>
    <row r="239" spans="1:12" x14ac:dyDescent="0.2">
      <c r="A239" s="420"/>
      <c r="B239" s="420"/>
      <c r="C239" s="420"/>
      <c r="D239" s="420"/>
      <c r="E239" s="420"/>
      <c r="F239" s="420"/>
      <c r="G239" s="420"/>
      <c r="H239" s="420"/>
      <c r="I239" s="420"/>
      <c r="J239" s="420"/>
      <c r="K239" s="420"/>
      <c r="L239" s="420"/>
    </row>
    <row r="240" spans="1:12" x14ac:dyDescent="0.2">
      <c r="A240" s="420"/>
      <c r="B240" s="420"/>
      <c r="C240" s="420"/>
      <c r="D240" s="420"/>
      <c r="E240" s="420"/>
      <c r="F240" s="420"/>
      <c r="G240" s="420"/>
      <c r="H240" s="420"/>
      <c r="I240" s="420"/>
      <c r="J240" s="420"/>
      <c r="K240" s="420"/>
      <c r="L240" s="420"/>
    </row>
    <row r="241" spans="1:12" x14ac:dyDescent="0.2">
      <c r="A241" s="420"/>
      <c r="B241" s="420"/>
      <c r="C241" s="420"/>
      <c r="D241" s="420"/>
      <c r="E241" s="420"/>
      <c r="F241" s="420"/>
      <c r="G241" s="420"/>
      <c r="H241" s="420"/>
      <c r="I241" s="420"/>
      <c r="J241" s="420"/>
      <c r="K241" s="420"/>
      <c r="L241" s="420"/>
    </row>
    <row r="242" spans="1:12" x14ac:dyDescent="0.2">
      <c r="A242" s="420"/>
      <c r="B242" s="420"/>
      <c r="C242" s="420"/>
      <c r="D242" s="420"/>
      <c r="E242" s="420"/>
      <c r="F242" s="420"/>
      <c r="G242" s="420"/>
      <c r="H242" s="420"/>
      <c r="I242" s="420"/>
      <c r="J242" s="420"/>
      <c r="K242" s="420"/>
      <c r="L242" s="420"/>
    </row>
    <row r="243" spans="1:12" x14ac:dyDescent="0.2">
      <c r="A243" s="420"/>
      <c r="B243" s="420"/>
      <c r="C243" s="420"/>
      <c r="D243" s="420"/>
      <c r="E243" s="420"/>
      <c r="F243" s="420"/>
      <c r="G243" s="420"/>
      <c r="H243" s="420"/>
      <c r="I243" s="420"/>
      <c r="J243" s="420"/>
      <c r="K243" s="420"/>
      <c r="L243" s="420"/>
    </row>
    <row r="244" spans="1:12" x14ac:dyDescent="0.2">
      <c r="A244" s="420"/>
      <c r="B244" s="420"/>
      <c r="C244" s="420"/>
      <c r="D244" s="420"/>
      <c r="E244" s="420"/>
      <c r="F244" s="420"/>
      <c r="G244" s="420"/>
      <c r="H244" s="420"/>
      <c r="I244" s="420"/>
      <c r="J244" s="420"/>
      <c r="K244" s="420"/>
      <c r="L244" s="420"/>
    </row>
    <row r="245" spans="1:12" x14ac:dyDescent="0.2">
      <c r="A245" s="420"/>
      <c r="B245" s="420"/>
      <c r="C245" s="420"/>
      <c r="D245" s="420"/>
      <c r="E245" s="420"/>
      <c r="F245" s="420"/>
      <c r="G245" s="420"/>
      <c r="H245" s="420"/>
      <c r="I245" s="420"/>
      <c r="J245" s="420"/>
      <c r="K245" s="420"/>
      <c r="L245" s="420"/>
    </row>
    <row r="246" spans="1:12" x14ac:dyDescent="0.2">
      <c r="A246" s="420"/>
      <c r="B246" s="420"/>
      <c r="C246" s="420"/>
      <c r="D246" s="420"/>
      <c r="E246" s="420"/>
      <c r="F246" s="420"/>
      <c r="G246" s="420"/>
      <c r="H246" s="420"/>
      <c r="I246" s="420"/>
      <c r="J246" s="420"/>
      <c r="K246" s="420"/>
      <c r="L246" s="420"/>
    </row>
    <row r="247" spans="1:12" x14ac:dyDescent="0.2">
      <c r="A247" s="420"/>
      <c r="B247" s="420"/>
      <c r="C247" s="420"/>
      <c r="D247" s="420"/>
      <c r="E247" s="420"/>
      <c r="F247" s="420"/>
      <c r="G247" s="420"/>
      <c r="H247" s="420"/>
      <c r="I247" s="420"/>
      <c r="J247" s="420"/>
      <c r="K247" s="420"/>
      <c r="L247" s="420"/>
    </row>
    <row r="248" spans="1:12" x14ac:dyDescent="0.2">
      <c r="A248" s="420"/>
      <c r="B248" s="420"/>
      <c r="C248" s="420"/>
      <c r="D248" s="420"/>
      <c r="E248" s="420"/>
      <c r="F248" s="420"/>
      <c r="G248" s="420"/>
      <c r="H248" s="420"/>
      <c r="I248" s="420"/>
      <c r="J248" s="420"/>
      <c r="K248" s="420"/>
      <c r="L248" s="420"/>
    </row>
    <row r="249" spans="1:12" x14ac:dyDescent="0.2">
      <c r="A249" s="420"/>
      <c r="B249" s="420"/>
      <c r="C249" s="420"/>
      <c r="D249" s="420"/>
      <c r="E249" s="420"/>
      <c r="F249" s="420"/>
      <c r="G249" s="420"/>
      <c r="H249" s="420"/>
      <c r="I249" s="420"/>
      <c r="J249" s="420"/>
      <c r="K249" s="420"/>
      <c r="L249" s="420"/>
    </row>
    <row r="250" spans="1:12" x14ac:dyDescent="0.2">
      <c r="A250" s="420"/>
      <c r="B250" s="420"/>
      <c r="C250" s="420"/>
      <c r="D250" s="420"/>
      <c r="E250" s="420"/>
      <c r="F250" s="420"/>
      <c r="G250" s="420"/>
      <c r="H250" s="420"/>
      <c r="I250" s="420"/>
      <c r="J250" s="420"/>
      <c r="K250" s="420"/>
      <c r="L250" s="420"/>
    </row>
    <row r="251" spans="1:12" x14ac:dyDescent="0.2">
      <c r="A251" s="420"/>
      <c r="B251" s="420"/>
      <c r="C251" s="420"/>
      <c r="D251" s="420"/>
      <c r="E251" s="420"/>
      <c r="F251" s="420"/>
      <c r="G251" s="420"/>
      <c r="H251" s="420"/>
      <c r="I251" s="420"/>
      <c r="J251" s="420"/>
      <c r="K251" s="420"/>
      <c r="L251" s="420"/>
    </row>
    <row r="252" spans="1:12" x14ac:dyDescent="0.2">
      <c r="A252" s="420"/>
      <c r="B252" s="420"/>
      <c r="C252" s="420"/>
      <c r="D252" s="420"/>
      <c r="E252" s="420"/>
      <c r="F252" s="420"/>
      <c r="G252" s="420"/>
      <c r="H252" s="420"/>
      <c r="I252" s="420"/>
      <c r="J252" s="420"/>
      <c r="K252" s="420"/>
      <c r="L252" s="420"/>
    </row>
    <row r="253" spans="1:12" x14ac:dyDescent="0.2">
      <c r="A253" s="420"/>
      <c r="B253" s="420"/>
      <c r="C253" s="420"/>
      <c r="D253" s="420"/>
      <c r="E253" s="420"/>
      <c r="F253" s="420"/>
      <c r="G253" s="420"/>
      <c r="H253" s="420"/>
      <c r="I253" s="420"/>
      <c r="J253" s="420"/>
      <c r="K253" s="420"/>
      <c r="L253" s="420"/>
    </row>
    <row r="254" spans="1:12" x14ac:dyDescent="0.2">
      <c r="A254" s="420"/>
      <c r="B254" s="420"/>
      <c r="C254" s="420"/>
      <c r="D254" s="420"/>
      <c r="E254" s="420"/>
      <c r="F254" s="420"/>
      <c r="G254" s="420"/>
      <c r="H254" s="420"/>
      <c r="I254" s="420"/>
      <c r="J254" s="420"/>
      <c r="K254" s="420"/>
      <c r="L254" s="420"/>
    </row>
    <row r="255" spans="1:12" x14ac:dyDescent="0.2">
      <c r="A255" s="420"/>
      <c r="B255" s="420"/>
      <c r="C255" s="420"/>
      <c r="D255" s="420"/>
      <c r="E255" s="420"/>
      <c r="F255" s="420"/>
      <c r="G255" s="420"/>
      <c r="H255" s="420"/>
      <c r="I255" s="420"/>
      <c r="J255" s="420"/>
      <c r="K255" s="420"/>
      <c r="L255" s="420"/>
    </row>
    <row r="256" spans="1:12" x14ac:dyDescent="0.2">
      <c r="A256" s="420"/>
      <c r="B256" s="420"/>
      <c r="C256" s="420"/>
      <c r="D256" s="420"/>
      <c r="E256" s="420"/>
      <c r="F256" s="420"/>
      <c r="G256" s="420"/>
      <c r="H256" s="420"/>
      <c r="I256" s="420"/>
      <c r="J256" s="420"/>
      <c r="K256" s="420"/>
      <c r="L256" s="420"/>
    </row>
    <row r="257" spans="1:12" x14ac:dyDescent="0.2">
      <c r="A257" s="420"/>
      <c r="B257" s="420"/>
      <c r="C257" s="420"/>
      <c r="D257" s="420"/>
      <c r="E257" s="420"/>
      <c r="F257" s="420"/>
      <c r="G257" s="420"/>
      <c r="H257" s="420"/>
      <c r="I257" s="420"/>
      <c r="J257" s="420"/>
      <c r="K257" s="420"/>
      <c r="L257" s="420"/>
    </row>
    <row r="258" spans="1:12" x14ac:dyDescent="0.2">
      <c r="A258" s="420"/>
      <c r="B258" s="420"/>
      <c r="C258" s="420"/>
      <c r="D258" s="420"/>
      <c r="E258" s="420"/>
      <c r="F258" s="420"/>
      <c r="G258" s="420"/>
      <c r="H258" s="420"/>
      <c r="I258" s="420"/>
      <c r="J258" s="420"/>
      <c r="K258" s="420"/>
      <c r="L258" s="420"/>
    </row>
    <row r="259" spans="1:12" x14ac:dyDescent="0.2">
      <c r="A259" s="420"/>
      <c r="B259" s="420"/>
      <c r="C259" s="420"/>
      <c r="D259" s="420"/>
      <c r="E259" s="420"/>
      <c r="F259" s="420"/>
      <c r="G259" s="420"/>
      <c r="H259" s="420"/>
      <c r="I259" s="420"/>
      <c r="J259" s="420"/>
      <c r="K259" s="420"/>
      <c r="L259" s="420"/>
    </row>
    <row r="260" spans="1:12" x14ac:dyDescent="0.2">
      <c r="A260" s="420"/>
      <c r="B260" s="420"/>
      <c r="C260" s="420"/>
      <c r="D260" s="420"/>
      <c r="E260" s="420"/>
      <c r="F260" s="420"/>
      <c r="G260" s="420"/>
      <c r="H260" s="420"/>
      <c r="I260" s="420"/>
      <c r="J260" s="420"/>
      <c r="K260" s="420"/>
      <c r="L260" s="420"/>
    </row>
    <row r="261" spans="1:12" x14ac:dyDescent="0.2">
      <c r="A261" s="420"/>
      <c r="B261" s="420"/>
      <c r="C261" s="420"/>
      <c r="D261" s="420"/>
      <c r="E261" s="420"/>
      <c r="F261" s="420"/>
      <c r="G261" s="420"/>
      <c r="H261" s="420"/>
      <c r="I261" s="420"/>
      <c r="J261" s="420"/>
      <c r="K261" s="420"/>
      <c r="L261" s="420"/>
    </row>
    <row r="262" spans="1:12" x14ac:dyDescent="0.2">
      <c r="A262" s="420"/>
      <c r="B262" s="420"/>
      <c r="C262" s="420"/>
      <c r="D262" s="420"/>
      <c r="E262" s="420"/>
      <c r="F262" s="420"/>
      <c r="G262" s="420"/>
      <c r="H262" s="420"/>
      <c r="I262" s="420"/>
      <c r="J262" s="420"/>
      <c r="K262" s="420"/>
      <c r="L262" s="420"/>
    </row>
    <row r="263" spans="1:12" x14ac:dyDescent="0.2">
      <c r="A263" s="420"/>
      <c r="B263" s="420"/>
      <c r="C263" s="420"/>
      <c r="D263" s="420"/>
      <c r="E263" s="420"/>
      <c r="F263" s="420"/>
      <c r="G263" s="420"/>
      <c r="H263" s="420"/>
      <c r="I263" s="420"/>
      <c r="J263" s="420"/>
      <c r="K263" s="420"/>
      <c r="L263" s="420"/>
    </row>
    <row r="264" spans="1:12" x14ac:dyDescent="0.2">
      <c r="A264" s="420"/>
      <c r="B264" s="420"/>
      <c r="C264" s="420"/>
      <c r="D264" s="420"/>
      <c r="E264" s="420"/>
      <c r="F264" s="420"/>
      <c r="G264" s="420"/>
      <c r="H264" s="420"/>
      <c r="I264" s="420"/>
      <c r="J264" s="420"/>
      <c r="K264" s="420"/>
      <c r="L264" s="420"/>
    </row>
    <row r="265" spans="1:12" x14ac:dyDescent="0.2">
      <c r="A265" s="420"/>
      <c r="B265" s="420"/>
      <c r="C265" s="420"/>
      <c r="D265" s="420"/>
      <c r="E265" s="420"/>
      <c r="F265" s="420"/>
      <c r="G265" s="420"/>
      <c r="H265" s="420"/>
      <c r="I265" s="420"/>
      <c r="J265" s="420"/>
      <c r="K265" s="420"/>
      <c r="L265" s="420"/>
    </row>
    <row r="266" spans="1:12" x14ac:dyDescent="0.2">
      <c r="A266" s="420"/>
      <c r="B266" s="420"/>
      <c r="C266" s="420"/>
      <c r="D266" s="420"/>
      <c r="E266" s="420"/>
      <c r="F266" s="420"/>
      <c r="G266" s="420"/>
      <c r="H266" s="420"/>
      <c r="I266" s="420"/>
      <c r="J266" s="420"/>
      <c r="K266" s="420"/>
      <c r="L266" s="420"/>
    </row>
    <row r="267" spans="1:12" x14ac:dyDescent="0.2">
      <c r="A267" s="420"/>
      <c r="B267" s="420"/>
      <c r="C267" s="420"/>
      <c r="D267" s="420"/>
      <c r="E267" s="420"/>
      <c r="F267" s="420"/>
      <c r="G267" s="420"/>
      <c r="H267" s="420"/>
      <c r="I267" s="420"/>
      <c r="J267" s="420"/>
      <c r="K267" s="420"/>
      <c r="L267" s="420"/>
    </row>
    <row r="268" spans="1:12" x14ac:dyDescent="0.2">
      <c r="A268" s="420"/>
      <c r="B268" s="420"/>
      <c r="C268" s="420"/>
      <c r="D268" s="420"/>
      <c r="E268" s="420"/>
      <c r="F268" s="420"/>
      <c r="G268" s="420"/>
      <c r="H268" s="420"/>
      <c r="I268" s="420"/>
      <c r="J268" s="420"/>
      <c r="K268" s="420"/>
      <c r="L268" s="420"/>
    </row>
    <row r="269" spans="1:12" x14ac:dyDescent="0.2">
      <c r="A269" s="420"/>
      <c r="B269" s="420"/>
      <c r="C269" s="420"/>
      <c r="D269" s="420"/>
      <c r="E269" s="420"/>
      <c r="F269" s="420"/>
      <c r="G269" s="420"/>
      <c r="H269" s="420"/>
      <c r="I269" s="420"/>
      <c r="J269" s="420"/>
      <c r="K269" s="420"/>
      <c r="L269" s="420"/>
    </row>
    <row r="270" spans="1:12" x14ac:dyDescent="0.2">
      <c r="A270" s="420"/>
      <c r="B270" s="420"/>
      <c r="C270" s="420"/>
      <c r="D270" s="420"/>
      <c r="E270" s="420"/>
      <c r="F270" s="420"/>
      <c r="G270" s="420"/>
      <c r="H270" s="420"/>
      <c r="I270" s="420"/>
      <c r="J270" s="420"/>
      <c r="K270" s="420"/>
      <c r="L270" s="420"/>
    </row>
    <row r="271" spans="1:12" x14ac:dyDescent="0.2">
      <c r="A271" s="420"/>
      <c r="B271" s="420"/>
      <c r="C271" s="420"/>
      <c r="D271" s="420"/>
      <c r="E271" s="420"/>
      <c r="F271" s="420"/>
      <c r="G271" s="420"/>
      <c r="H271" s="420"/>
      <c r="I271" s="420"/>
      <c r="J271" s="420"/>
      <c r="K271" s="420"/>
      <c r="L271" s="420"/>
    </row>
    <row r="272" spans="1:12" x14ac:dyDescent="0.2">
      <c r="A272" s="420"/>
      <c r="B272" s="420"/>
      <c r="C272" s="420"/>
      <c r="D272" s="420"/>
      <c r="E272" s="420"/>
      <c r="F272" s="420"/>
      <c r="G272" s="420"/>
      <c r="H272" s="420"/>
      <c r="I272" s="420"/>
      <c r="J272" s="420"/>
      <c r="K272" s="420"/>
      <c r="L272" s="420"/>
    </row>
    <row r="273" spans="1:12" x14ac:dyDescent="0.2">
      <c r="A273" s="420"/>
      <c r="B273" s="420"/>
      <c r="C273" s="420"/>
      <c r="D273" s="420"/>
      <c r="E273" s="420"/>
      <c r="F273" s="420"/>
      <c r="G273" s="420"/>
      <c r="H273" s="420"/>
      <c r="I273" s="420"/>
      <c r="J273" s="420"/>
      <c r="K273" s="420"/>
      <c r="L273" s="420"/>
    </row>
    <row r="274" spans="1:12" x14ac:dyDescent="0.2">
      <c r="A274" s="420"/>
      <c r="B274" s="420"/>
      <c r="C274" s="420"/>
      <c r="D274" s="420"/>
      <c r="E274" s="420"/>
      <c r="F274" s="420"/>
      <c r="G274" s="420"/>
      <c r="H274" s="420"/>
      <c r="I274" s="420"/>
      <c r="J274" s="420"/>
      <c r="K274" s="420"/>
      <c r="L274" s="420"/>
    </row>
    <row r="275" spans="1:12" x14ac:dyDescent="0.2">
      <c r="A275" s="420"/>
      <c r="B275" s="420"/>
      <c r="C275" s="420"/>
      <c r="D275" s="420"/>
      <c r="E275" s="420"/>
      <c r="F275" s="420"/>
      <c r="G275" s="420"/>
      <c r="H275" s="420"/>
      <c r="I275" s="420"/>
      <c r="J275" s="420"/>
      <c r="K275" s="420"/>
      <c r="L275" s="420"/>
    </row>
    <row r="276" spans="1:12" x14ac:dyDescent="0.2">
      <c r="A276" s="420"/>
      <c r="B276" s="420"/>
      <c r="C276" s="420"/>
      <c r="D276" s="420"/>
      <c r="E276" s="420"/>
      <c r="F276" s="420"/>
      <c r="G276" s="420"/>
      <c r="H276" s="420"/>
      <c r="I276" s="420"/>
      <c r="J276" s="420"/>
      <c r="K276" s="420"/>
      <c r="L276" s="420"/>
    </row>
    <row r="277" spans="1:12" x14ac:dyDescent="0.2">
      <c r="A277" s="420"/>
      <c r="B277" s="420"/>
      <c r="C277" s="420"/>
      <c r="D277" s="420"/>
      <c r="E277" s="420"/>
      <c r="F277" s="420"/>
      <c r="G277" s="420"/>
      <c r="H277" s="420"/>
      <c r="I277" s="420"/>
      <c r="J277" s="420"/>
      <c r="K277" s="420"/>
      <c r="L277" s="420"/>
    </row>
    <row r="278" spans="1:12" x14ac:dyDescent="0.2">
      <c r="A278" s="420"/>
      <c r="B278" s="420"/>
      <c r="C278" s="420"/>
      <c r="D278" s="420"/>
      <c r="E278" s="420"/>
      <c r="F278" s="420"/>
      <c r="G278" s="420"/>
      <c r="H278" s="420"/>
      <c r="I278" s="420"/>
      <c r="J278" s="420"/>
      <c r="K278" s="420"/>
      <c r="L278" s="420"/>
    </row>
    <row r="279" spans="1:12" x14ac:dyDescent="0.2">
      <c r="A279" s="420"/>
      <c r="B279" s="420"/>
      <c r="C279" s="420"/>
      <c r="D279" s="420"/>
      <c r="E279" s="420"/>
      <c r="F279" s="420"/>
      <c r="G279" s="420"/>
      <c r="H279" s="420"/>
      <c r="I279" s="420"/>
      <c r="J279" s="420"/>
      <c r="K279" s="420"/>
      <c r="L279" s="420"/>
    </row>
    <row r="280" spans="1:12" x14ac:dyDescent="0.2">
      <c r="A280" s="420"/>
      <c r="B280" s="420"/>
      <c r="C280" s="420"/>
      <c r="D280" s="420"/>
      <c r="E280" s="420"/>
      <c r="F280" s="420"/>
      <c r="G280" s="420"/>
      <c r="H280" s="420"/>
      <c r="I280" s="420"/>
      <c r="J280" s="420"/>
      <c r="K280" s="420"/>
      <c r="L280" s="420"/>
    </row>
    <row r="281" spans="1:12" x14ac:dyDescent="0.2">
      <c r="A281" s="420"/>
      <c r="B281" s="420"/>
      <c r="C281" s="420"/>
      <c r="D281" s="420"/>
      <c r="E281" s="420"/>
      <c r="F281" s="420"/>
      <c r="G281" s="420"/>
      <c r="H281" s="420"/>
      <c r="I281" s="420"/>
      <c r="J281" s="420"/>
      <c r="K281" s="420"/>
      <c r="L281" s="420"/>
    </row>
    <row r="282" spans="1:12" x14ac:dyDescent="0.2">
      <c r="A282" s="420"/>
      <c r="B282" s="420"/>
      <c r="C282" s="420"/>
      <c r="D282" s="420"/>
      <c r="E282" s="420"/>
      <c r="F282" s="420"/>
      <c r="G282" s="420"/>
      <c r="H282" s="420"/>
      <c r="I282" s="420"/>
      <c r="J282" s="420"/>
      <c r="K282" s="420"/>
      <c r="L282" s="420"/>
    </row>
    <row r="283" spans="1:12" x14ac:dyDescent="0.2">
      <c r="A283" s="420"/>
      <c r="B283" s="420"/>
      <c r="C283" s="420"/>
      <c r="D283" s="420"/>
      <c r="E283" s="420"/>
      <c r="F283" s="420"/>
      <c r="G283" s="420"/>
      <c r="H283" s="420"/>
      <c r="I283" s="420"/>
      <c r="J283" s="420"/>
      <c r="K283" s="420"/>
      <c r="L283" s="420"/>
    </row>
    <row r="284" spans="1:12" x14ac:dyDescent="0.2">
      <c r="A284" s="420"/>
      <c r="B284" s="420"/>
      <c r="C284" s="420"/>
      <c r="D284" s="420"/>
      <c r="E284" s="420"/>
      <c r="F284" s="420"/>
      <c r="G284" s="420"/>
      <c r="H284" s="420"/>
      <c r="I284" s="420"/>
      <c r="J284" s="420"/>
      <c r="K284" s="420"/>
      <c r="L284" s="420"/>
    </row>
    <row r="285" spans="1:12" x14ac:dyDescent="0.2">
      <c r="A285" s="420"/>
      <c r="B285" s="420"/>
      <c r="C285" s="420"/>
      <c r="D285" s="420"/>
      <c r="E285" s="420"/>
      <c r="F285" s="420"/>
      <c r="G285" s="420"/>
      <c r="H285" s="420"/>
      <c r="I285" s="420"/>
      <c r="J285" s="420"/>
      <c r="K285" s="420"/>
      <c r="L285" s="420"/>
    </row>
    <row r="286" spans="1:12" x14ac:dyDescent="0.2">
      <c r="A286" s="420"/>
      <c r="B286" s="420"/>
      <c r="C286" s="420"/>
      <c r="D286" s="420"/>
      <c r="E286" s="420"/>
      <c r="F286" s="420"/>
      <c r="G286" s="420"/>
      <c r="H286" s="420"/>
      <c r="I286" s="420"/>
      <c r="J286" s="420"/>
      <c r="K286" s="420"/>
      <c r="L286" s="420"/>
    </row>
    <row r="287" spans="1:12" x14ac:dyDescent="0.2">
      <c r="A287" s="420"/>
      <c r="B287" s="420"/>
      <c r="C287" s="420"/>
      <c r="D287" s="420"/>
      <c r="E287" s="420"/>
      <c r="F287" s="420"/>
      <c r="G287" s="420"/>
      <c r="H287" s="420"/>
      <c r="I287" s="420"/>
      <c r="J287" s="420"/>
      <c r="K287" s="420"/>
      <c r="L287" s="420"/>
    </row>
    <row r="288" spans="1:12" x14ac:dyDescent="0.2">
      <c r="A288" s="420"/>
      <c r="B288" s="420"/>
      <c r="C288" s="420"/>
      <c r="D288" s="420"/>
      <c r="E288" s="420"/>
      <c r="F288" s="420"/>
      <c r="G288" s="420"/>
      <c r="H288" s="420"/>
      <c r="I288" s="420"/>
      <c r="J288" s="420"/>
      <c r="K288" s="420"/>
      <c r="L288" s="420"/>
    </row>
    <row r="289" spans="1:12" x14ac:dyDescent="0.2">
      <c r="A289" s="420"/>
      <c r="B289" s="420"/>
      <c r="C289" s="420"/>
      <c r="D289" s="420"/>
      <c r="E289" s="420"/>
      <c r="F289" s="420"/>
      <c r="G289" s="420"/>
      <c r="H289" s="420"/>
      <c r="I289" s="420"/>
      <c r="J289" s="420"/>
      <c r="K289" s="420"/>
      <c r="L289" s="420"/>
    </row>
    <row r="290" spans="1:12" x14ac:dyDescent="0.2">
      <c r="A290" s="420"/>
      <c r="B290" s="420"/>
      <c r="C290" s="420"/>
      <c r="D290" s="420"/>
      <c r="E290" s="420"/>
      <c r="F290" s="420"/>
      <c r="G290" s="420"/>
      <c r="H290" s="420"/>
      <c r="I290" s="420"/>
      <c r="J290" s="420"/>
      <c r="K290" s="420"/>
      <c r="L290" s="420"/>
    </row>
    <row r="291" spans="1:12" x14ac:dyDescent="0.2">
      <c r="A291" s="420"/>
      <c r="B291" s="420"/>
      <c r="C291" s="420"/>
      <c r="D291" s="420"/>
      <c r="E291" s="420"/>
      <c r="F291" s="420"/>
      <c r="G291" s="420"/>
      <c r="H291" s="420"/>
      <c r="I291" s="420"/>
      <c r="J291" s="420"/>
      <c r="K291" s="420"/>
      <c r="L291" s="420"/>
    </row>
    <row r="292" spans="1:12" x14ac:dyDescent="0.2">
      <c r="A292" s="420"/>
      <c r="B292" s="420"/>
      <c r="C292" s="420"/>
      <c r="D292" s="420"/>
      <c r="E292" s="420"/>
      <c r="F292" s="420"/>
      <c r="G292" s="420"/>
      <c r="H292" s="420"/>
      <c r="I292" s="420"/>
      <c r="J292" s="420"/>
      <c r="K292" s="420"/>
      <c r="L292" s="420"/>
    </row>
    <row r="293" spans="1:12" x14ac:dyDescent="0.2">
      <c r="A293" s="420"/>
      <c r="B293" s="420"/>
      <c r="C293" s="420"/>
      <c r="D293" s="420"/>
      <c r="E293" s="420"/>
      <c r="F293" s="420"/>
      <c r="G293" s="420"/>
      <c r="H293" s="420"/>
      <c r="I293" s="420"/>
      <c r="J293" s="420"/>
      <c r="K293" s="420"/>
      <c r="L293" s="420"/>
    </row>
    <row r="294" spans="1:12" x14ac:dyDescent="0.2">
      <c r="A294" s="420"/>
      <c r="B294" s="420"/>
      <c r="C294" s="420"/>
      <c r="D294" s="420"/>
      <c r="E294" s="420"/>
      <c r="F294" s="420"/>
      <c r="G294" s="420"/>
      <c r="H294" s="420"/>
      <c r="I294" s="420"/>
      <c r="J294" s="420"/>
      <c r="K294" s="420"/>
      <c r="L294" s="420"/>
    </row>
    <row r="295" spans="1:12" x14ac:dyDescent="0.2">
      <c r="A295" s="420"/>
      <c r="B295" s="420"/>
      <c r="C295" s="420"/>
      <c r="D295" s="420"/>
      <c r="E295" s="420"/>
      <c r="F295" s="420"/>
      <c r="G295" s="420"/>
      <c r="H295" s="420"/>
      <c r="I295" s="420"/>
      <c r="J295" s="420"/>
      <c r="K295" s="420"/>
      <c r="L295" s="420"/>
    </row>
    <row r="296" spans="1:12" x14ac:dyDescent="0.2">
      <c r="A296" s="420"/>
      <c r="B296" s="420"/>
      <c r="C296" s="420"/>
      <c r="D296" s="420"/>
      <c r="E296" s="420"/>
      <c r="F296" s="420"/>
      <c r="G296" s="420"/>
      <c r="H296" s="420"/>
      <c r="I296" s="420"/>
      <c r="J296" s="420"/>
      <c r="K296" s="420"/>
      <c r="L296" s="420"/>
    </row>
    <row r="297" spans="1:12" x14ac:dyDescent="0.2">
      <c r="A297" s="420"/>
      <c r="B297" s="420"/>
      <c r="C297" s="420"/>
      <c r="D297" s="420"/>
      <c r="E297" s="420"/>
      <c r="F297" s="420"/>
      <c r="G297" s="420"/>
      <c r="H297" s="420"/>
      <c r="I297" s="420"/>
      <c r="J297" s="420"/>
      <c r="K297" s="420"/>
      <c r="L297" s="420"/>
    </row>
    <row r="298" spans="1:12" x14ac:dyDescent="0.2">
      <c r="A298" s="420"/>
      <c r="B298" s="420"/>
      <c r="C298" s="420"/>
      <c r="D298" s="420"/>
      <c r="E298" s="420"/>
      <c r="F298" s="420"/>
      <c r="G298" s="420"/>
      <c r="H298" s="420"/>
      <c r="I298" s="420"/>
      <c r="J298" s="420"/>
      <c r="K298" s="420"/>
      <c r="L298" s="420"/>
    </row>
    <row r="299" spans="1:12" x14ac:dyDescent="0.2">
      <c r="A299" s="420"/>
      <c r="B299" s="420"/>
      <c r="C299" s="420"/>
      <c r="D299" s="420"/>
      <c r="E299" s="420"/>
      <c r="F299" s="420"/>
      <c r="G299" s="420"/>
      <c r="H299" s="420"/>
      <c r="I299" s="420"/>
      <c r="J299" s="420"/>
      <c r="K299" s="420"/>
      <c r="L299" s="420"/>
    </row>
    <row r="300" spans="1:12" x14ac:dyDescent="0.2">
      <c r="A300" s="420"/>
      <c r="B300" s="420"/>
      <c r="C300" s="420"/>
      <c r="D300" s="420"/>
      <c r="E300" s="420"/>
      <c r="F300" s="420"/>
      <c r="G300" s="420"/>
      <c r="H300" s="420"/>
      <c r="I300" s="420"/>
      <c r="J300" s="420"/>
      <c r="K300" s="420"/>
      <c r="L300" s="420"/>
    </row>
    <row r="301" spans="1:12" x14ac:dyDescent="0.2">
      <c r="A301" s="420"/>
      <c r="B301" s="420"/>
      <c r="C301" s="420"/>
      <c r="D301" s="420"/>
      <c r="E301" s="420"/>
      <c r="F301" s="420"/>
      <c r="G301" s="420"/>
      <c r="H301" s="420"/>
      <c r="I301" s="420"/>
      <c r="J301" s="420"/>
      <c r="K301" s="420"/>
      <c r="L301" s="420"/>
    </row>
    <row r="302" spans="1:12" x14ac:dyDescent="0.2">
      <c r="A302" s="420"/>
      <c r="B302" s="420"/>
      <c r="C302" s="420"/>
      <c r="D302" s="420"/>
      <c r="E302" s="420"/>
      <c r="F302" s="420"/>
      <c r="G302" s="420"/>
      <c r="H302" s="420"/>
      <c r="I302" s="420"/>
      <c r="J302" s="420"/>
      <c r="K302" s="420"/>
      <c r="L302" s="420"/>
    </row>
    <row r="303" spans="1:12" x14ac:dyDescent="0.2">
      <c r="A303" s="420"/>
      <c r="B303" s="420"/>
      <c r="C303" s="420"/>
      <c r="D303" s="420"/>
      <c r="E303" s="420"/>
      <c r="F303" s="420"/>
      <c r="G303" s="420"/>
      <c r="H303" s="420"/>
      <c r="I303" s="420"/>
      <c r="J303" s="420"/>
      <c r="K303" s="420"/>
      <c r="L303" s="420"/>
    </row>
    <row r="304" spans="1:12" x14ac:dyDescent="0.2">
      <c r="A304" s="420"/>
      <c r="B304" s="420"/>
      <c r="C304" s="420"/>
      <c r="D304" s="420"/>
      <c r="E304" s="420"/>
      <c r="F304" s="420"/>
      <c r="G304" s="420"/>
      <c r="H304" s="420"/>
      <c r="I304" s="420"/>
      <c r="J304" s="420"/>
      <c r="K304" s="420"/>
      <c r="L304" s="420"/>
    </row>
    <row r="305" spans="1:12" x14ac:dyDescent="0.2">
      <c r="A305" s="420"/>
      <c r="B305" s="420"/>
      <c r="C305" s="420"/>
      <c r="D305" s="420"/>
      <c r="E305" s="420"/>
      <c r="F305" s="420"/>
      <c r="G305" s="420"/>
      <c r="H305" s="420"/>
      <c r="I305" s="420"/>
      <c r="J305" s="420"/>
      <c r="K305" s="420"/>
      <c r="L305" s="420"/>
    </row>
    <row r="306" spans="1:12" x14ac:dyDescent="0.2">
      <c r="A306" s="420"/>
      <c r="B306" s="420"/>
      <c r="C306" s="420"/>
      <c r="D306" s="420"/>
      <c r="E306" s="420"/>
      <c r="F306" s="420"/>
      <c r="G306" s="420"/>
      <c r="H306" s="420"/>
      <c r="I306" s="420"/>
      <c r="J306" s="420"/>
      <c r="K306" s="420"/>
      <c r="L306" s="420"/>
    </row>
    <row r="307" spans="1:12" x14ac:dyDescent="0.2">
      <c r="A307" s="420"/>
      <c r="B307" s="420"/>
      <c r="C307" s="420"/>
      <c r="D307" s="420"/>
      <c r="E307" s="420"/>
      <c r="F307" s="420"/>
      <c r="G307" s="420"/>
      <c r="H307" s="420"/>
      <c r="I307" s="420"/>
      <c r="J307" s="420"/>
      <c r="K307" s="420"/>
      <c r="L307" s="420"/>
    </row>
    <row r="308" spans="1:12" x14ac:dyDescent="0.2">
      <c r="A308" s="420"/>
      <c r="B308" s="420"/>
      <c r="C308" s="420"/>
      <c r="D308" s="420"/>
      <c r="E308" s="420"/>
      <c r="F308" s="420"/>
      <c r="G308" s="420"/>
      <c r="H308" s="420"/>
      <c r="I308" s="420"/>
      <c r="J308" s="420"/>
      <c r="K308" s="420"/>
      <c r="L308" s="420"/>
    </row>
    <row r="309" spans="1:12" x14ac:dyDescent="0.2">
      <c r="A309" s="420"/>
      <c r="B309" s="420"/>
      <c r="C309" s="420"/>
      <c r="D309" s="420"/>
      <c r="E309" s="420"/>
      <c r="F309" s="420"/>
      <c r="G309" s="420"/>
      <c r="H309" s="420"/>
      <c r="I309" s="420"/>
      <c r="J309" s="420"/>
      <c r="K309" s="420"/>
      <c r="L309" s="420"/>
    </row>
    <row r="310" spans="1:12" x14ac:dyDescent="0.2">
      <c r="A310" s="420"/>
      <c r="B310" s="420"/>
      <c r="C310" s="420"/>
      <c r="D310" s="420"/>
      <c r="E310" s="420"/>
      <c r="F310" s="420"/>
      <c r="G310" s="420"/>
      <c r="H310" s="420"/>
      <c r="I310" s="420"/>
      <c r="J310" s="420"/>
      <c r="K310" s="420"/>
      <c r="L310" s="420"/>
    </row>
    <row r="311" spans="1:12" x14ac:dyDescent="0.2">
      <c r="A311" s="420"/>
      <c r="B311" s="420"/>
      <c r="C311" s="420"/>
      <c r="D311" s="420"/>
      <c r="E311" s="420"/>
      <c r="F311" s="420"/>
      <c r="G311" s="420"/>
      <c r="H311" s="420"/>
      <c r="I311" s="420"/>
      <c r="J311" s="420"/>
      <c r="K311" s="420"/>
      <c r="L311" s="420"/>
    </row>
    <row r="312" spans="1:12" x14ac:dyDescent="0.2">
      <c r="A312" s="420"/>
      <c r="B312" s="420"/>
      <c r="C312" s="420"/>
      <c r="D312" s="420"/>
      <c r="E312" s="420"/>
      <c r="F312" s="420"/>
      <c r="G312" s="420"/>
      <c r="H312" s="420"/>
      <c r="I312" s="420"/>
      <c r="J312" s="420"/>
      <c r="K312" s="420"/>
      <c r="L312" s="420"/>
    </row>
    <row r="313" spans="1:12" x14ac:dyDescent="0.2">
      <c r="A313" s="420"/>
      <c r="B313" s="420"/>
      <c r="C313" s="420"/>
      <c r="D313" s="420"/>
      <c r="E313" s="420"/>
      <c r="F313" s="420"/>
      <c r="G313" s="420"/>
      <c r="H313" s="420"/>
      <c r="I313" s="420"/>
      <c r="J313" s="420"/>
      <c r="K313" s="420"/>
      <c r="L313" s="420"/>
    </row>
    <row r="314" spans="1:12" x14ac:dyDescent="0.2">
      <c r="A314" s="420"/>
      <c r="B314" s="420"/>
      <c r="C314" s="420"/>
      <c r="D314" s="420"/>
      <c r="E314" s="420"/>
      <c r="F314" s="420"/>
      <c r="G314" s="420"/>
      <c r="H314" s="420"/>
      <c r="I314" s="420"/>
      <c r="J314" s="420"/>
      <c r="K314" s="420"/>
      <c r="L314" s="420"/>
    </row>
    <row r="315" spans="1:12" x14ac:dyDescent="0.2">
      <c r="A315" s="420"/>
      <c r="B315" s="420"/>
      <c r="C315" s="420"/>
      <c r="D315" s="420"/>
      <c r="E315" s="420"/>
      <c r="F315" s="420"/>
      <c r="G315" s="420"/>
      <c r="H315" s="420"/>
      <c r="I315" s="420"/>
      <c r="J315" s="420"/>
      <c r="K315" s="420"/>
      <c r="L315" s="420"/>
    </row>
    <row r="316" spans="1:12" x14ac:dyDescent="0.2">
      <c r="A316" s="420"/>
      <c r="B316" s="420"/>
      <c r="C316" s="420"/>
      <c r="D316" s="420"/>
      <c r="E316" s="420"/>
      <c r="F316" s="420"/>
      <c r="G316" s="420"/>
      <c r="H316" s="420"/>
      <c r="I316" s="420"/>
      <c r="J316" s="420"/>
      <c r="K316" s="420"/>
      <c r="L316" s="420"/>
    </row>
    <row r="317" spans="1:12" x14ac:dyDescent="0.2">
      <c r="A317" s="420"/>
      <c r="B317" s="420"/>
      <c r="C317" s="420"/>
      <c r="D317" s="420"/>
      <c r="E317" s="420"/>
      <c r="F317" s="420"/>
      <c r="G317" s="420"/>
      <c r="H317" s="420"/>
      <c r="I317" s="420"/>
      <c r="J317" s="420"/>
      <c r="K317" s="420"/>
      <c r="L317" s="420"/>
    </row>
    <row r="318" spans="1:12" x14ac:dyDescent="0.2">
      <c r="A318" s="420"/>
      <c r="B318" s="420"/>
      <c r="C318" s="420"/>
      <c r="D318" s="420"/>
      <c r="E318" s="420"/>
      <c r="F318" s="420"/>
      <c r="G318" s="420"/>
      <c r="H318" s="420"/>
      <c r="I318" s="420"/>
      <c r="J318" s="420"/>
      <c r="K318" s="420"/>
      <c r="L318" s="420"/>
    </row>
    <row r="319" spans="1:12" x14ac:dyDescent="0.2">
      <c r="A319" s="420"/>
      <c r="B319" s="420"/>
      <c r="C319" s="420"/>
      <c r="D319" s="420"/>
      <c r="E319" s="420"/>
      <c r="F319" s="420"/>
      <c r="G319" s="420"/>
      <c r="H319" s="420"/>
      <c r="I319" s="420"/>
      <c r="J319" s="420"/>
      <c r="K319" s="420"/>
      <c r="L319" s="420"/>
    </row>
    <row r="320" spans="1:12" x14ac:dyDescent="0.2">
      <c r="A320" s="420"/>
      <c r="B320" s="420"/>
      <c r="C320" s="420"/>
      <c r="D320" s="420"/>
      <c r="E320" s="420"/>
      <c r="F320" s="420"/>
      <c r="G320" s="420"/>
      <c r="H320" s="420"/>
      <c r="I320" s="420"/>
      <c r="J320" s="420"/>
      <c r="K320" s="420"/>
      <c r="L320" s="420"/>
    </row>
    <row r="321" spans="1:12" x14ac:dyDescent="0.2">
      <c r="A321" s="420"/>
      <c r="B321" s="420"/>
      <c r="C321" s="420"/>
      <c r="D321" s="420"/>
      <c r="E321" s="420"/>
      <c r="F321" s="420"/>
      <c r="G321" s="420"/>
      <c r="H321" s="420"/>
      <c r="I321" s="420"/>
      <c r="J321" s="420"/>
      <c r="K321" s="420"/>
      <c r="L321" s="420"/>
    </row>
    <row r="322" spans="1:12" x14ac:dyDescent="0.2">
      <c r="A322" s="420"/>
      <c r="B322" s="420"/>
      <c r="C322" s="420"/>
      <c r="D322" s="420"/>
      <c r="E322" s="420"/>
      <c r="F322" s="420"/>
      <c r="G322" s="420"/>
      <c r="H322" s="420"/>
      <c r="I322" s="420"/>
      <c r="J322" s="420"/>
      <c r="K322" s="420"/>
      <c r="L322" s="420"/>
    </row>
    <row r="323" spans="1:12" x14ac:dyDescent="0.2">
      <c r="A323" s="420"/>
      <c r="B323" s="420"/>
      <c r="C323" s="420"/>
      <c r="D323" s="420"/>
      <c r="E323" s="420"/>
      <c r="F323" s="420"/>
      <c r="G323" s="420"/>
      <c r="H323" s="420"/>
      <c r="I323" s="420"/>
      <c r="J323" s="420"/>
      <c r="K323" s="420"/>
      <c r="L323" s="420"/>
    </row>
    <row r="324" spans="1:12" x14ac:dyDescent="0.2">
      <c r="A324" s="420"/>
      <c r="B324" s="420"/>
      <c r="C324" s="420"/>
      <c r="D324" s="420"/>
      <c r="E324" s="420"/>
      <c r="F324" s="420"/>
      <c r="G324" s="420"/>
      <c r="H324" s="420"/>
      <c r="I324" s="420"/>
      <c r="J324" s="420"/>
      <c r="K324" s="420"/>
      <c r="L324" s="420"/>
    </row>
    <row r="325" spans="1:12" x14ac:dyDescent="0.2">
      <c r="A325" s="420"/>
      <c r="B325" s="420"/>
      <c r="C325" s="420"/>
      <c r="D325" s="420"/>
      <c r="E325" s="420"/>
      <c r="F325" s="420"/>
      <c r="G325" s="420"/>
      <c r="H325" s="420"/>
      <c r="I325" s="420"/>
      <c r="J325" s="420"/>
      <c r="K325" s="420"/>
      <c r="L325" s="420"/>
    </row>
    <row r="326" spans="1:12" x14ac:dyDescent="0.2">
      <c r="A326" s="420"/>
      <c r="B326" s="420"/>
      <c r="C326" s="420"/>
      <c r="D326" s="420"/>
      <c r="E326" s="420"/>
      <c r="F326" s="420"/>
      <c r="G326" s="420"/>
      <c r="H326" s="420"/>
      <c r="I326" s="420"/>
      <c r="J326" s="420"/>
      <c r="K326" s="420"/>
      <c r="L326" s="420"/>
    </row>
    <row r="327" spans="1:12" x14ac:dyDescent="0.2">
      <c r="A327" s="420"/>
      <c r="B327" s="420"/>
      <c r="C327" s="420"/>
      <c r="D327" s="420"/>
      <c r="E327" s="420"/>
      <c r="F327" s="420"/>
      <c r="G327" s="420"/>
      <c r="H327" s="420"/>
      <c r="I327" s="420"/>
      <c r="J327" s="420"/>
      <c r="K327" s="420"/>
      <c r="L327" s="420"/>
    </row>
    <row r="328" spans="1:12" x14ac:dyDescent="0.2">
      <c r="A328" s="420"/>
      <c r="B328" s="420"/>
      <c r="C328" s="420"/>
      <c r="D328" s="420"/>
      <c r="E328" s="420"/>
      <c r="F328" s="420"/>
      <c r="G328" s="420"/>
      <c r="H328" s="420"/>
      <c r="I328" s="420"/>
      <c r="J328" s="420"/>
      <c r="K328" s="420"/>
      <c r="L328" s="420"/>
    </row>
    <row r="329" spans="1:12" x14ac:dyDescent="0.2">
      <c r="A329" s="420"/>
      <c r="B329" s="420"/>
      <c r="C329" s="420"/>
      <c r="D329" s="420"/>
      <c r="E329" s="420"/>
      <c r="F329" s="420"/>
      <c r="G329" s="420"/>
      <c r="H329" s="420"/>
      <c r="I329" s="420"/>
      <c r="J329" s="420"/>
      <c r="K329" s="420"/>
      <c r="L329" s="420"/>
    </row>
    <row r="330" spans="1:12" x14ac:dyDescent="0.2">
      <c r="A330" s="420"/>
      <c r="B330" s="420"/>
      <c r="C330" s="420"/>
      <c r="D330" s="420"/>
      <c r="E330" s="420"/>
      <c r="F330" s="420"/>
      <c r="G330" s="420"/>
      <c r="H330" s="420"/>
      <c r="I330" s="420"/>
      <c r="J330" s="420"/>
      <c r="K330" s="420"/>
      <c r="L330" s="420"/>
    </row>
    <row r="331" spans="1:12" x14ac:dyDescent="0.2">
      <c r="A331" s="420"/>
      <c r="B331" s="420"/>
      <c r="C331" s="420"/>
      <c r="D331" s="420"/>
      <c r="E331" s="420"/>
      <c r="F331" s="420"/>
      <c r="G331" s="420"/>
      <c r="H331" s="420"/>
      <c r="I331" s="420"/>
      <c r="J331" s="420"/>
      <c r="K331" s="420"/>
      <c r="L331" s="420"/>
    </row>
    <row r="332" spans="1:12" x14ac:dyDescent="0.2">
      <c r="A332" s="420"/>
      <c r="B332" s="420"/>
      <c r="C332" s="420"/>
      <c r="D332" s="420"/>
      <c r="E332" s="420"/>
      <c r="F332" s="420"/>
      <c r="G332" s="420"/>
      <c r="H332" s="420"/>
      <c r="I332" s="420"/>
      <c r="J332" s="420"/>
      <c r="K332" s="420"/>
      <c r="L332" s="420"/>
    </row>
    <row r="333" spans="1:12" x14ac:dyDescent="0.2">
      <c r="A333" s="420"/>
      <c r="B333" s="420"/>
      <c r="C333" s="420"/>
      <c r="D333" s="420"/>
      <c r="E333" s="420"/>
      <c r="F333" s="420"/>
      <c r="G333" s="420"/>
      <c r="H333" s="420"/>
      <c r="I333" s="420"/>
      <c r="J333" s="420"/>
      <c r="K333" s="420"/>
      <c r="L333" s="420"/>
    </row>
    <row r="334" spans="1:12" x14ac:dyDescent="0.2">
      <c r="A334" s="420"/>
      <c r="B334" s="420"/>
      <c r="C334" s="420"/>
      <c r="D334" s="420"/>
      <c r="E334" s="420"/>
      <c r="F334" s="420"/>
      <c r="G334" s="420"/>
      <c r="H334" s="420"/>
      <c r="I334" s="420"/>
      <c r="J334" s="420"/>
      <c r="K334" s="420"/>
      <c r="L334" s="420"/>
    </row>
    <row r="335" spans="1:12" x14ac:dyDescent="0.2">
      <c r="A335" s="420"/>
      <c r="B335" s="420"/>
      <c r="C335" s="420"/>
      <c r="D335" s="420"/>
      <c r="E335" s="420"/>
      <c r="F335" s="420"/>
      <c r="G335" s="420"/>
      <c r="H335" s="420"/>
      <c r="I335" s="420"/>
      <c r="J335" s="420"/>
      <c r="K335" s="420"/>
      <c r="L335" s="420"/>
    </row>
    <row r="336" spans="1:12" x14ac:dyDescent="0.2">
      <c r="A336" s="420"/>
      <c r="B336" s="420"/>
      <c r="C336" s="420"/>
      <c r="D336" s="420"/>
      <c r="E336" s="420"/>
      <c r="F336" s="420"/>
      <c r="G336" s="420"/>
      <c r="H336" s="420"/>
      <c r="I336" s="420"/>
      <c r="J336" s="420"/>
      <c r="K336" s="420"/>
      <c r="L336" s="420"/>
    </row>
    <row r="337" spans="1:12" x14ac:dyDescent="0.2">
      <c r="A337" s="420"/>
      <c r="B337" s="420"/>
      <c r="C337" s="420"/>
      <c r="D337" s="420"/>
      <c r="E337" s="420"/>
      <c r="F337" s="420"/>
      <c r="G337" s="420"/>
      <c r="H337" s="420"/>
      <c r="I337" s="420"/>
      <c r="J337" s="420"/>
      <c r="K337" s="420"/>
      <c r="L337" s="420"/>
    </row>
    <row r="338" spans="1:12" x14ac:dyDescent="0.2">
      <c r="A338" s="420"/>
      <c r="B338" s="420"/>
      <c r="C338" s="420"/>
      <c r="D338" s="420"/>
      <c r="E338" s="420"/>
      <c r="F338" s="420"/>
      <c r="G338" s="420"/>
      <c r="H338" s="420"/>
      <c r="I338" s="420"/>
      <c r="J338" s="420"/>
      <c r="K338" s="420"/>
      <c r="L338" s="420"/>
    </row>
    <row r="339" spans="1:12" x14ac:dyDescent="0.2">
      <c r="A339" s="420"/>
      <c r="B339" s="420"/>
      <c r="C339" s="420"/>
      <c r="D339" s="420"/>
      <c r="E339" s="420"/>
      <c r="F339" s="420"/>
      <c r="G339" s="420"/>
      <c r="H339" s="420"/>
      <c r="I339" s="420"/>
      <c r="J339" s="420"/>
      <c r="K339" s="420"/>
      <c r="L339" s="420"/>
    </row>
    <row r="340" spans="1:12" x14ac:dyDescent="0.2">
      <c r="A340" s="420"/>
      <c r="B340" s="420"/>
      <c r="C340" s="420"/>
      <c r="D340" s="420"/>
      <c r="E340" s="420"/>
      <c r="F340" s="420"/>
      <c r="G340" s="420"/>
      <c r="H340" s="420"/>
      <c r="I340" s="420"/>
      <c r="J340" s="420"/>
      <c r="K340" s="420"/>
      <c r="L340" s="420"/>
    </row>
    <row r="341" spans="1:12" x14ac:dyDescent="0.2">
      <c r="A341" s="420"/>
      <c r="B341" s="420"/>
      <c r="C341" s="420"/>
      <c r="D341" s="420"/>
      <c r="E341" s="420"/>
      <c r="F341" s="420"/>
      <c r="G341" s="420"/>
      <c r="H341" s="420"/>
      <c r="I341" s="420"/>
      <c r="J341" s="420"/>
      <c r="K341" s="420"/>
      <c r="L341" s="420"/>
    </row>
    <row r="342" spans="1:12" x14ac:dyDescent="0.2">
      <c r="A342" s="420"/>
      <c r="B342" s="420"/>
      <c r="C342" s="420"/>
      <c r="D342" s="420"/>
      <c r="E342" s="420"/>
      <c r="F342" s="420"/>
      <c r="G342" s="420"/>
      <c r="H342" s="420"/>
      <c r="I342" s="420"/>
      <c r="J342" s="420"/>
      <c r="K342" s="420"/>
      <c r="L342" s="420"/>
    </row>
    <row r="343" spans="1:12" x14ac:dyDescent="0.2">
      <c r="A343" s="420"/>
      <c r="B343" s="420"/>
      <c r="C343" s="420"/>
      <c r="D343" s="420"/>
      <c r="E343" s="420"/>
      <c r="F343" s="420"/>
      <c r="G343" s="420"/>
      <c r="H343" s="420"/>
      <c r="I343" s="420"/>
      <c r="J343" s="420"/>
      <c r="K343" s="420"/>
      <c r="L343" s="420"/>
    </row>
    <row r="344" spans="1:12" x14ac:dyDescent="0.2">
      <c r="A344" s="420"/>
      <c r="B344" s="420"/>
      <c r="C344" s="420"/>
      <c r="D344" s="420"/>
      <c r="E344" s="420"/>
      <c r="F344" s="420"/>
      <c r="G344" s="420"/>
      <c r="H344" s="420"/>
      <c r="I344" s="420"/>
      <c r="J344" s="420"/>
      <c r="K344" s="420"/>
      <c r="L344" s="420"/>
    </row>
    <row r="345" spans="1:12" x14ac:dyDescent="0.2">
      <c r="A345" s="420"/>
      <c r="B345" s="420"/>
      <c r="C345" s="420"/>
      <c r="D345" s="420"/>
      <c r="E345" s="420"/>
      <c r="F345" s="420"/>
      <c r="G345" s="420"/>
      <c r="H345" s="420"/>
      <c r="I345" s="420"/>
      <c r="J345" s="420"/>
      <c r="K345" s="420"/>
      <c r="L345" s="420"/>
    </row>
    <row r="346" spans="1:12" x14ac:dyDescent="0.2">
      <c r="A346" s="420"/>
      <c r="B346" s="420"/>
      <c r="C346" s="420"/>
      <c r="D346" s="420"/>
      <c r="E346" s="420"/>
      <c r="F346" s="420"/>
      <c r="G346" s="420"/>
      <c r="H346" s="420"/>
      <c r="I346" s="420"/>
      <c r="J346" s="420"/>
      <c r="K346" s="420"/>
      <c r="L346" s="420"/>
    </row>
    <row r="347" spans="1:12" x14ac:dyDescent="0.2">
      <c r="A347" s="420"/>
      <c r="B347" s="420"/>
      <c r="C347" s="420"/>
      <c r="D347" s="420"/>
      <c r="E347" s="420"/>
      <c r="F347" s="420"/>
      <c r="G347" s="420"/>
      <c r="H347" s="420"/>
      <c r="I347" s="420"/>
      <c r="J347" s="420"/>
      <c r="K347" s="420"/>
      <c r="L347" s="420"/>
    </row>
    <row r="348" spans="1:12" x14ac:dyDescent="0.2">
      <c r="A348" s="420"/>
      <c r="B348" s="420"/>
      <c r="C348" s="420"/>
      <c r="D348" s="420"/>
      <c r="E348" s="420"/>
      <c r="F348" s="420"/>
      <c r="G348" s="420"/>
      <c r="H348" s="420"/>
      <c r="I348" s="420"/>
      <c r="J348" s="420"/>
      <c r="K348" s="420"/>
      <c r="L348" s="420"/>
    </row>
    <row r="349" spans="1:12" x14ac:dyDescent="0.2">
      <c r="A349" s="420"/>
      <c r="B349" s="420"/>
      <c r="C349" s="420"/>
      <c r="D349" s="420"/>
      <c r="E349" s="420"/>
      <c r="F349" s="420"/>
      <c r="G349" s="420"/>
      <c r="H349" s="420"/>
      <c r="I349" s="420"/>
      <c r="J349" s="420"/>
      <c r="K349" s="420"/>
      <c r="L349" s="420"/>
    </row>
    <row r="350" spans="1:12" x14ac:dyDescent="0.2">
      <c r="A350" s="420"/>
      <c r="B350" s="420"/>
      <c r="C350" s="420"/>
      <c r="D350" s="420"/>
      <c r="E350" s="420"/>
      <c r="F350" s="420"/>
      <c r="G350" s="420"/>
      <c r="H350" s="420"/>
      <c r="I350" s="420"/>
      <c r="J350" s="420"/>
      <c r="K350" s="420"/>
      <c r="L350" s="420"/>
    </row>
    <row r="351" spans="1:12" x14ac:dyDescent="0.2">
      <c r="A351" s="420"/>
      <c r="B351" s="420"/>
      <c r="C351" s="420"/>
      <c r="D351" s="420"/>
      <c r="E351" s="420"/>
      <c r="F351" s="420"/>
      <c r="G351" s="420"/>
      <c r="H351" s="420"/>
      <c r="I351" s="420"/>
      <c r="J351" s="420"/>
      <c r="K351" s="420"/>
      <c r="L351" s="420"/>
    </row>
    <row r="352" spans="1:12" x14ac:dyDescent="0.2">
      <c r="A352" s="420"/>
      <c r="B352" s="420"/>
      <c r="C352" s="420"/>
      <c r="D352" s="420"/>
      <c r="E352" s="420"/>
      <c r="F352" s="420"/>
      <c r="G352" s="420"/>
      <c r="H352" s="420"/>
      <c r="I352" s="420"/>
      <c r="J352" s="420"/>
      <c r="K352" s="420"/>
      <c r="L352" s="420"/>
    </row>
    <row r="353" spans="1:12" x14ac:dyDescent="0.2">
      <c r="A353" s="420"/>
      <c r="B353" s="420"/>
      <c r="C353" s="420"/>
      <c r="D353" s="420"/>
      <c r="E353" s="420"/>
      <c r="F353" s="420"/>
      <c r="G353" s="420"/>
      <c r="H353" s="420"/>
      <c r="I353" s="420"/>
      <c r="J353" s="420"/>
      <c r="K353" s="420"/>
      <c r="L353" s="420"/>
    </row>
    <row r="354" spans="1:12" x14ac:dyDescent="0.2">
      <c r="A354" s="420"/>
      <c r="B354" s="420"/>
      <c r="C354" s="420"/>
      <c r="D354" s="420"/>
      <c r="E354" s="420"/>
      <c r="F354" s="420"/>
      <c r="G354" s="420"/>
      <c r="H354" s="420"/>
      <c r="I354" s="420"/>
      <c r="J354" s="420"/>
      <c r="K354" s="420"/>
      <c r="L354" s="420"/>
    </row>
  </sheetData>
  <sheetProtection sheet="1"/>
  <mergeCells count="57">
    <mergeCell ref="F23:G23"/>
    <mergeCell ref="B6:K6"/>
    <mergeCell ref="B7:K7"/>
    <mergeCell ref="B8:K8"/>
    <mergeCell ref="B10:K10"/>
    <mergeCell ref="B12:K12"/>
    <mergeCell ref="B55:K55"/>
    <mergeCell ref="B50:C50"/>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B110:K110"/>
    <mergeCell ref="C114:D114"/>
    <mergeCell ref="C117:D117"/>
    <mergeCell ref="C120:D120"/>
    <mergeCell ref="C123:D123"/>
    <mergeCell ref="B125:K125"/>
    <mergeCell ref="C148:D148"/>
    <mergeCell ref="J148:K148"/>
    <mergeCell ref="F148:G148"/>
    <mergeCell ref="B128:K128"/>
    <mergeCell ref="B130:K130"/>
    <mergeCell ref="C133:D133"/>
    <mergeCell ref="H133:I133"/>
    <mergeCell ref="C134:D134"/>
    <mergeCell ref="H134:I134"/>
    <mergeCell ref="C136:D136"/>
    <mergeCell ref="C137:D137"/>
    <mergeCell ref="B144:K144"/>
    <mergeCell ref="C147:D147"/>
    <mergeCell ref="J147:K147"/>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40"/>
  <sheetViews>
    <sheetView topLeftCell="A7" workbookViewId="0">
      <selection activeCell="M78" sqref="M78"/>
    </sheetView>
  </sheetViews>
  <sheetFormatPr defaultColWidth="8.796875" defaultRowHeight="15.75" x14ac:dyDescent="0.25"/>
  <cols>
    <col min="1" max="1" width="64.09765625" style="422" customWidth="1"/>
    <col min="2" max="16384" width="8.796875" style="422"/>
  </cols>
  <sheetData>
    <row r="1" spans="1:1" ht="16.5" x14ac:dyDescent="0.25">
      <c r="A1" s="421" t="s">
        <v>599</v>
      </c>
    </row>
    <row r="3" spans="1:1" ht="31.5" x14ac:dyDescent="0.25">
      <c r="A3" s="423" t="s">
        <v>600</v>
      </c>
    </row>
    <row r="4" spans="1:1" x14ac:dyDescent="0.25">
      <c r="A4" s="424" t="s">
        <v>601</v>
      </c>
    </row>
    <row r="7" spans="1:1" ht="31.5" x14ac:dyDescent="0.25">
      <c r="A7" s="423" t="s">
        <v>602</v>
      </c>
    </row>
    <row r="8" spans="1:1" x14ac:dyDescent="0.25">
      <c r="A8" s="424" t="s">
        <v>603</v>
      </c>
    </row>
    <row r="11" spans="1:1" x14ac:dyDescent="0.25">
      <c r="A11" s="422" t="s">
        <v>604</v>
      </c>
    </row>
    <row r="12" spans="1:1" x14ac:dyDescent="0.25">
      <c r="A12" s="424" t="s">
        <v>605</v>
      </c>
    </row>
    <row r="15" spans="1:1" x14ac:dyDescent="0.25">
      <c r="A15" s="422" t="s">
        <v>606</v>
      </c>
    </row>
    <row r="16" spans="1:1" x14ac:dyDescent="0.25">
      <c r="A16" s="424" t="s">
        <v>607</v>
      </c>
    </row>
    <row r="19" spans="1:1" x14ac:dyDescent="0.25">
      <c r="A19" s="422" t="s">
        <v>608</v>
      </c>
    </row>
    <row r="20" spans="1:1" x14ac:dyDescent="0.25">
      <c r="A20" s="424" t="s">
        <v>609</v>
      </c>
    </row>
    <row r="23" spans="1:1" x14ac:dyDescent="0.25">
      <c r="A23" s="422" t="s">
        <v>610</v>
      </c>
    </row>
    <row r="24" spans="1:1" x14ac:dyDescent="0.25">
      <c r="A24" s="424" t="s">
        <v>611</v>
      </c>
    </row>
    <row r="27" spans="1:1" x14ac:dyDescent="0.25">
      <c r="A27" s="422" t="s">
        <v>612</v>
      </c>
    </row>
    <row r="28" spans="1:1" x14ac:dyDescent="0.25">
      <c r="A28" s="424" t="s">
        <v>613</v>
      </c>
    </row>
    <row r="31" spans="1:1" x14ac:dyDescent="0.25">
      <c r="A31" s="422" t="s">
        <v>614</v>
      </c>
    </row>
    <row r="32" spans="1:1" x14ac:dyDescent="0.25">
      <c r="A32" s="424" t="s">
        <v>615</v>
      </c>
    </row>
    <row r="35" spans="1:1" x14ac:dyDescent="0.25">
      <c r="A35" s="422" t="s">
        <v>616</v>
      </c>
    </row>
    <row r="36" spans="1:1" x14ac:dyDescent="0.25">
      <c r="A36" s="424" t="s">
        <v>617</v>
      </c>
    </row>
    <row r="39" spans="1:1" x14ac:dyDescent="0.25">
      <c r="A39" s="422" t="s">
        <v>618</v>
      </c>
    </row>
    <row r="40" spans="1:1" x14ac:dyDescent="0.25">
      <c r="A40" s="424" t="s">
        <v>619</v>
      </c>
    </row>
  </sheetData>
  <sheetProtection sheet="1"/>
  <hyperlinks>
    <hyperlink ref="A4" r:id="rId1" xr:uid="{00000000-0004-0000-1F00-000000000000}"/>
    <hyperlink ref="A8" r:id="rId2" xr:uid="{00000000-0004-0000-1F00-000001000000}"/>
    <hyperlink ref="A12" r:id="rId3" xr:uid="{00000000-0004-0000-1F00-000002000000}"/>
    <hyperlink ref="A16" r:id="rId4" xr:uid="{00000000-0004-0000-1F00-000003000000}"/>
    <hyperlink ref="A20" r:id="rId5" xr:uid="{00000000-0004-0000-1F00-000004000000}"/>
    <hyperlink ref="A24" r:id="rId6" xr:uid="{00000000-0004-0000-1F00-000005000000}"/>
    <hyperlink ref="A28" r:id="rId7" xr:uid="{00000000-0004-0000-1F00-000006000000}"/>
    <hyperlink ref="A32" r:id="rId8" xr:uid="{00000000-0004-0000-1F00-000007000000}"/>
    <hyperlink ref="A36" r:id="rId9" xr:uid="{00000000-0004-0000-1F00-000008000000}"/>
    <hyperlink ref="A40" r:id="rId10" xr:uid="{00000000-0004-0000-1F00-000009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249"/>
  <sheetViews>
    <sheetView workbookViewId="0">
      <selection activeCell="N36" sqref="N36"/>
    </sheetView>
  </sheetViews>
  <sheetFormatPr defaultColWidth="8.796875" defaultRowHeight="15.75" x14ac:dyDescent="0.25"/>
  <cols>
    <col min="1" max="1" width="74" style="68" customWidth="1"/>
    <col min="2" max="16384" width="8.796875" style="68"/>
  </cols>
  <sheetData>
    <row r="1" spans="1:1" x14ac:dyDescent="0.25">
      <c r="A1" s="305" t="s">
        <v>977</v>
      </c>
    </row>
    <row r="2" spans="1:1" x14ac:dyDescent="0.25">
      <c r="A2" s="68" t="s">
        <v>979</v>
      </c>
    </row>
    <row r="3" spans="1:1" x14ac:dyDescent="0.25">
      <c r="A3" s="68" t="s">
        <v>980</v>
      </c>
    </row>
    <row r="4" spans="1:1" x14ac:dyDescent="0.25">
      <c r="A4" s="68" t="s">
        <v>981</v>
      </c>
    </row>
    <row r="6" spans="1:1" x14ac:dyDescent="0.25">
      <c r="A6" s="305" t="s">
        <v>969</v>
      </c>
    </row>
    <row r="7" spans="1:1" x14ac:dyDescent="0.25">
      <c r="A7" s="68" t="s">
        <v>971</v>
      </c>
    </row>
    <row r="8" spans="1:1" x14ac:dyDescent="0.25">
      <c r="A8" s="68" t="s">
        <v>970</v>
      </c>
    </row>
    <row r="9" spans="1:1" x14ac:dyDescent="0.25">
      <c r="A9" s="68" t="s">
        <v>972</v>
      </c>
    </row>
    <row r="10" spans="1:1" x14ac:dyDescent="0.25">
      <c r="A10" s="68" t="s">
        <v>973</v>
      </c>
    </row>
    <row r="11" spans="1:1" x14ac:dyDescent="0.25">
      <c r="A11" s="68" t="s">
        <v>974</v>
      </c>
    </row>
    <row r="13" spans="1:1" x14ac:dyDescent="0.25">
      <c r="A13" s="789" t="s">
        <v>965</v>
      </c>
    </row>
    <row r="14" spans="1:1" x14ac:dyDescent="0.25">
      <c r="A14" s="68" t="s">
        <v>966</v>
      </c>
    </row>
    <row r="16" spans="1:1" x14ac:dyDescent="0.25">
      <c r="A16" s="789" t="s">
        <v>833</v>
      </c>
    </row>
    <row r="17" spans="1:1" x14ac:dyDescent="0.25">
      <c r="A17" s="788" t="s">
        <v>834</v>
      </c>
    </row>
    <row r="19" spans="1:1" x14ac:dyDescent="0.25">
      <c r="A19" s="789" t="s">
        <v>831</v>
      </c>
    </row>
    <row r="20" spans="1:1" x14ac:dyDescent="0.25">
      <c r="A20" s="788" t="s">
        <v>832</v>
      </c>
    </row>
    <row r="22" spans="1:1" x14ac:dyDescent="0.25">
      <c r="A22" s="789" t="s">
        <v>830</v>
      </c>
    </row>
    <row r="23" spans="1:1" x14ac:dyDescent="0.25">
      <c r="A23" s="788" t="s">
        <v>835</v>
      </c>
    </row>
    <row r="24" spans="1:1" x14ac:dyDescent="0.25">
      <c r="A24" s="788" t="s">
        <v>836</v>
      </c>
    </row>
    <row r="25" spans="1:1" x14ac:dyDescent="0.25">
      <c r="A25" s="788" t="s">
        <v>837</v>
      </c>
    </row>
    <row r="26" spans="1:1" x14ac:dyDescent="0.25">
      <c r="A26" s="788" t="s">
        <v>838</v>
      </c>
    </row>
    <row r="27" spans="1:1" x14ac:dyDescent="0.25">
      <c r="A27" s="788" t="s">
        <v>839</v>
      </c>
    </row>
    <row r="29" spans="1:1" x14ac:dyDescent="0.25">
      <c r="A29" s="327" t="s">
        <v>840</v>
      </c>
    </row>
    <row r="30" spans="1:1" x14ac:dyDescent="0.25">
      <c r="A30" s="709" t="s">
        <v>820</v>
      </c>
    </row>
    <row r="31" spans="1:1" x14ac:dyDescent="0.25">
      <c r="A31" s="757" t="s">
        <v>821</v>
      </c>
    </row>
    <row r="33" spans="1:1" x14ac:dyDescent="0.25">
      <c r="A33" s="327" t="s">
        <v>841</v>
      </c>
    </row>
    <row r="34" spans="1:1" x14ac:dyDescent="0.25">
      <c r="A34" s="709" t="s">
        <v>819</v>
      </c>
    </row>
    <row r="36" spans="1:1" x14ac:dyDescent="0.25">
      <c r="A36" s="327" t="s">
        <v>842</v>
      </c>
    </row>
    <row r="37" spans="1:1" x14ac:dyDescent="0.25">
      <c r="A37" s="709" t="s">
        <v>798</v>
      </c>
    </row>
    <row r="39" spans="1:1" x14ac:dyDescent="0.25">
      <c r="A39" s="327" t="s">
        <v>843</v>
      </c>
    </row>
    <row r="40" spans="1:1" x14ac:dyDescent="0.25">
      <c r="A40" s="68" t="s">
        <v>791</v>
      </c>
    </row>
    <row r="42" spans="1:1" x14ac:dyDescent="0.25">
      <c r="A42" s="327" t="s">
        <v>844</v>
      </c>
    </row>
    <row r="43" spans="1:1" x14ac:dyDescent="0.25">
      <c r="A43" s="709" t="s">
        <v>789</v>
      </c>
    </row>
    <row r="45" spans="1:1" x14ac:dyDescent="0.25">
      <c r="A45" s="327" t="s">
        <v>845</v>
      </c>
    </row>
    <row r="46" spans="1:1" x14ac:dyDescent="0.25">
      <c r="A46" s="689" t="s">
        <v>771</v>
      </c>
    </row>
    <row r="48" spans="1:1" x14ac:dyDescent="0.25">
      <c r="A48" s="327" t="s">
        <v>846</v>
      </c>
    </row>
    <row r="49" spans="1:1" x14ac:dyDescent="0.25">
      <c r="A49" s="674" t="s">
        <v>847</v>
      </c>
    </row>
    <row r="51" spans="1:1" x14ac:dyDescent="0.25">
      <c r="A51" s="327" t="s">
        <v>848</v>
      </c>
    </row>
    <row r="52" spans="1:1" x14ac:dyDescent="0.25">
      <c r="A52" s="671" t="s">
        <v>849</v>
      </c>
    </row>
    <row r="54" spans="1:1" x14ac:dyDescent="0.25">
      <c r="A54" s="327" t="s">
        <v>850</v>
      </c>
    </row>
    <row r="55" spans="1:1" x14ac:dyDescent="0.25">
      <c r="A55" s="672" t="s">
        <v>851</v>
      </c>
    </row>
    <row r="57" spans="1:1" x14ac:dyDescent="0.25">
      <c r="A57" s="327" t="s">
        <v>852</v>
      </c>
    </row>
    <row r="58" spans="1:1" x14ac:dyDescent="0.25">
      <c r="A58" s="68" t="s">
        <v>853</v>
      </c>
    </row>
    <row r="60" spans="1:1" x14ac:dyDescent="0.25">
      <c r="A60" s="327" t="s">
        <v>854</v>
      </c>
    </row>
    <row r="61" spans="1:1" x14ac:dyDescent="0.25">
      <c r="A61" s="671" t="s">
        <v>855</v>
      </c>
    </row>
    <row r="63" spans="1:1" x14ac:dyDescent="0.25">
      <c r="A63" s="327" t="s">
        <v>856</v>
      </c>
    </row>
    <row r="64" spans="1:1" x14ac:dyDescent="0.25">
      <c r="A64" s="68" t="s">
        <v>857</v>
      </c>
    </row>
    <row r="65" spans="1:1" x14ac:dyDescent="0.25">
      <c r="A65" s="68" t="s">
        <v>858</v>
      </c>
    </row>
    <row r="66" spans="1:1" x14ac:dyDescent="0.25">
      <c r="A66" s="68" t="s">
        <v>859</v>
      </c>
    </row>
    <row r="67" spans="1:1" x14ac:dyDescent="0.25">
      <c r="A67" s="68" t="s">
        <v>860</v>
      </c>
    </row>
    <row r="68" spans="1:1" x14ac:dyDescent="0.25">
      <c r="A68" s="68" t="s">
        <v>861</v>
      </c>
    </row>
    <row r="69" spans="1:1" x14ac:dyDescent="0.25">
      <c r="A69" s="68" t="s">
        <v>862</v>
      </c>
    </row>
    <row r="70" spans="1:1" x14ac:dyDescent="0.25">
      <c r="A70" s="68" t="s">
        <v>863</v>
      </c>
    </row>
    <row r="71" spans="1:1" x14ac:dyDescent="0.25">
      <c r="A71" s="68" t="s">
        <v>864</v>
      </c>
    </row>
    <row r="72" spans="1:1" x14ac:dyDescent="0.25">
      <c r="A72" s="68" t="s">
        <v>865</v>
      </c>
    </row>
    <row r="73" spans="1:1" x14ac:dyDescent="0.25">
      <c r="A73" s="68" t="s">
        <v>866</v>
      </c>
    </row>
    <row r="74" spans="1:1" x14ac:dyDescent="0.25">
      <c r="A74" s="68" t="s">
        <v>867</v>
      </c>
    </row>
    <row r="75" spans="1:1" x14ac:dyDescent="0.25">
      <c r="A75" s="68" t="s">
        <v>868</v>
      </c>
    </row>
    <row r="76" spans="1:1" x14ac:dyDescent="0.25">
      <c r="A76" s="68" t="s">
        <v>869</v>
      </c>
    </row>
    <row r="77" spans="1:1" x14ac:dyDescent="0.25">
      <c r="A77" s="68" t="s">
        <v>870</v>
      </c>
    </row>
    <row r="78" spans="1:1" x14ac:dyDescent="0.25">
      <c r="A78" s="68" t="s">
        <v>871</v>
      </c>
    </row>
    <row r="79" spans="1:1" x14ac:dyDescent="0.25">
      <c r="A79" s="68" t="s">
        <v>872</v>
      </c>
    </row>
    <row r="80" spans="1:1" x14ac:dyDescent="0.25">
      <c r="A80" s="68" t="s">
        <v>873</v>
      </c>
    </row>
    <row r="81" spans="1:1" x14ac:dyDescent="0.25">
      <c r="A81" s="68" t="s">
        <v>874</v>
      </c>
    </row>
    <row r="82" spans="1:1" x14ac:dyDescent="0.25">
      <c r="A82" s="68" t="s">
        <v>875</v>
      </c>
    </row>
    <row r="83" spans="1:1" x14ac:dyDescent="0.25">
      <c r="A83" s="68" t="s">
        <v>876</v>
      </c>
    </row>
    <row r="84" spans="1:1" x14ac:dyDescent="0.25">
      <c r="A84" s="68" t="s">
        <v>877</v>
      </c>
    </row>
    <row r="85" spans="1:1" x14ac:dyDescent="0.25">
      <c r="A85" s="68" t="s">
        <v>878</v>
      </c>
    </row>
    <row r="86" spans="1:1" x14ac:dyDescent="0.25">
      <c r="A86" s="68" t="s">
        <v>879</v>
      </c>
    </row>
    <row r="87" spans="1:1" x14ac:dyDescent="0.25">
      <c r="A87" s="68" t="s">
        <v>880</v>
      </c>
    </row>
    <row r="88" spans="1:1" x14ac:dyDescent="0.25">
      <c r="A88" s="68" t="s">
        <v>881</v>
      </c>
    </row>
    <row r="89" spans="1:1" x14ac:dyDescent="0.25">
      <c r="A89" s="68" t="s">
        <v>882</v>
      </c>
    </row>
    <row r="90" spans="1:1" x14ac:dyDescent="0.25">
      <c r="A90" s="68" t="s">
        <v>883</v>
      </c>
    </row>
    <row r="91" spans="1:1" x14ac:dyDescent="0.25">
      <c r="A91" s="68" t="s">
        <v>884</v>
      </c>
    </row>
    <row r="92" spans="1:1" x14ac:dyDescent="0.25">
      <c r="A92" s="68" t="s">
        <v>885</v>
      </c>
    </row>
    <row r="94" spans="1:1" x14ac:dyDescent="0.25">
      <c r="A94" s="327" t="s">
        <v>886</v>
      </c>
    </row>
    <row r="95" spans="1:1" x14ac:dyDescent="0.25">
      <c r="A95" s="68" t="s">
        <v>887</v>
      </c>
    </row>
    <row r="97" spans="1:1" x14ac:dyDescent="0.25">
      <c r="A97" s="327" t="s">
        <v>888</v>
      </c>
    </row>
    <row r="98" spans="1:1" x14ac:dyDescent="0.25">
      <c r="A98" s="68" t="s">
        <v>889</v>
      </c>
    </row>
    <row r="100" spans="1:1" x14ac:dyDescent="0.25">
      <c r="A100" s="327" t="s">
        <v>890</v>
      </c>
    </row>
    <row r="101" spans="1:1" x14ac:dyDescent="0.25">
      <c r="A101" s="482" t="s">
        <v>891</v>
      </c>
    </row>
    <row r="103" spans="1:1" x14ac:dyDescent="0.25">
      <c r="A103" s="327" t="s">
        <v>892</v>
      </c>
    </row>
    <row r="104" spans="1:1" x14ac:dyDescent="0.25">
      <c r="A104" s="68" t="s">
        <v>893</v>
      </c>
    </row>
    <row r="105" spans="1:1" x14ac:dyDescent="0.25">
      <c r="A105" s="68" t="s">
        <v>894</v>
      </c>
    </row>
    <row r="107" spans="1:1" x14ac:dyDescent="0.25">
      <c r="A107" s="327" t="s">
        <v>895</v>
      </c>
    </row>
    <row r="108" spans="1:1" x14ac:dyDescent="0.25">
      <c r="A108" s="482" t="s">
        <v>896</v>
      </c>
    </row>
    <row r="109" spans="1:1" x14ac:dyDescent="0.25">
      <c r="A109" s="482" t="s">
        <v>897</v>
      </c>
    </row>
    <row r="110" spans="1:1" ht="31.5" x14ac:dyDescent="0.25">
      <c r="A110" s="481" t="s">
        <v>898</v>
      </c>
    </row>
    <row r="111" spans="1:1" x14ac:dyDescent="0.25">
      <c r="A111" s="482" t="s">
        <v>899</v>
      </c>
    </row>
    <row r="112" spans="1:1" x14ac:dyDescent="0.25">
      <c r="A112" s="482" t="s">
        <v>900</v>
      </c>
    </row>
    <row r="113" spans="1:1" x14ac:dyDescent="0.25">
      <c r="A113" s="482" t="s">
        <v>901</v>
      </c>
    </row>
    <row r="114" spans="1:1" x14ac:dyDescent="0.25">
      <c r="A114" s="482" t="s">
        <v>902</v>
      </c>
    </row>
    <row r="115" spans="1:1" x14ac:dyDescent="0.25">
      <c r="A115" s="482" t="s">
        <v>903</v>
      </c>
    </row>
    <row r="116" spans="1:1" x14ac:dyDescent="0.25">
      <c r="A116" s="482" t="s">
        <v>904</v>
      </c>
    </row>
    <row r="117" spans="1:1" x14ac:dyDescent="0.25">
      <c r="A117" s="482" t="s">
        <v>905</v>
      </c>
    </row>
    <row r="118" spans="1:1" x14ac:dyDescent="0.25">
      <c r="A118" s="482" t="s">
        <v>906</v>
      </c>
    </row>
    <row r="119" spans="1:1" x14ac:dyDescent="0.25">
      <c r="A119" s="482" t="s">
        <v>907</v>
      </c>
    </row>
    <row r="120" spans="1:1" x14ac:dyDescent="0.25">
      <c r="A120" s="482" t="s">
        <v>908</v>
      </c>
    </row>
    <row r="121" spans="1:1" x14ac:dyDescent="0.25">
      <c r="A121" s="482" t="s">
        <v>909</v>
      </c>
    </row>
    <row r="122" spans="1:1" x14ac:dyDescent="0.25">
      <c r="A122" s="482" t="s">
        <v>910</v>
      </c>
    </row>
    <row r="123" spans="1:1" x14ac:dyDescent="0.25">
      <c r="A123" s="482" t="s">
        <v>911</v>
      </c>
    </row>
    <row r="124" spans="1:1" x14ac:dyDescent="0.25">
      <c r="A124" s="482" t="s">
        <v>912</v>
      </c>
    </row>
    <row r="125" spans="1:1" x14ac:dyDescent="0.25">
      <c r="A125" s="482" t="s">
        <v>913</v>
      </c>
    </row>
    <row r="126" spans="1:1" x14ac:dyDescent="0.25">
      <c r="A126" s="482" t="s">
        <v>914</v>
      </c>
    </row>
    <row r="127" spans="1:1" x14ac:dyDescent="0.25">
      <c r="A127" s="482" t="s">
        <v>915</v>
      </c>
    </row>
    <row r="128" spans="1:1" x14ac:dyDescent="0.25">
      <c r="A128" s="482" t="s">
        <v>916</v>
      </c>
    </row>
    <row r="129" spans="1:1" x14ac:dyDescent="0.25">
      <c r="A129" s="482" t="s">
        <v>917</v>
      </c>
    </row>
    <row r="130" spans="1:1" x14ac:dyDescent="0.25">
      <c r="A130" s="482" t="s">
        <v>918</v>
      </c>
    </row>
    <row r="132" spans="1:1" x14ac:dyDescent="0.25">
      <c r="A132" s="327" t="s">
        <v>919</v>
      </c>
    </row>
    <row r="133" spans="1:1" ht="37.5" customHeight="1" x14ac:dyDescent="0.25">
      <c r="A133" s="294" t="s">
        <v>920</v>
      </c>
    </row>
    <row r="134" spans="1:1" ht="15.75" customHeight="1" x14ac:dyDescent="0.25"/>
    <row r="135" spans="1:1" x14ac:dyDescent="0.25">
      <c r="A135" s="327" t="s">
        <v>921</v>
      </c>
    </row>
    <row r="136" spans="1:1" x14ac:dyDescent="0.25">
      <c r="A136" s="68" t="s">
        <v>922</v>
      </c>
    </row>
    <row r="137" spans="1:1" x14ac:dyDescent="0.25">
      <c r="A137" s="68" t="s">
        <v>923</v>
      </c>
    </row>
    <row r="138" spans="1:1" x14ac:dyDescent="0.25">
      <c r="A138" s="68" t="s">
        <v>924</v>
      </c>
    </row>
    <row r="140" spans="1:1" x14ac:dyDescent="0.25">
      <c r="A140" s="330" t="s">
        <v>925</v>
      </c>
    </row>
    <row r="141" spans="1:1" x14ac:dyDescent="0.25">
      <c r="A141" s="68" t="s">
        <v>926</v>
      </c>
    </row>
    <row r="143" spans="1:1" x14ac:dyDescent="0.25">
      <c r="A143" s="327" t="s">
        <v>927</v>
      </c>
    </row>
    <row r="144" spans="1:1" x14ac:dyDescent="0.25">
      <c r="A144" s="328" t="s">
        <v>928</v>
      </c>
    </row>
    <row r="145" spans="1:1" x14ac:dyDescent="0.25">
      <c r="A145" s="328" t="s">
        <v>929</v>
      </c>
    </row>
    <row r="146" spans="1:1" x14ac:dyDescent="0.25">
      <c r="A146" s="328" t="s">
        <v>930</v>
      </c>
    </row>
    <row r="147" spans="1:1" x14ac:dyDescent="0.25">
      <c r="A147" s="326" t="s">
        <v>931</v>
      </c>
    </row>
    <row r="149" spans="1:1" x14ac:dyDescent="0.25">
      <c r="A149" s="305" t="s">
        <v>932</v>
      </c>
    </row>
    <row r="150" spans="1:1" x14ac:dyDescent="0.25">
      <c r="A150" s="68" t="s">
        <v>261</v>
      </c>
    </row>
    <row r="151" spans="1:1" x14ac:dyDescent="0.25">
      <c r="A151" s="68" t="s">
        <v>933</v>
      </c>
    </row>
    <row r="152" spans="1:1" x14ac:dyDescent="0.25">
      <c r="A152" s="68" t="s">
        <v>934</v>
      </c>
    </row>
    <row r="153" spans="1:1" x14ac:dyDescent="0.25">
      <c r="A153" s="68" t="s">
        <v>935</v>
      </c>
    </row>
    <row r="154" spans="1:1" x14ac:dyDescent="0.25">
      <c r="A154" s="68" t="s">
        <v>936</v>
      </c>
    </row>
    <row r="155" spans="1:1" x14ac:dyDescent="0.25">
      <c r="A155" s="68" t="s">
        <v>937</v>
      </c>
    </row>
    <row r="156" spans="1:1" x14ac:dyDescent="0.25">
      <c r="A156" s="68" t="s">
        <v>938</v>
      </c>
    </row>
    <row r="157" spans="1:1" x14ac:dyDescent="0.25">
      <c r="A157" s="68" t="s">
        <v>939</v>
      </c>
    </row>
    <row r="158" spans="1:1" x14ac:dyDescent="0.25">
      <c r="A158" s="68" t="s">
        <v>940</v>
      </c>
    </row>
    <row r="159" spans="1:1" x14ac:dyDescent="0.25">
      <c r="A159" s="68" t="s">
        <v>941</v>
      </c>
    </row>
    <row r="160" spans="1:1" x14ac:dyDescent="0.25">
      <c r="A160" s="68" t="s">
        <v>942</v>
      </c>
    </row>
    <row r="161" spans="1:1" ht="31.5" x14ac:dyDescent="0.25">
      <c r="A161" s="294" t="s">
        <v>943</v>
      </c>
    </row>
    <row r="162" spans="1:1" x14ac:dyDescent="0.25">
      <c r="A162" s="294" t="s">
        <v>944</v>
      </c>
    </row>
    <row r="163" spans="1:1" x14ac:dyDescent="0.25">
      <c r="A163" s="307" t="s">
        <v>945</v>
      </c>
    </row>
    <row r="164" spans="1:1" x14ac:dyDescent="0.25">
      <c r="A164" s="308" t="s">
        <v>946</v>
      </c>
    </row>
    <row r="166" spans="1:1" x14ac:dyDescent="0.25">
      <c r="A166" s="305" t="s">
        <v>947</v>
      </c>
    </row>
    <row r="167" spans="1:1" x14ac:dyDescent="0.25">
      <c r="A167" s="68" t="s">
        <v>948</v>
      </c>
    </row>
    <row r="168" spans="1:1" x14ac:dyDescent="0.25">
      <c r="A168" s="68" t="s">
        <v>949</v>
      </c>
    </row>
    <row r="170" spans="1:1" x14ac:dyDescent="0.25">
      <c r="A170" s="305" t="s">
        <v>950</v>
      </c>
    </row>
    <row r="171" spans="1:1" x14ac:dyDescent="0.25">
      <c r="A171" s="68" t="s">
        <v>951</v>
      </c>
    </row>
    <row r="173" spans="1:1" x14ac:dyDescent="0.25">
      <c r="A173" s="305" t="s">
        <v>952</v>
      </c>
    </row>
    <row r="174" spans="1:1" x14ac:dyDescent="0.25">
      <c r="A174" s="68" t="s">
        <v>953</v>
      </c>
    </row>
    <row r="176" spans="1:1" x14ac:dyDescent="0.25">
      <c r="A176" s="305" t="s">
        <v>954</v>
      </c>
    </row>
    <row r="177" spans="1:1" x14ac:dyDescent="0.25">
      <c r="A177" s="68" t="s">
        <v>955</v>
      </c>
    </row>
    <row r="178" spans="1:1" x14ac:dyDescent="0.25">
      <c r="A178" s="68" t="s">
        <v>956</v>
      </c>
    </row>
    <row r="180" spans="1:1" x14ac:dyDescent="0.25">
      <c r="A180" s="68" t="s">
        <v>957</v>
      </c>
    </row>
    <row r="181" spans="1:1" x14ac:dyDescent="0.25">
      <c r="A181" s="68" t="s">
        <v>958</v>
      </c>
    </row>
    <row r="182" spans="1:1" x14ac:dyDescent="0.25">
      <c r="A182" s="68" t="s">
        <v>959</v>
      </c>
    </row>
    <row r="183" spans="1:1" x14ac:dyDescent="0.25">
      <c r="A183" s="68" t="s">
        <v>960</v>
      </c>
    </row>
    <row r="185" spans="1:1" x14ac:dyDescent="0.25">
      <c r="A185" s="305" t="s">
        <v>961</v>
      </c>
    </row>
    <row r="186" spans="1:1" x14ac:dyDescent="0.25">
      <c r="A186" s="68" t="s">
        <v>255</v>
      </c>
    </row>
    <row r="187" spans="1:1" x14ac:dyDescent="0.25">
      <c r="A187" s="68" t="s">
        <v>256</v>
      </c>
    </row>
    <row r="189" spans="1:1" x14ac:dyDescent="0.25">
      <c r="A189" s="305" t="s">
        <v>962</v>
      </c>
    </row>
    <row r="190" spans="1:1" ht="15.75" customHeight="1" x14ac:dyDescent="0.25">
      <c r="A190" s="68" t="s">
        <v>254</v>
      </c>
    </row>
    <row r="192" spans="1:1" x14ac:dyDescent="0.25">
      <c r="A192" s="305" t="s">
        <v>210</v>
      </c>
    </row>
    <row r="193" spans="1:1" x14ac:dyDescent="0.25">
      <c r="A193" s="68" t="s">
        <v>211</v>
      </c>
    </row>
    <row r="194" spans="1:1" ht="31.5" x14ac:dyDescent="0.25">
      <c r="A194" s="294" t="s">
        <v>227</v>
      </c>
    </row>
    <row r="195" spans="1:1" x14ac:dyDescent="0.25">
      <c r="A195" s="68" t="s">
        <v>212</v>
      </c>
    </row>
    <row r="196" spans="1:1" x14ac:dyDescent="0.25">
      <c r="A196" s="68" t="s">
        <v>213</v>
      </c>
    </row>
    <row r="197" spans="1:1" x14ac:dyDescent="0.25">
      <c r="A197" s="68" t="s">
        <v>214</v>
      </c>
    </row>
    <row r="198" spans="1:1" x14ac:dyDescent="0.25">
      <c r="A198" s="68" t="s">
        <v>215</v>
      </c>
    </row>
    <row r="199" spans="1:1" ht="31.5" x14ac:dyDescent="0.25">
      <c r="A199" s="294" t="s">
        <v>196</v>
      </c>
    </row>
    <row r="200" spans="1:1" ht="31.5" x14ac:dyDescent="0.25">
      <c r="A200" s="294" t="s">
        <v>223</v>
      </c>
    </row>
    <row r="201" spans="1:1" ht="31.5" x14ac:dyDescent="0.25">
      <c r="A201" s="294" t="s">
        <v>216</v>
      </c>
    </row>
    <row r="202" spans="1:1" x14ac:dyDescent="0.25">
      <c r="A202" s="294" t="s">
        <v>217</v>
      </c>
    </row>
    <row r="203" spans="1:1" ht="15.75" customHeight="1" x14ac:dyDescent="0.25">
      <c r="A203" s="294" t="s">
        <v>218</v>
      </c>
    </row>
    <row r="204" spans="1:1" ht="15.75" customHeight="1" x14ac:dyDescent="0.25">
      <c r="A204" s="68" t="s">
        <v>219</v>
      </c>
    </row>
    <row r="205" spans="1:1" ht="15.75" customHeight="1" x14ac:dyDescent="0.25">
      <c r="A205" s="68" t="s">
        <v>220</v>
      </c>
    </row>
    <row r="206" spans="1:1" ht="15.75" customHeight="1" x14ac:dyDescent="0.25">
      <c r="A206" s="68" t="s">
        <v>221</v>
      </c>
    </row>
    <row r="207" spans="1:1" ht="15.75" customHeight="1" x14ac:dyDescent="0.25">
      <c r="A207" s="68" t="s">
        <v>226</v>
      </c>
    </row>
    <row r="208" spans="1:1" ht="34.5" customHeight="1" x14ac:dyDescent="0.25">
      <c r="A208" s="294" t="s">
        <v>224</v>
      </c>
    </row>
    <row r="209" spans="1:1" ht="15.75" customHeight="1" x14ac:dyDescent="0.25">
      <c r="A209" s="294" t="s">
        <v>190</v>
      </c>
    </row>
    <row r="210" spans="1:1" ht="33.75" customHeight="1" x14ac:dyDescent="0.25">
      <c r="A210" s="294" t="s">
        <v>197</v>
      </c>
    </row>
    <row r="211" spans="1:1" ht="15.75" customHeight="1" x14ac:dyDescent="0.25">
      <c r="A211" s="294" t="s">
        <v>191</v>
      </c>
    </row>
    <row r="212" spans="1:1" ht="15.75" customHeight="1" x14ac:dyDescent="0.25">
      <c r="A212" s="294" t="s">
        <v>192</v>
      </c>
    </row>
    <row r="213" spans="1:1" ht="15.75" customHeight="1" x14ac:dyDescent="0.25">
      <c r="A213" s="294" t="s">
        <v>193</v>
      </c>
    </row>
    <row r="214" spans="1:1" ht="31.5" x14ac:dyDescent="0.25">
      <c r="A214" s="294" t="s">
        <v>194</v>
      </c>
    </row>
    <row r="215" spans="1:1" ht="31.5" x14ac:dyDescent="0.25">
      <c r="A215" s="294" t="s">
        <v>198</v>
      </c>
    </row>
    <row r="216" spans="1:1" ht="31.5" x14ac:dyDescent="0.25">
      <c r="A216" s="294" t="s">
        <v>195</v>
      </c>
    </row>
    <row r="217" spans="1:1" ht="31.5" x14ac:dyDescent="0.25">
      <c r="A217" s="294" t="s">
        <v>963</v>
      </c>
    </row>
    <row r="218" spans="1:1" x14ac:dyDescent="0.25">
      <c r="A218" s="294" t="s">
        <v>204</v>
      </c>
    </row>
    <row r="220" spans="1:1" x14ac:dyDescent="0.25">
      <c r="A220" s="305" t="s">
        <v>152</v>
      </c>
    </row>
    <row r="221" spans="1:1" ht="47.25" x14ac:dyDescent="0.25">
      <c r="A221" s="294" t="s">
        <v>199</v>
      </c>
    </row>
    <row r="222" spans="1:1" x14ac:dyDescent="0.25">
      <c r="A222" s="68" t="s">
        <v>153</v>
      </c>
    </row>
    <row r="223" spans="1:1" x14ac:dyDescent="0.25">
      <c r="A223" s="68" t="s">
        <v>157</v>
      </c>
    </row>
    <row r="224" spans="1:1" x14ac:dyDescent="0.25">
      <c r="A224" s="68" t="s">
        <v>158</v>
      </c>
    </row>
    <row r="225" spans="1:1" x14ac:dyDescent="0.25">
      <c r="A225" s="68" t="s">
        <v>154</v>
      </c>
    </row>
    <row r="226" spans="1:1" x14ac:dyDescent="0.25">
      <c r="A226" s="68" t="s">
        <v>155</v>
      </c>
    </row>
    <row r="227" spans="1:1" x14ac:dyDescent="0.25">
      <c r="A227" s="68" t="s">
        <v>156</v>
      </c>
    </row>
    <row r="228" spans="1:1" x14ac:dyDescent="0.25">
      <c r="A228" s="294" t="s">
        <v>159</v>
      </c>
    </row>
    <row r="229" spans="1:1" x14ac:dyDescent="0.25">
      <c r="A229" s="68" t="s">
        <v>160</v>
      </c>
    </row>
    <row r="230" spans="1:1" x14ac:dyDescent="0.25">
      <c r="A230" s="68" t="s">
        <v>161</v>
      </c>
    </row>
    <row r="231" spans="1:1" x14ac:dyDescent="0.25">
      <c r="A231" s="68" t="s">
        <v>200</v>
      </c>
    </row>
    <row r="232" spans="1:1" x14ac:dyDescent="0.25">
      <c r="A232" s="68" t="s">
        <v>162</v>
      </c>
    </row>
    <row r="233" spans="1:1" x14ac:dyDescent="0.25">
      <c r="A233" s="68" t="s">
        <v>201</v>
      </c>
    </row>
    <row r="234" spans="1:1" x14ac:dyDescent="0.25">
      <c r="A234" s="68" t="s">
        <v>163</v>
      </c>
    </row>
    <row r="235" spans="1:1" x14ac:dyDescent="0.25">
      <c r="A235" s="68" t="s">
        <v>202</v>
      </c>
    </row>
    <row r="236" spans="1:1" x14ac:dyDescent="0.25">
      <c r="A236" s="68" t="s">
        <v>164</v>
      </c>
    </row>
    <row r="237" spans="1:1" x14ac:dyDescent="0.25">
      <c r="A237" s="68" t="s">
        <v>167</v>
      </c>
    </row>
    <row r="238" spans="1:1" x14ac:dyDescent="0.25">
      <c r="A238" s="68" t="s">
        <v>203</v>
      </c>
    </row>
    <row r="239" spans="1:1" x14ac:dyDescent="0.25">
      <c r="A239" s="68" t="s">
        <v>182</v>
      </c>
    </row>
    <row r="240" spans="1:1" x14ac:dyDescent="0.25">
      <c r="A240" s="68" t="s">
        <v>183</v>
      </c>
    </row>
    <row r="241" spans="1:1" x14ac:dyDescent="0.25">
      <c r="A241" s="68" t="s">
        <v>184</v>
      </c>
    </row>
    <row r="242" spans="1:1" x14ac:dyDescent="0.25">
      <c r="A242" s="68" t="s">
        <v>168</v>
      </c>
    </row>
    <row r="243" spans="1:1" x14ac:dyDescent="0.25">
      <c r="A243" s="68" t="s">
        <v>169</v>
      </c>
    </row>
    <row r="244" spans="1:1" x14ac:dyDescent="0.25">
      <c r="A244" s="68" t="s">
        <v>170</v>
      </c>
    </row>
    <row r="245" spans="1:1" x14ac:dyDescent="0.25">
      <c r="A245" s="68" t="s">
        <v>179</v>
      </c>
    </row>
    <row r="246" spans="1:1" x14ac:dyDescent="0.25">
      <c r="A246" s="68" t="s">
        <v>180</v>
      </c>
    </row>
    <row r="247" spans="1:1" x14ac:dyDescent="0.25">
      <c r="A247" s="68" t="s">
        <v>181</v>
      </c>
    </row>
    <row r="248" spans="1:1" x14ac:dyDescent="0.25">
      <c r="A248" s="68" t="s">
        <v>189</v>
      </c>
    </row>
    <row r="249" spans="1:1" x14ac:dyDescent="0.25">
      <c r="A249" s="68" t="s">
        <v>205</v>
      </c>
    </row>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6"/>
  <sheetViews>
    <sheetView workbookViewId="0">
      <selection activeCell="G19" sqref="G19"/>
    </sheetView>
  </sheetViews>
  <sheetFormatPr defaultRowHeight="15.75" x14ac:dyDescent="0.25"/>
  <cols>
    <col min="1" max="1" width="13.69921875" customWidth="1"/>
    <col min="2" max="2" width="16" customWidth="1"/>
  </cols>
  <sheetData>
    <row r="1" spans="1:10" x14ac:dyDescent="0.25">
      <c r="J1" s="647" t="s">
        <v>714</v>
      </c>
    </row>
    <row r="2" spans="1:10" ht="54" customHeight="1" x14ac:dyDescent="0.25">
      <c r="A2" s="854" t="s">
        <v>300</v>
      </c>
      <c r="B2" s="855"/>
      <c r="C2" s="855"/>
      <c r="D2" s="855"/>
      <c r="E2" s="855"/>
      <c r="F2" s="855"/>
      <c r="J2" s="647" t="s">
        <v>715</v>
      </c>
    </row>
    <row r="3" spans="1:10" x14ac:dyDescent="0.25">
      <c r="J3" s="647" t="s">
        <v>716</v>
      </c>
    </row>
    <row r="4" spans="1:10" x14ac:dyDescent="0.25">
      <c r="A4" s="422" t="s">
        <v>712</v>
      </c>
      <c r="B4" s="679" t="s">
        <v>984</v>
      </c>
      <c r="C4" s="646"/>
      <c r="J4" s="647" t="s">
        <v>717</v>
      </c>
    </row>
    <row r="5" spans="1:10" x14ac:dyDescent="0.25">
      <c r="A5" s="422"/>
      <c r="B5" s="646"/>
      <c r="J5" s="647" t="s">
        <v>718</v>
      </c>
    </row>
    <row r="6" spans="1:10" x14ac:dyDescent="0.25">
      <c r="A6" s="422" t="s">
        <v>713</v>
      </c>
      <c r="B6" s="679" t="s">
        <v>985</v>
      </c>
      <c r="J6" s="647" t="s">
        <v>719</v>
      </c>
    </row>
    <row r="7" spans="1:10" x14ac:dyDescent="0.25">
      <c r="A7" s="313"/>
      <c r="B7" s="313"/>
      <c r="C7" s="313"/>
      <c r="D7" s="315"/>
      <c r="E7" s="313"/>
      <c r="F7" s="313"/>
      <c r="J7" s="647" t="s">
        <v>720</v>
      </c>
    </row>
    <row r="8" spans="1:10" x14ac:dyDescent="0.25">
      <c r="A8" s="314" t="s">
        <v>301</v>
      </c>
      <c r="B8" s="679" t="s">
        <v>988</v>
      </c>
      <c r="C8" s="316"/>
      <c r="D8" s="314" t="s">
        <v>711</v>
      </c>
      <c r="E8" s="313"/>
      <c r="F8" s="313"/>
      <c r="J8" s="647" t="s">
        <v>721</v>
      </c>
    </row>
    <row r="9" spans="1:10" x14ac:dyDescent="0.25">
      <c r="A9" s="314"/>
      <c r="B9" s="317"/>
      <c r="C9" s="318"/>
      <c r="D9" s="314" t="str">
        <f ca="1">IF(B8="","",CONCATENATE("Latest date for notice to be published in your newspaper: ",G19," ",G23,", ",G24))</f>
        <v>Latest date for notice to be published in your newspaper: August 12, 2019</v>
      </c>
      <c r="E9" s="313"/>
      <c r="F9" s="313"/>
      <c r="J9" s="647" t="s">
        <v>722</v>
      </c>
    </row>
    <row r="10" spans="1:10" x14ac:dyDescent="0.25">
      <c r="A10" s="314" t="s">
        <v>302</v>
      </c>
      <c r="B10" s="679" t="s">
        <v>987</v>
      </c>
      <c r="C10" s="319"/>
      <c r="D10" s="314"/>
      <c r="E10" s="313"/>
      <c r="F10" s="313"/>
      <c r="J10" s="647" t="s">
        <v>723</v>
      </c>
    </row>
    <row r="11" spans="1:10" x14ac:dyDescent="0.25">
      <c r="A11" s="314"/>
      <c r="B11" s="314"/>
      <c r="C11" s="314"/>
      <c r="D11" s="314"/>
      <c r="E11" s="313"/>
      <c r="F11" s="313"/>
      <c r="J11" s="647" t="s">
        <v>724</v>
      </c>
    </row>
    <row r="12" spans="1:10" x14ac:dyDescent="0.25">
      <c r="A12" s="314" t="s">
        <v>303</v>
      </c>
      <c r="B12" s="680" t="s">
        <v>1000</v>
      </c>
      <c r="C12" s="681"/>
      <c r="D12" s="681"/>
      <c r="E12" s="682"/>
      <c r="F12" s="313"/>
      <c r="J12" s="647" t="s">
        <v>725</v>
      </c>
    </row>
    <row r="13" spans="1:10" x14ac:dyDescent="0.25">
      <c r="A13" s="314"/>
      <c r="B13" s="314"/>
      <c r="C13" s="314"/>
      <c r="D13" s="314"/>
      <c r="E13" s="313"/>
      <c r="F13" s="313"/>
    </row>
    <row r="14" spans="1:10" x14ac:dyDescent="0.25">
      <c r="A14" s="314"/>
      <c r="B14" s="314"/>
      <c r="C14" s="314"/>
      <c r="D14" s="314"/>
      <c r="E14" s="313"/>
      <c r="F14" s="313"/>
    </row>
    <row r="15" spans="1:10" x14ac:dyDescent="0.25">
      <c r="A15" s="314" t="s">
        <v>304</v>
      </c>
      <c r="B15" s="680" t="s">
        <v>986</v>
      </c>
      <c r="C15" s="681"/>
      <c r="D15" s="681"/>
      <c r="E15" s="682"/>
      <c r="F15" s="313"/>
    </row>
    <row r="18" spans="1:7" x14ac:dyDescent="0.25">
      <c r="A18" s="856" t="s">
        <v>305</v>
      </c>
      <c r="B18" s="856"/>
      <c r="C18" s="314"/>
      <c r="D18" s="314"/>
      <c r="E18" s="314"/>
      <c r="F18" s="313"/>
    </row>
    <row r="19" spans="1:7" x14ac:dyDescent="0.25">
      <c r="A19" s="314"/>
      <c r="B19" s="314"/>
      <c r="C19" s="314"/>
      <c r="D19" s="314"/>
      <c r="E19" s="314"/>
      <c r="F19" s="313"/>
      <c r="G19" s="647" t="str">
        <f ca="1">IF(B8="","",INDIRECT(G20))</f>
        <v>August</v>
      </c>
    </row>
    <row r="20" spans="1:7" x14ac:dyDescent="0.25">
      <c r="A20" s="314" t="s">
        <v>301</v>
      </c>
      <c r="B20" s="317" t="s">
        <v>306</v>
      </c>
      <c r="C20" s="314"/>
      <c r="D20" s="314"/>
      <c r="E20" s="314"/>
      <c r="G20" s="648" t="str">
        <f>IF(B8="","",CONCATENATE("J",G22))</f>
        <v>J8</v>
      </c>
    </row>
    <row r="21" spans="1:7" x14ac:dyDescent="0.25">
      <c r="A21" s="314"/>
      <c r="B21" s="314"/>
      <c r="C21" s="314"/>
      <c r="D21" s="314"/>
      <c r="E21" s="314"/>
      <c r="G21" s="649">
        <f>B8-10</f>
        <v>43689</v>
      </c>
    </row>
    <row r="22" spans="1:7" x14ac:dyDescent="0.25">
      <c r="A22" s="314" t="s">
        <v>302</v>
      </c>
      <c r="B22" s="314" t="s">
        <v>307</v>
      </c>
      <c r="C22" s="314"/>
      <c r="D22" s="314"/>
      <c r="E22" s="314"/>
      <c r="G22" s="650">
        <f>IF(B8="","",MONTH(G21))</f>
        <v>8</v>
      </c>
    </row>
    <row r="23" spans="1:7" x14ac:dyDescent="0.25">
      <c r="A23" s="314"/>
      <c r="B23" s="314"/>
      <c r="C23" s="314"/>
      <c r="D23" s="314"/>
      <c r="E23" s="314"/>
      <c r="G23" s="651">
        <f>IF(B8="","",DAY(G21))</f>
        <v>12</v>
      </c>
    </row>
    <row r="24" spans="1:7" x14ac:dyDescent="0.25">
      <c r="A24" s="314" t="s">
        <v>303</v>
      </c>
      <c r="B24" s="314" t="s">
        <v>309</v>
      </c>
      <c r="C24" s="314"/>
      <c r="D24" s="314"/>
      <c r="E24" s="314"/>
      <c r="G24" s="652">
        <f>IF(B8="","",YEAR(G21))</f>
        <v>2019</v>
      </c>
    </row>
    <row r="25" spans="1:7" x14ac:dyDescent="0.25">
      <c r="A25" s="314"/>
      <c r="B25" s="314"/>
      <c r="C25" s="314"/>
      <c r="D25" s="314"/>
      <c r="E25" s="314"/>
    </row>
    <row r="26" spans="1:7" x14ac:dyDescent="0.25">
      <c r="A26" s="314" t="s">
        <v>304</v>
      </c>
      <c r="B26" s="314" t="s">
        <v>308</v>
      </c>
      <c r="C26" s="314"/>
      <c r="D26" s="314"/>
      <c r="E26" s="31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49"/>
  <sheetViews>
    <sheetView workbookViewId="0">
      <selection activeCell="M37" sqref="M37"/>
    </sheetView>
  </sheetViews>
  <sheetFormatPr defaultRowHeight="15.75" x14ac:dyDescent="0.25"/>
  <cols>
    <col min="1" max="1" width="87.8984375" customWidth="1"/>
  </cols>
  <sheetData>
    <row r="1" spans="1:1" x14ac:dyDescent="0.25">
      <c r="A1" s="832" t="s">
        <v>975</v>
      </c>
    </row>
    <row r="2" spans="1:1" x14ac:dyDescent="0.25">
      <c r="A2" s="301"/>
    </row>
    <row r="3" spans="1:1" x14ac:dyDescent="0.25">
      <c r="A3" s="301"/>
    </row>
    <row r="4" spans="1:1" x14ac:dyDescent="0.25">
      <c r="A4" s="301"/>
    </row>
    <row r="5" spans="1:1" x14ac:dyDescent="0.25">
      <c r="A5" s="301"/>
    </row>
    <row r="6" spans="1:1" x14ac:dyDescent="0.25">
      <c r="A6" s="301"/>
    </row>
    <row r="7" spans="1:1" x14ac:dyDescent="0.25">
      <c r="A7" s="301"/>
    </row>
    <row r="8" spans="1:1" x14ac:dyDescent="0.25">
      <c r="A8" s="301"/>
    </row>
    <row r="9" spans="1:1" x14ac:dyDescent="0.25">
      <c r="A9" s="301"/>
    </row>
    <row r="10" spans="1:1" x14ac:dyDescent="0.25">
      <c r="A10" s="301"/>
    </row>
    <row r="11" spans="1:1" x14ac:dyDescent="0.25">
      <c r="A11" s="301"/>
    </row>
    <row r="12" spans="1:1" x14ac:dyDescent="0.25">
      <c r="A12" s="301"/>
    </row>
    <row r="13" spans="1:1" x14ac:dyDescent="0.25">
      <c r="A13" s="301"/>
    </row>
    <row r="14" spans="1:1" x14ac:dyDescent="0.25">
      <c r="A14" s="301"/>
    </row>
    <row r="15" spans="1:1" x14ac:dyDescent="0.25">
      <c r="A15" s="301"/>
    </row>
    <row r="16" spans="1:1" x14ac:dyDescent="0.25">
      <c r="A16" s="301"/>
    </row>
    <row r="17" spans="1:1" x14ac:dyDescent="0.25">
      <c r="A17" s="301"/>
    </row>
    <row r="18" spans="1:1" x14ac:dyDescent="0.25">
      <c r="A18" s="301"/>
    </row>
    <row r="19" spans="1:1" x14ac:dyDescent="0.25">
      <c r="A19" s="301"/>
    </row>
    <row r="20" spans="1:1" x14ac:dyDescent="0.25">
      <c r="A20" s="301"/>
    </row>
    <row r="21" spans="1:1" x14ac:dyDescent="0.25">
      <c r="A21" s="301"/>
    </row>
    <row r="22" spans="1:1" x14ac:dyDescent="0.25">
      <c r="A22" s="301"/>
    </row>
    <row r="23" spans="1:1" x14ac:dyDescent="0.25">
      <c r="A23" s="301"/>
    </row>
    <row r="24" spans="1:1" x14ac:dyDescent="0.25">
      <c r="A24" s="301"/>
    </row>
    <row r="25" spans="1:1" x14ac:dyDescent="0.25">
      <c r="A25" s="301"/>
    </row>
    <row r="26" spans="1:1" x14ac:dyDescent="0.25">
      <c r="A26" s="301"/>
    </row>
    <row r="27" spans="1:1" x14ac:dyDescent="0.25">
      <c r="A27" s="301"/>
    </row>
    <row r="28" spans="1:1" x14ac:dyDescent="0.25">
      <c r="A28" s="301"/>
    </row>
    <row r="29" spans="1:1" x14ac:dyDescent="0.25">
      <c r="A29" s="301"/>
    </row>
    <row r="30" spans="1:1" x14ac:dyDescent="0.25">
      <c r="A30" s="301"/>
    </row>
    <row r="31" spans="1:1" x14ac:dyDescent="0.25">
      <c r="A31" s="301"/>
    </row>
    <row r="32" spans="1:1" x14ac:dyDescent="0.25">
      <c r="A32" s="301"/>
    </row>
    <row r="33" spans="1:1" x14ac:dyDescent="0.25">
      <c r="A33" s="301"/>
    </row>
    <row r="34" spans="1:1" x14ac:dyDescent="0.25">
      <c r="A34" s="301"/>
    </row>
    <row r="35" spans="1:1" x14ac:dyDescent="0.25">
      <c r="A35" s="301"/>
    </row>
    <row r="36" spans="1:1" x14ac:dyDescent="0.25">
      <c r="A36" s="301"/>
    </row>
    <row r="37" spans="1:1" x14ac:dyDescent="0.25">
      <c r="A37" s="301"/>
    </row>
    <row r="38" spans="1:1" x14ac:dyDescent="0.25">
      <c r="A38" s="301"/>
    </row>
    <row r="39" spans="1:1" x14ac:dyDescent="0.25">
      <c r="A39" s="301"/>
    </row>
    <row r="40" spans="1:1" x14ac:dyDescent="0.25">
      <c r="A40" s="301"/>
    </row>
    <row r="41" spans="1:1" x14ac:dyDescent="0.25">
      <c r="A41" s="301"/>
    </row>
    <row r="42" spans="1:1" x14ac:dyDescent="0.25">
      <c r="A42" s="301"/>
    </row>
    <row r="43" spans="1:1" x14ac:dyDescent="0.25">
      <c r="A43" s="301"/>
    </row>
    <row r="44" spans="1:1" x14ac:dyDescent="0.25">
      <c r="A44" s="301"/>
    </row>
    <row r="45" spans="1:1" x14ac:dyDescent="0.25">
      <c r="A45" s="301"/>
    </row>
    <row r="46" spans="1:1" x14ac:dyDescent="0.25">
      <c r="A46" s="301"/>
    </row>
    <row r="47" spans="1:1" x14ac:dyDescent="0.25">
      <c r="A47" s="833"/>
    </row>
    <row r="48" spans="1:1" x14ac:dyDescent="0.25">
      <c r="A48" s="833"/>
    </row>
    <row r="49" spans="1:1" x14ac:dyDescent="0.25">
      <c r="A49" s="83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GW65"/>
  <sheetViews>
    <sheetView tabSelected="1" zoomScaleNormal="100" workbookViewId="0">
      <selection activeCell="B41" sqref="B41:C41"/>
    </sheetView>
  </sheetViews>
  <sheetFormatPr defaultColWidth="8.796875" defaultRowHeight="15.75" x14ac:dyDescent="0.25"/>
  <cols>
    <col min="1" max="1" width="20.69921875" style="68" customWidth="1"/>
    <col min="2" max="2" width="9.69921875" style="68" customWidth="1"/>
    <col min="3" max="3" width="5.69921875" style="68" customWidth="1"/>
    <col min="4" max="4" width="15.69921875" style="68" customWidth="1"/>
    <col min="5" max="5" width="12.69921875" style="68" customWidth="1"/>
    <col min="6" max="6" width="10.69921875" style="68" customWidth="1"/>
    <col min="7" max="16384" width="8.796875" style="68"/>
  </cols>
  <sheetData>
    <row r="1" spans="1:205" s="3" customFormat="1" x14ac:dyDescent="0.25">
      <c r="A1" s="863" t="s">
        <v>65</v>
      </c>
      <c r="B1" s="863"/>
      <c r="C1" s="863"/>
      <c r="D1" s="863"/>
      <c r="E1" s="863"/>
      <c r="F1" s="863"/>
      <c r="G1" s="3">
        <f>inputPrYr!D6</f>
        <v>2020</v>
      </c>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832"/>
      <c r="AN1" s="832"/>
      <c r="AO1" s="832"/>
      <c r="AP1" s="832"/>
      <c r="AQ1" s="832"/>
      <c r="AR1" s="832"/>
      <c r="AS1" s="832"/>
      <c r="AT1" s="832"/>
      <c r="AU1" s="832"/>
      <c r="AV1" s="832"/>
      <c r="AW1" s="832"/>
      <c r="AX1" s="832"/>
      <c r="AY1" s="832"/>
      <c r="AZ1" s="832"/>
      <c r="BA1" s="832"/>
      <c r="BB1" s="832"/>
      <c r="BC1" s="832"/>
      <c r="BD1" s="832"/>
      <c r="BE1" s="832"/>
      <c r="BF1" s="832"/>
      <c r="BG1" s="832"/>
      <c r="BH1" s="832"/>
      <c r="BI1" s="832"/>
      <c r="BJ1" s="832"/>
      <c r="BK1" s="832"/>
      <c r="BL1" s="832"/>
      <c r="BM1" s="832"/>
      <c r="BN1" s="832"/>
      <c r="BO1" s="832"/>
      <c r="BP1" s="832"/>
      <c r="BQ1" s="832"/>
      <c r="BR1" s="832"/>
      <c r="BS1" s="832"/>
      <c r="BT1" s="832"/>
      <c r="BU1" s="832"/>
      <c r="BV1" s="832"/>
      <c r="BW1" s="832"/>
      <c r="BX1" s="832"/>
      <c r="BY1" s="832"/>
      <c r="BZ1" s="832"/>
      <c r="CA1" s="832"/>
      <c r="CB1" s="832"/>
      <c r="CC1" s="832"/>
      <c r="CD1" s="832"/>
      <c r="CE1" s="832"/>
      <c r="CF1" s="832"/>
      <c r="CG1" s="832"/>
      <c r="CH1" s="832"/>
      <c r="CI1" s="832"/>
      <c r="CJ1" s="832"/>
      <c r="CK1" s="832"/>
      <c r="CL1" s="832"/>
      <c r="CM1" s="832"/>
      <c r="CN1" s="832"/>
      <c r="CO1" s="832"/>
      <c r="CP1" s="832"/>
      <c r="CQ1" s="832"/>
      <c r="CR1" s="832"/>
      <c r="CS1" s="832"/>
      <c r="CT1" s="832"/>
      <c r="CU1" s="832"/>
      <c r="CV1" s="832"/>
      <c r="CW1" s="832"/>
      <c r="CX1" s="832"/>
      <c r="CY1" s="832"/>
      <c r="CZ1" s="832"/>
      <c r="DA1" s="832"/>
      <c r="DB1" s="832"/>
      <c r="DC1" s="832"/>
      <c r="DD1" s="832"/>
      <c r="DE1" s="832"/>
      <c r="DF1" s="832"/>
      <c r="DG1" s="832"/>
      <c r="DH1" s="832"/>
      <c r="DI1" s="832"/>
      <c r="DJ1" s="832"/>
      <c r="DK1" s="832"/>
      <c r="DL1" s="832"/>
      <c r="DM1" s="832"/>
      <c r="DN1" s="832"/>
      <c r="DO1" s="832"/>
      <c r="DP1" s="832"/>
      <c r="DQ1" s="832"/>
      <c r="DR1" s="832"/>
      <c r="DS1" s="832"/>
      <c r="DT1" s="832"/>
      <c r="DU1" s="832"/>
      <c r="DV1" s="832"/>
      <c r="DW1" s="832"/>
      <c r="DX1" s="832"/>
      <c r="DY1" s="832"/>
      <c r="DZ1" s="832"/>
      <c r="EA1" s="832"/>
      <c r="EB1" s="832"/>
      <c r="EC1" s="832"/>
      <c r="ED1" s="832"/>
      <c r="EE1" s="832"/>
      <c r="EF1" s="832"/>
      <c r="EG1" s="832"/>
      <c r="EH1" s="832"/>
      <c r="EI1" s="832"/>
      <c r="EJ1" s="832"/>
      <c r="EK1" s="832"/>
      <c r="EL1" s="832"/>
      <c r="EM1" s="832"/>
      <c r="EN1" s="832"/>
      <c r="EO1" s="832"/>
      <c r="EP1" s="832"/>
      <c r="EQ1" s="832"/>
      <c r="ER1" s="832"/>
      <c r="ES1" s="832"/>
      <c r="ET1" s="832"/>
      <c r="EU1" s="832"/>
      <c r="EV1" s="832"/>
      <c r="EW1" s="832"/>
      <c r="EX1" s="832"/>
      <c r="EY1" s="832"/>
      <c r="EZ1" s="832"/>
      <c r="FA1" s="832"/>
      <c r="FB1" s="832"/>
      <c r="FC1" s="832"/>
      <c r="FD1" s="832"/>
      <c r="FE1" s="832"/>
      <c r="FF1" s="832"/>
      <c r="FG1" s="832"/>
      <c r="FH1" s="832"/>
      <c r="FI1" s="832"/>
      <c r="FJ1" s="832"/>
      <c r="FK1" s="832"/>
      <c r="FL1" s="832"/>
      <c r="FM1" s="832"/>
      <c r="FN1" s="832"/>
      <c r="FO1" s="832"/>
      <c r="FP1" s="832"/>
      <c r="FQ1" s="832"/>
      <c r="FR1" s="832"/>
      <c r="FS1" s="832"/>
      <c r="FT1" s="832"/>
      <c r="FU1" s="832"/>
      <c r="FV1" s="832"/>
      <c r="FW1" s="832"/>
      <c r="FX1" s="832"/>
      <c r="FY1" s="832"/>
      <c r="FZ1" s="832"/>
      <c r="GA1" s="832"/>
      <c r="GB1" s="832"/>
      <c r="GC1" s="832"/>
      <c r="GD1" s="832"/>
      <c r="GE1" s="832"/>
      <c r="GF1" s="832"/>
      <c r="GG1" s="832"/>
      <c r="GH1" s="832"/>
      <c r="GI1" s="832"/>
      <c r="GJ1" s="832"/>
      <c r="GK1" s="832"/>
      <c r="GL1" s="832"/>
      <c r="GM1" s="832"/>
      <c r="GN1" s="832"/>
      <c r="GO1" s="832"/>
      <c r="GP1" s="832"/>
      <c r="GQ1" s="832"/>
      <c r="GR1" s="832"/>
      <c r="GS1" s="832"/>
      <c r="GT1" s="832"/>
      <c r="GU1" s="832"/>
      <c r="GV1" s="832"/>
      <c r="GW1" s="832"/>
    </row>
    <row r="2" spans="1:205" s="3" customFormat="1" x14ac:dyDescent="0.25">
      <c r="B2" s="132"/>
      <c r="C2" s="132"/>
      <c r="D2" s="132"/>
      <c r="E2" s="132"/>
      <c r="F2" s="51"/>
      <c r="I2" s="832"/>
      <c r="J2" s="832"/>
      <c r="K2" s="832"/>
      <c r="L2" s="832"/>
      <c r="M2" s="832"/>
      <c r="N2" s="832"/>
      <c r="O2" s="832"/>
      <c r="P2" s="832"/>
      <c r="Q2" s="832"/>
      <c r="R2" s="832"/>
      <c r="S2" s="832"/>
      <c r="T2" s="832"/>
      <c r="U2" s="832"/>
      <c r="V2" s="832"/>
      <c r="W2" s="832"/>
      <c r="X2" s="832"/>
      <c r="Y2" s="832"/>
      <c r="Z2" s="832"/>
      <c r="AA2" s="832"/>
      <c r="AB2" s="832"/>
      <c r="AC2" s="832"/>
      <c r="AD2" s="832"/>
      <c r="AE2" s="832"/>
      <c r="AF2" s="832"/>
      <c r="AG2" s="832"/>
      <c r="AH2" s="832"/>
      <c r="AI2" s="832"/>
      <c r="AJ2" s="832"/>
      <c r="AK2" s="832"/>
      <c r="AL2" s="832"/>
      <c r="AM2" s="832"/>
      <c r="AN2" s="832"/>
      <c r="AO2" s="832"/>
      <c r="AP2" s="832"/>
      <c r="AQ2" s="832"/>
      <c r="AR2" s="832"/>
      <c r="AS2" s="832"/>
      <c r="AT2" s="832"/>
      <c r="AU2" s="832"/>
      <c r="AV2" s="832"/>
      <c r="AW2" s="832"/>
      <c r="AX2" s="832"/>
      <c r="AY2" s="832"/>
      <c r="AZ2" s="832"/>
      <c r="BA2" s="832"/>
      <c r="BB2" s="832"/>
      <c r="BC2" s="832"/>
      <c r="BD2" s="832"/>
      <c r="BE2" s="832"/>
      <c r="BF2" s="832"/>
      <c r="BG2" s="832"/>
      <c r="BH2" s="832"/>
      <c r="BI2" s="832"/>
      <c r="BJ2" s="832"/>
      <c r="BK2" s="832"/>
      <c r="BL2" s="832"/>
      <c r="BM2" s="832"/>
      <c r="BN2" s="832"/>
      <c r="BO2" s="832"/>
      <c r="BP2" s="832"/>
      <c r="BQ2" s="832"/>
      <c r="BR2" s="832"/>
      <c r="BS2" s="832"/>
      <c r="BT2" s="832"/>
      <c r="BU2" s="832"/>
      <c r="BV2" s="832"/>
      <c r="BW2" s="832"/>
      <c r="BX2" s="832"/>
      <c r="BY2" s="832"/>
      <c r="BZ2" s="832"/>
      <c r="CA2" s="832"/>
      <c r="CB2" s="832"/>
      <c r="CC2" s="832"/>
      <c r="CD2" s="832"/>
      <c r="CE2" s="832"/>
      <c r="CF2" s="832"/>
      <c r="CG2" s="832"/>
      <c r="CH2" s="832"/>
      <c r="CI2" s="832"/>
      <c r="CJ2" s="832"/>
      <c r="CK2" s="832"/>
      <c r="CL2" s="832"/>
      <c r="CM2" s="832"/>
      <c r="CN2" s="832"/>
      <c r="CO2" s="832"/>
      <c r="CP2" s="832"/>
      <c r="CQ2" s="832"/>
      <c r="CR2" s="832"/>
      <c r="CS2" s="832"/>
      <c r="CT2" s="832"/>
      <c r="CU2" s="832"/>
      <c r="CV2" s="832"/>
      <c r="CW2" s="832"/>
      <c r="CX2" s="832"/>
      <c r="CY2" s="832"/>
      <c r="CZ2" s="832"/>
      <c r="DA2" s="832"/>
      <c r="DB2" s="832"/>
      <c r="DC2" s="832"/>
      <c r="DD2" s="832"/>
      <c r="DE2" s="832"/>
      <c r="DF2" s="832"/>
      <c r="DG2" s="832"/>
      <c r="DH2" s="832"/>
      <c r="DI2" s="832"/>
      <c r="DJ2" s="832"/>
      <c r="DK2" s="832"/>
      <c r="DL2" s="832"/>
      <c r="DM2" s="832"/>
      <c r="DN2" s="832"/>
      <c r="DO2" s="832"/>
      <c r="DP2" s="832"/>
      <c r="DQ2" s="832"/>
      <c r="DR2" s="832"/>
      <c r="DS2" s="832"/>
      <c r="DT2" s="832"/>
      <c r="DU2" s="832"/>
      <c r="DV2" s="832"/>
      <c r="DW2" s="832"/>
      <c r="DX2" s="832"/>
      <c r="DY2" s="832"/>
      <c r="DZ2" s="832"/>
      <c r="EA2" s="832"/>
      <c r="EB2" s="832"/>
      <c r="EC2" s="832"/>
      <c r="ED2" s="832"/>
      <c r="EE2" s="832"/>
      <c r="EF2" s="832"/>
      <c r="EG2" s="832"/>
      <c r="EH2" s="832"/>
      <c r="EI2" s="832"/>
      <c r="EJ2" s="832"/>
      <c r="EK2" s="832"/>
      <c r="EL2" s="832"/>
      <c r="EM2" s="832"/>
      <c r="EN2" s="832"/>
      <c r="EO2" s="832"/>
      <c r="EP2" s="832"/>
      <c r="EQ2" s="832"/>
      <c r="ER2" s="832"/>
      <c r="ES2" s="832"/>
      <c r="ET2" s="832"/>
      <c r="EU2" s="832"/>
      <c r="EV2" s="832"/>
      <c r="EW2" s="832"/>
      <c r="EX2" s="832"/>
      <c r="EY2" s="832"/>
      <c r="EZ2" s="832"/>
      <c r="FA2" s="832"/>
      <c r="FB2" s="832"/>
      <c r="FC2" s="832"/>
      <c r="FD2" s="832"/>
      <c r="FE2" s="832"/>
      <c r="FF2" s="832"/>
      <c r="FG2" s="832"/>
      <c r="FH2" s="832"/>
      <c r="FI2" s="832"/>
      <c r="FJ2" s="832"/>
      <c r="FK2" s="832"/>
      <c r="FL2" s="832"/>
      <c r="FM2" s="832"/>
      <c r="FN2" s="832"/>
      <c r="FO2" s="832"/>
      <c r="FP2" s="832"/>
      <c r="FQ2" s="832"/>
      <c r="FR2" s="832"/>
      <c r="FS2" s="832"/>
      <c r="FT2" s="832"/>
      <c r="FU2" s="832"/>
      <c r="FV2" s="832"/>
      <c r="FW2" s="832"/>
      <c r="FX2" s="832"/>
      <c r="FY2" s="832"/>
      <c r="FZ2" s="832"/>
      <c r="GA2" s="832"/>
      <c r="GB2" s="832"/>
      <c r="GC2" s="832"/>
      <c r="GD2" s="832"/>
      <c r="GE2" s="832"/>
      <c r="GF2" s="832"/>
      <c r="GG2" s="832"/>
      <c r="GH2" s="832"/>
      <c r="GI2" s="832"/>
      <c r="GJ2" s="832"/>
      <c r="GK2" s="832"/>
      <c r="GL2" s="832"/>
      <c r="GM2" s="832"/>
      <c r="GN2" s="832"/>
      <c r="GO2" s="832"/>
      <c r="GP2" s="832"/>
      <c r="GQ2" s="832"/>
      <c r="GR2" s="832"/>
      <c r="GS2" s="832"/>
      <c r="GT2" s="832"/>
      <c r="GU2" s="832"/>
      <c r="GV2" s="832"/>
      <c r="GW2" s="832"/>
    </row>
    <row r="3" spans="1:205" s="3" customFormat="1" x14ac:dyDescent="0.25">
      <c r="A3" s="872" t="str">
        <f>CONCATENATE("To the Clerk of ",inputPrYr!D4,", State of Kansas")</f>
        <v>To the Clerk of THOMAS COUNTY, State of Kansas</v>
      </c>
      <c r="B3" s="871"/>
      <c r="C3" s="871"/>
      <c r="D3" s="871"/>
      <c r="E3" s="871"/>
      <c r="F3" s="871"/>
      <c r="G3" s="871"/>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c r="AN3" s="832"/>
      <c r="AO3" s="832"/>
      <c r="AP3" s="832"/>
      <c r="AQ3" s="832"/>
      <c r="AR3" s="832"/>
      <c r="AS3" s="832"/>
      <c r="AT3" s="832"/>
      <c r="AU3" s="832"/>
      <c r="AV3" s="832"/>
      <c r="AW3" s="832"/>
      <c r="AX3" s="832"/>
      <c r="AY3" s="832"/>
      <c r="AZ3" s="832"/>
      <c r="BA3" s="832"/>
      <c r="BB3" s="832"/>
      <c r="BC3" s="832"/>
      <c r="BD3" s="832"/>
      <c r="BE3" s="832"/>
      <c r="BF3" s="832"/>
      <c r="BG3" s="832"/>
      <c r="BH3" s="832"/>
      <c r="BI3" s="832"/>
      <c r="BJ3" s="832"/>
      <c r="BK3" s="832"/>
      <c r="BL3" s="832"/>
      <c r="BM3" s="832"/>
      <c r="BN3" s="832"/>
      <c r="BO3" s="832"/>
      <c r="BP3" s="832"/>
      <c r="BQ3" s="832"/>
      <c r="BR3" s="832"/>
      <c r="BS3" s="832"/>
      <c r="BT3" s="832"/>
      <c r="BU3" s="832"/>
      <c r="BV3" s="832"/>
      <c r="BW3" s="832"/>
      <c r="BX3" s="832"/>
      <c r="BY3" s="832"/>
      <c r="BZ3" s="832"/>
      <c r="CA3" s="832"/>
      <c r="CB3" s="832"/>
      <c r="CC3" s="832"/>
      <c r="CD3" s="832"/>
      <c r="CE3" s="832"/>
      <c r="CF3" s="832"/>
      <c r="CG3" s="832"/>
      <c r="CH3" s="832"/>
      <c r="CI3" s="832"/>
      <c r="CJ3" s="832"/>
      <c r="CK3" s="832"/>
      <c r="CL3" s="832"/>
      <c r="CM3" s="832"/>
      <c r="CN3" s="832"/>
      <c r="CO3" s="832"/>
      <c r="CP3" s="832"/>
      <c r="CQ3" s="832"/>
      <c r="CR3" s="832"/>
      <c r="CS3" s="832"/>
      <c r="CT3" s="832"/>
      <c r="CU3" s="832"/>
      <c r="CV3" s="832"/>
      <c r="CW3" s="832"/>
      <c r="CX3" s="832"/>
      <c r="CY3" s="832"/>
      <c r="CZ3" s="832"/>
      <c r="DA3" s="832"/>
      <c r="DB3" s="832"/>
      <c r="DC3" s="832"/>
      <c r="DD3" s="832"/>
      <c r="DE3" s="832"/>
      <c r="DF3" s="832"/>
      <c r="DG3" s="832"/>
      <c r="DH3" s="832"/>
      <c r="DI3" s="832"/>
      <c r="DJ3" s="832"/>
      <c r="DK3" s="832"/>
      <c r="DL3" s="832"/>
      <c r="DM3" s="832"/>
      <c r="DN3" s="832"/>
      <c r="DO3" s="832"/>
      <c r="DP3" s="832"/>
      <c r="DQ3" s="832"/>
      <c r="DR3" s="832"/>
      <c r="DS3" s="832"/>
      <c r="DT3" s="832"/>
      <c r="DU3" s="832"/>
      <c r="DV3" s="832"/>
      <c r="DW3" s="832"/>
      <c r="DX3" s="832"/>
      <c r="DY3" s="832"/>
      <c r="DZ3" s="832"/>
      <c r="EA3" s="832"/>
      <c r="EB3" s="832"/>
      <c r="EC3" s="832"/>
      <c r="ED3" s="832"/>
      <c r="EE3" s="832"/>
      <c r="EF3" s="832"/>
      <c r="EG3" s="832"/>
      <c r="EH3" s="832"/>
      <c r="EI3" s="832"/>
      <c r="EJ3" s="832"/>
      <c r="EK3" s="832"/>
      <c r="EL3" s="832"/>
      <c r="EM3" s="832"/>
      <c r="EN3" s="832"/>
      <c r="EO3" s="832"/>
      <c r="EP3" s="832"/>
      <c r="EQ3" s="832"/>
      <c r="ER3" s="832"/>
      <c r="ES3" s="832"/>
      <c r="ET3" s="832"/>
      <c r="EU3" s="832"/>
      <c r="EV3" s="832"/>
      <c r="EW3" s="832"/>
      <c r="EX3" s="832"/>
      <c r="EY3" s="832"/>
      <c r="EZ3" s="832"/>
      <c r="FA3" s="832"/>
      <c r="FB3" s="832"/>
      <c r="FC3" s="832"/>
      <c r="FD3" s="832"/>
      <c r="FE3" s="832"/>
      <c r="FF3" s="832"/>
      <c r="FG3" s="832"/>
      <c r="FH3" s="832"/>
      <c r="FI3" s="832"/>
      <c r="FJ3" s="832"/>
      <c r="FK3" s="832"/>
      <c r="FL3" s="832"/>
      <c r="FM3" s="832"/>
      <c r="FN3" s="832"/>
      <c r="FO3" s="832"/>
      <c r="FP3" s="832"/>
      <c r="FQ3" s="832"/>
      <c r="FR3" s="832"/>
      <c r="FS3" s="832"/>
      <c r="FT3" s="832"/>
      <c r="FU3" s="832"/>
      <c r="FV3" s="832"/>
      <c r="FW3" s="832"/>
      <c r="FX3" s="832"/>
      <c r="FY3" s="832"/>
      <c r="FZ3" s="832"/>
      <c r="GA3" s="832"/>
      <c r="GB3" s="832"/>
      <c r="GC3" s="832"/>
      <c r="GD3" s="832"/>
      <c r="GE3" s="832"/>
      <c r="GF3" s="832"/>
      <c r="GG3" s="832"/>
      <c r="GH3" s="832"/>
      <c r="GI3" s="832"/>
      <c r="GJ3" s="832"/>
      <c r="GK3" s="832"/>
      <c r="GL3" s="832"/>
      <c r="GM3" s="832"/>
      <c r="GN3" s="832"/>
      <c r="GO3" s="832"/>
      <c r="GP3" s="832"/>
      <c r="GQ3" s="832"/>
      <c r="GR3" s="832"/>
      <c r="GS3" s="832"/>
      <c r="GT3" s="832"/>
      <c r="GU3" s="832"/>
      <c r="GV3" s="832"/>
      <c r="GW3" s="832"/>
    </row>
    <row r="4" spans="1:205" s="3" customFormat="1" x14ac:dyDescent="0.25">
      <c r="A4" s="872" t="s">
        <v>121</v>
      </c>
      <c r="B4" s="840"/>
      <c r="C4" s="840"/>
      <c r="D4" s="840"/>
      <c r="E4" s="840"/>
      <c r="F4" s="840"/>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832"/>
      <c r="AY4" s="832"/>
      <c r="AZ4" s="832"/>
      <c r="BA4" s="832"/>
      <c r="BB4" s="832"/>
      <c r="BC4" s="832"/>
      <c r="BD4" s="832"/>
      <c r="BE4" s="832"/>
      <c r="BF4" s="832"/>
      <c r="BG4" s="832"/>
      <c r="BH4" s="832"/>
      <c r="BI4" s="832"/>
      <c r="BJ4" s="832"/>
      <c r="BK4" s="832"/>
      <c r="BL4" s="832"/>
      <c r="BM4" s="832"/>
      <c r="BN4" s="832"/>
      <c r="BO4" s="832"/>
      <c r="BP4" s="832"/>
      <c r="BQ4" s="832"/>
      <c r="BR4" s="832"/>
      <c r="BS4" s="832"/>
      <c r="BT4" s="832"/>
      <c r="BU4" s="832"/>
      <c r="BV4" s="832"/>
      <c r="BW4" s="832"/>
      <c r="BX4" s="832"/>
      <c r="BY4" s="832"/>
      <c r="BZ4" s="832"/>
      <c r="CA4" s="832"/>
      <c r="CB4" s="832"/>
      <c r="CC4" s="832"/>
      <c r="CD4" s="832"/>
      <c r="CE4" s="832"/>
      <c r="CF4" s="832"/>
      <c r="CG4" s="832"/>
      <c r="CH4" s="832"/>
      <c r="CI4" s="832"/>
      <c r="CJ4" s="832"/>
      <c r="CK4" s="832"/>
      <c r="CL4" s="832"/>
      <c r="CM4" s="832"/>
      <c r="CN4" s="832"/>
      <c r="CO4" s="832"/>
      <c r="CP4" s="832"/>
      <c r="CQ4" s="832"/>
      <c r="CR4" s="832"/>
      <c r="CS4" s="832"/>
      <c r="CT4" s="832"/>
      <c r="CU4" s="832"/>
      <c r="CV4" s="832"/>
      <c r="CW4" s="832"/>
      <c r="CX4" s="832"/>
      <c r="CY4" s="832"/>
      <c r="CZ4" s="832"/>
      <c r="DA4" s="832"/>
      <c r="DB4" s="832"/>
      <c r="DC4" s="832"/>
      <c r="DD4" s="832"/>
      <c r="DE4" s="832"/>
      <c r="DF4" s="832"/>
      <c r="DG4" s="832"/>
      <c r="DH4" s="832"/>
      <c r="DI4" s="832"/>
      <c r="DJ4" s="832"/>
      <c r="DK4" s="832"/>
      <c r="DL4" s="832"/>
      <c r="DM4" s="832"/>
      <c r="DN4" s="832"/>
      <c r="DO4" s="832"/>
      <c r="DP4" s="832"/>
      <c r="DQ4" s="832"/>
      <c r="DR4" s="832"/>
      <c r="DS4" s="832"/>
      <c r="DT4" s="832"/>
      <c r="DU4" s="832"/>
      <c r="DV4" s="832"/>
      <c r="DW4" s="832"/>
      <c r="DX4" s="832"/>
      <c r="DY4" s="832"/>
      <c r="DZ4" s="832"/>
      <c r="EA4" s="832"/>
      <c r="EB4" s="832"/>
      <c r="EC4" s="832"/>
      <c r="ED4" s="832"/>
      <c r="EE4" s="832"/>
      <c r="EF4" s="832"/>
      <c r="EG4" s="832"/>
      <c r="EH4" s="832"/>
      <c r="EI4" s="832"/>
      <c r="EJ4" s="832"/>
      <c r="EK4" s="832"/>
      <c r="EL4" s="832"/>
      <c r="EM4" s="832"/>
      <c r="EN4" s="832"/>
      <c r="EO4" s="832"/>
      <c r="EP4" s="832"/>
      <c r="EQ4" s="832"/>
      <c r="ER4" s="832"/>
      <c r="ES4" s="832"/>
      <c r="ET4" s="832"/>
      <c r="EU4" s="832"/>
      <c r="EV4" s="832"/>
      <c r="EW4" s="832"/>
      <c r="EX4" s="832"/>
      <c r="EY4" s="832"/>
      <c r="EZ4" s="832"/>
      <c r="FA4" s="832"/>
      <c r="FB4" s="832"/>
      <c r="FC4" s="832"/>
      <c r="FD4" s="832"/>
      <c r="FE4" s="832"/>
      <c r="FF4" s="832"/>
      <c r="FG4" s="832"/>
      <c r="FH4" s="832"/>
      <c r="FI4" s="832"/>
      <c r="FJ4" s="832"/>
      <c r="FK4" s="832"/>
      <c r="FL4" s="832"/>
      <c r="FM4" s="832"/>
      <c r="FN4" s="832"/>
      <c r="FO4" s="832"/>
      <c r="FP4" s="832"/>
      <c r="FQ4" s="832"/>
      <c r="FR4" s="832"/>
      <c r="FS4" s="832"/>
      <c r="FT4" s="832"/>
      <c r="FU4" s="832"/>
      <c r="FV4" s="832"/>
      <c r="FW4" s="832"/>
      <c r="FX4" s="832"/>
      <c r="FY4" s="832"/>
      <c r="FZ4" s="832"/>
      <c r="GA4" s="832"/>
      <c r="GB4" s="832"/>
      <c r="GC4" s="832"/>
      <c r="GD4" s="832"/>
      <c r="GE4" s="832"/>
      <c r="GF4" s="832"/>
      <c r="GG4" s="832"/>
      <c r="GH4" s="832"/>
      <c r="GI4" s="832"/>
      <c r="GJ4" s="832"/>
      <c r="GK4" s="832"/>
      <c r="GL4" s="832"/>
      <c r="GM4" s="832"/>
      <c r="GN4" s="832"/>
      <c r="GO4" s="832"/>
      <c r="GP4" s="832"/>
      <c r="GQ4" s="832"/>
      <c r="GR4" s="832"/>
      <c r="GS4" s="832"/>
      <c r="GT4" s="832"/>
      <c r="GU4" s="832"/>
      <c r="GV4" s="832"/>
      <c r="GW4" s="832"/>
    </row>
    <row r="5" spans="1:205" s="3" customFormat="1" x14ac:dyDescent="0.25">
      <c r="A5" s="839" t="str">
        <f>inputPrYr!D3</f>
        <v>ROVOHL TOWNSHIP</v>
      </c>
      <c r="B5" s="840"/>
      <c r="C5" s="840"/>
      <c r="D5" s="840"/>
      <c r="E5" s="840"/>
      <c r="F5" s="840"/>
      <c r="I5" s="832"/>
      <c r="J5" s="832"/>
      <c r="K5" s="832"/>
      <c r="L5" s="832"/>
      <c r="M5" s="832"/>
      <c r="N5" s="832"/>
      <c r="O5" s="832"/>
      <c r="P5" s="832"/>
      <c r="Q5" s="832"/>
      <c r="R5" s="832"/>
      <c r="S5" s="832"/>
      <c r="T5" s="832"/>
      <c r="U5" s="832"/>
      <c r="V5" s="832"/>
      <c r="W5" s="832"/>
      <c r="X5" s="832"/>
      <c r="Y5" s="832"/>
      <c r="Z5" s="832"/>
      <c r="AA5" s="832"/>
      <c r="AB5" s="832"/>
      <c r="AC5" s="832"/>
      <c r="AD5" s="832"/>
      <c r="AE5" s="832"/>
      <c r="AF5" s="832"/>
      <c r="AG5" s="832"/>
      <c r="AH5" s="832"/>
      <c r="AI5" s="832"/>
      <c r="AJ5" s="832"/>
      <c r="AK5" s="832"/>
      <c r="AL5" s="832"/>
      <c r="AM5" s="832"/>
      <c r="AN5" s="832"/>
      <c r="AO5" s="832"/>
      <c r="AP5" s="832"/>
      <c r="AQ5" s="832"/>
      <c r="AR5" s="832"/>
      <c r="AS5" s="832"/>
      <c r="AT5" s="832"/>
      <c r="AU5" s="832"/>
      <c r="AV5" s="832"/>
      <c r="AW5" s="832"/>
      <c r="AX5" s="832"/>
      <c r="AY5" s="832"/>
      <c r="AZ5" s="832"/>
      <c r="BA5" s="832"/>
      <c r="BB5" s="832"/>
      <c r="BC5" s="832"/>
      <c r="BD5" s="832"/>
      <c r="BE5" s="832"/>
      <c r="BF5" s="832"/>
      <c r="BG5" s="832"/>
      <c r="BH5" s="832"/>
      <c r="BI5" s="832"/>
      <c r="BJ5" s="832"/>
      <c r="BK5" s="832"/>
      <c r="BL5" s="832"/>
      <c r="BM5" s="832"/>
      <c r="BN5" s="832"/>
      <c r="BO5" s="832"/>
      <c r="BP5" s="832"/>
      <c r="BQ5" s="832"/>
      <c r="BR5" s="832"/>
      <c r="BS5" s="832"/>
      <c r="BT5" s="832"/>
      <c r="BU5" s="832"/>
      <c r="BV5" s="832"/>
      <c r="BW5" s="832"/>
      <c r="BX5" s="832"/>
      <c r="BY5" s="832"/>
      <c r="BZ5" s="832"/>
      <c r="CA5" s="832"/>
      <c r="CB5" s="832"/>
      <c r="CC5" s="832"/>
      <c r="CD5" s="832"/>
      <c r="CE5" s="832"/>
      <c r="CF5" s="832"/>
      <c r="CG5" s="832"/>
      <c r="CH5" s="832"/>
      <c r="CI5" s="832"/>
      <c r="CJ5" s="832"/>
      <c r="CK5" s="832"/>
      <c r="CL5" s="832"/>
      <c r="CM5" s="832"/>
      <c r="CN5" s="832"/>
      <c r="CO5" s="832"/>
      <c r="CP5" s="832"/>
      <c r="CQ5" s="832"/>
      <c r="CR5" s="832"/>
      <c r="CS5" s="832"/>
      <c r="CT5" s="832"/>
      <c r="CU5" s="832"/>
      <c r="CV5" s="832"/>
      <c r="CW5" s="832"/>
      <c r="CX5" s="832"/>
      <c r="CY5" s="832"/>
      <c r="CZ5" s="832"/>
      <c r="DA5" s="832"/>
      <c r="DB5" s="832"/>
      <c r="DC5" s="832"/>
      <c r="DD5" s="832"/>
      <c r="DE5" s="832"/>
      <c r="DF5" s="832"/>
      <c r="DG5" s="832"/>
      <c r="DH5" s="832"/>
      <c r="DI5" s="832"/>
      <c r="DJ5" s="832"/>
      <c r="DK5" s="832"/>
      <c r="DL5" s="832"/>
      <c r="DM5" s="832"/>
      <c r="DN5" s="832"/>
      <c r="DO5" s="832"/>
      <c r="DP5" s="832"/>
      <c r="DQ5" s="832"/>
      <c r="DR5" s="832"/>
      <c r="DS5" s="832"/>
      <c r="DT5" s="832"/>
      <c r="DU5" s="832"/>
      <c r="DV5" s="832"/>
      <c r="DW5" s="832"/>
      <c r="DX5" s="832"/>
      <c r="DY5" s="832"/>
      <c r="DZ5" s="832"/>
      <c r="EA5" s="832"/>
      <c r="EB5" s="832"/>
      <c r="EC5" s="832"/>
      <c r="ED5" s="832"/>
      <c r="EE5" s="832"/>
      <c r="EF5" s="832"/>
      <c r="EG5" s="832"/>
      <c r="EH5" s="832"/>
      <c r="EI5" s="832"/>
      <c r="EJ5" s="832"/>
      <c r="EK5" s="832"/>
      <c r="EL5" s="832"/>
      <c r="EM5" s="832"/>
      <c r="EN5" s="832"/>
      <c r="EO5" s="832"/>
      <c r="EP5" s="832"/>
      <c r="EQ5" s="832"/>
      <c r="ER5" s="832"/>
      <c r="ES5" s="832"/>
      <c r="ET5" s="832"/>
      <c r="EU5" s="832"/>
      <c r="EV5" s="832"/>
      <c r="EW5" s="832"/>
      <c r="EX5" s="832"/>
      <c r="EY5" s="832"/>
      <c r="EZ5" s="832"/>
      <c r="FA5" s="832"/>
      <c r="FB5" s="832"/>
      <c r="FC5" s="832"/>
      <c r="FD5" s="832"/>
      <c r="FE5" s="832"/>
      <c r="FF5" s="832"/>
      <c r="FG5" s="832"/>
      <c r="FH5" s="832"/>
      <c r="FI5" s="832"/>
      <c r="FJ5" s="832"/>
      <c r="FK5" s="832"/>
      <c r="FL5" s="832"/>
      <c r="FM5" s="832"/>
      <c r="FN5" s="832"/>
      <c r="FO5" s="832"/>
      <c r="FP5" s="832"/>
      <c r="FQ5" s="832"/>
      <c r="FR5" s="832"/>
      <c r="FS5" s="832"/>
      <c r="FT5" s="832"/>
      <c r="FU5" s="832"/>
      <c r="FV5" s="832"/>
      <c r="FW5" s="832"/>
      <c r="FX5" s="832"/>
      <c r="FY5" s="832"/>
      <c r="FZ5" s="832"/>
      <c r="GA5" s="832"/>
      <c r="GB5" s="832"/>
      <c r="GC5" s="832"/>
      <c r="GD5" s="832"/>
      <c r="GE5" s="832"/>
      <c r="GF5" s="832"/>
      <c r="GG5" s="832"/>
      <c r="GH5" s="832"/>
      <c r="GI5" s="832"/>
      <c r="GJ5" s="832"/>
      <c r="GK5" s="832"/>
      <c r="GL5" s="832"/>
      <c r="GM5" s="832"/>
      <c r="GN5" s="832"/>
      <c r="GO5" s="832"/>
      <c r="GP5" s="832"/>
      <c r="GQ5" s="832"/>
      <c r="GR5" s="832"/>
      <c r="GS5" s="832"/>
      <c r="GT5" s="832"/>
      <c r="GU5" s="832"/>
      <c r="GV5" s="832"/>
      <c r="GW5" s="832"/>
    </row>
    <row r="6" spans="1:205" s="3" customFormat="1" x14ac:dyDescent="0.25">
      <c r="A6" s="870" t="s">
        <v>119</v>
      </c>
      <c r="B6" s="871"/>
      <c r="C6" s="871"/>
      <c r="D6" s="871"/>
      <c r="E6" s="871"/>
      <c r="F6" s="871"/>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2"/>
      <c r="AY6" s="832"/>
      <c r="AZ6" s="832"/>
      <c r="BA6" s="832"/>
      <c r="BB6" s="832"/>
      <c r="BC6" s="832"/>
      <c r="BD6" s="832"/>
      <c r="BE6" s="832"/>
      <c r="BF6" s="832"/>
      <c r="BG6" s="832"/>
      <c r="BH6" s="832"/>
      <c r="BI6" s="832"/>
      <c r="BJ6" s="832"/>
      <c r="BK6" s="832"/>
      <c r="BL6" s="832"/>
      <c r="BM6" s="832"/>
      <c r="BN6" s="832"/>
      <c r="BO6" s="832"/>
      <c r="BP6" s="832"/>
      <c r="BQ6" s="832"/>
      <c r="BR6" s="832"/>
      <c r="BS6" s="832"/>
      <c r="BT6" s="832"/>
      <c r="BU6" s="832"/>
      <c r="BV6" s="832"/>
      <c r="BW6" s="832"/>
      <c r="BX6" s="832"/>
      <c r="BY6" s="832"/>
      <c r="BZ6" s="832"/>
      <c r="CA6" s="832"/>
      <c r="CB6" s="832"/>
      <c r="CC6" s="832"/>
      <c r="CD6" s="832"/>
      <c r="CE6" s="832"/>
      <c r="CF6" s="832"/>
      <c r="CG6" s="832"/>
      <c r="CH6" s="832"/>
      <c r="CI6" s="832"/>
      <c r="CJ6" s="832"/>
      <c r="CK6" s="832"/>
      <c r="CL6" s="832"/>
      <c r="CM6" s="832"/>
      <c r="CN6" s="832"/>
      <c r="CO6" s="832"/>
      <c r="CP6" s="832"/>
      <c r="CQ6" s="832"/>
      <c r="CR6" s="832"/>
      <c r="CS6" s="832"/>
      <c r="CT6" s="832"/>
      <c r="CU6" s="832"/>
      <c r="CV6" s="832"/>
      <c r="CW6" s="832"/>
      <c r="CX6" s="832"/>
      <c r="CY6" s="832"/>
      <c r="CZ6" s="832"/>
      <c r="DA6" s="832"/>
      <c r="DB6" s="832"/>
      <c r="DC6" s="832"/>
      <c r="DD6" s="832"/>
      <c r="DE6" s="832"/>
      <c r="DF6" s="832"/>
      <c r="DG6" s="832"/>
      <c r="DH6" s="832"/>
      <c r="DI6" s="832"/>
      <c r="DJ6" s="832"/>
      <c r="DK6" s="832"/>
      <c r="DL6" s="832"/>
      <c r="DM6" s="832"/>
      <c r="DN6" s="832"/>
      <c r="DO6" s="832"/>
      <c r="DP6" s="832"/>
      <c r="DQ6" s="832"/>
      <c r="DR6" s="832"/>
      <c r="DS6" s="832"/>
      <c r="DT6" s="832"/>
      <c r="DU6" s="832"/>
      <c r="DV6" s="832"/>
      <c r="DW6" s="832"/>
      <c r="DX6" s="832"/>
      <c r="DY6" s="832"/>
      <c r="DZ6" s="832"/>
      <c r="EA6" s="832"/>
      <c r="EB6" s="832"/>
      <c r="EC6" s="832"/>
      <c r="ED6" s="832"/>
      <c r="EE6" s="832"/>
      <c r="EF6" s="832"/>
      <c r="EG6" s="832"/>
      <c r="EH6" s="832"/>
      <c r="EI6" s="832"/>
      <c r="EJ6" s="832"/>
      <c r="EK6" s="832"/>
      <c r="EL6" s="832"/>
      <c r="EM6" s="832"/>
      <c r="EN6" s="832"/>
      <c r="EO6" s="832"/>
      <c r="EP6" s="832"/>
      <c r="EQ6" s="832"/>
      <c r="ER6" s="832"/>
      <c r="ES6" s="832"/>
      <c r="ET6" s="832"/>
      <c r="EU6" s="832"/>
      <c r="EV6" s="832"/>
      <c r="EW6" s="832"/>
      <c r="EX6" s="832"/>
      <c r="EY6" s="832"/>
      <c r="EZ6" s="832"/>
      <c r="FA6" s="832"/>
      <c r="FB6" s="832"/>
      <c r="FC6" s="832"/>
      <c r="FD6" s="832"/>
      <c r="FE6" s="832"/>
      <c r="FF6" s="832"/>
      <c r="FG6" s="832"/>
      <c r="FH6" s="832"/>
      <c r="FI6" s="832"/>
      <c r="FJ6" s="832"/>
      <c r="FK6" s="832"/>
      <c r="FL6" s="832"/>
      <c r="FM6" s="832"/>
      <c r="FN6" s="832"/>
      <c r="FO6" s="832"/>
      <c r="FP6" s="832"/>
      <c r="FQ6" s="832"/>
      <c r="FR6" s="832"/>
      <c r="FS6" s="832"/>
      <c r="FT6" s="832"/>
      <c r="FU6" s="832"/>
      <c r="FV6" s="832"/>
      <c r="FW6" s="832"/>
      <c r="FX6" s="832"/>
      <c r="FY6" s="832"/>
      <c r="FZ6" s="832"/>
      <c r="GA6" s="832"/>
      <c r="GB6" s="832"/>
      <c r="GC6" s="832"/>
      <c r="GD6" s="832"/>
      <c r="GE6" s="832"/>
      <c r="GF6" s="832"/>
      <c r="GG6" s="832"/>
      <c r="GH6" s="832"/>
      <c r="GI6" s="832"/>
      <c r="GJ6" s="832"/>
      <c r="GK6" s="832"/>
      <c r="GL6" s="832"/>
      <c r="GM6" s="832"/>
      <c r="GN6" s="832"/>
      <c r="GO6" s="832"/>
      <c r="GP6" s="832"/>
      <c r="GQ6" s="832"/>
      <c r="GR6" s="832"/>
      <c r="GS6" s="832"/>
      <c r="GT6" s="832"/>
      <c r="GU6" s="832"/>
      <c r="GV6" s="832"/>
      <c r="GW6" s="832"/>
    </row>
    <row r="7" spans="1:205" s="3" customFormat="1" ht="15.75" customHeight="1" x14ac:dyDescent="0.25">
      <c r="A7" s="872" t="s">
        <v>120</v>
      </c>
      <c r="B7" s="873"/>
      <c r="C7" s="873"/>
      <c r="D7" s="873"/>
      <c r="E7" s="873"/>
      <c r="F7" s="873"/>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2"/>
      <c r="AL7" s="832"/>
      <c r="AM7" s="832"/>
      <c r="AN7" s="832"/>
      <c r="AO7" s="832"/>
      <c r="AP7" s="832"/>
      <c r="AQ7" s="832"/>
      <c r="AR7" s="832"/>
      <c r="AS7" s="832"/>
      <c r="AT7" s="832"/>
      <c r="AU7" s="832"/>
      <c r="AV7" s="832"/>
      <c r="AW7" s="832"/>
      <c r="AX7" s="832"/>
      <c r="AY7" s="832"/>
      <c r="AZ7" s="832"/>
      <c r="BA7" s="832"/>
      <c r="BB7" s="832"/>
      <c r="BC7" s="832"/>
      <c r="BD7" s="832"/>
      <c r="BE7" s="832"/>
      <c r="BF7" s="832"/>
      <c r="BG7" s="832"/>
      <c r="BH7" s="832"/>
      <c r="BI7" s="832"/>
      <c r="BJ7" s="832"/>
      <c r="BK7" s="832"/>
      <c r="BL7" s="832"/>
      <c r="BM7" s="832"/>
      <c r="BN7" s="832"/>
      <c r="BO7" s="832"/>
      <c r="BP7" s="832"/>
      <c r="BQ7" s="832"/>
      <c r="BR7" s="832"/>
      <c r="BS7" s="832"/>
      <c r="BT7" s="832"/>
      <c r="BU7" s="832"/>
      <c r="BV7" s="832"/>
      <c r="BW7" s="832"/>
      <c r="BX7" s="832"/>
      <c r="BY7" s="832"/>
      <c r="BZ7" s="832"/>
      <c r="CA7" s="832"/>
      <c r="CB7" s="832"/>
      <c r="CC7" s="832"/>
      <c r="CD7" s="832"/>
      <c r="CE7" s="832"/>
      <c r="CF7" s="832"/>
      <c r="CG7" s="832"/>
      <c r="CH7" s="832"/>
      <c r="CI7" s="832"/>
      <c r="CJ7" s="832"/>
      <c r="CK7" s="832"/>
      <c r="CL7" s="832"/>
      <c r="CM7" s="832"/>
      <c r="CN7" s="832"/>
      <c r="CO7" s="832"/>
      <c r="CP7" s="832"/>
      <c r="CQ7" s="832"/>
      <c r="CR7" s="832"/>
      <c r="CS7" s="832"/>
      <c r="CT7" s="832"/>
      <c r="CU7" s="832"/>
      <c r="CV7" s="832"/>
      <c r="CW7" s="832"/>
      <c r="CX7" s="832"/>
      <c r="CY7" s="832"/>
      <c r="CZ7" s="832"/>
      <c r="DA7" s="832"/>
      <c r="DB7" s="832"/>
      <c r="DC7" s="832"/>
      <c r="DD7" s="832"/>
      <c r="DE7" s="832"/>
      <c r="DF7" s="832"/>
      <c r="DG7" s="832"/>
      <c r="DH7" s="832"/>
      <c r="DI7" s="832"/>
      <c r="DJ7" s="832"/>
      <c r="DK7" s="832"/>
      <c r="DL7" s="832"/>
      <c r="DM7" s="832"/>
      <c r="DN7" s="832"/>
      <c r="DO7" s="832"/>
      <c r="DP7" s="832"/>
      <c r="DQ7" s="832"/>
      <c r="DR7" s="832"/>
      <c r="DS7" s="832"/>
      <c r="DT7" s="832"/>
      <c r="DU7" s="832"/>
      <c r="DV7" s="832"/>
      <c r="DW7" s="832"/>
      <c r="DX7" s="832"/>
      <c r="DY7" s="832"/>
      <c r="DZ7" s="832"/>
      <c r="EA7" s="832"/>
      <c r="EB7" s="832"/>
      <c r="EC7" s="832"/>
      <c r="ED7" s="832"/>
      <c r="EE7" s="832"/>
      <c r="EF7" s="832"/>
      <c r="EG7" s="832"/>
      <c r="EH7" s="832"/>
      <c r="EI7" s="832"/>
      <c r="EJ7" s="832"/>
      <c r="EK7" s="832"/>
      <c r="EL7" s="832"/>
      <c r="EM7" s="832"/>
      <c r="EN7" s="832"/>
      <c r="EO7" s="832"/>
      <c r="EP7" s="832"/>
      <c r="EQ7" s="832"/>
      <c r="ER7" s="832"/>
      <c r="ES7" s="832"/>
      <c r="ET7" s="832"/>
      <c r="EU7" s="832"/>
      <c r="EV7" s="832"/>
      <c r="EW7" s="832"/>
      <c r="EX7" s="832"/>
      <c r="EY7" s="832"/>
      <c r="EZ7" s="832"/>
      <c r="FA7" s="832"/>
      <c r="FB7" s="832"/>
      <c r="FC7" s="832"/>
      <c r="FD7" s="832"/>
      <c r="FE7" s="832"/>
      <c r="FF7" s="832"/>
      <c r="FG7" s="832"/>
      <c r="FH7" s="832"/>
      <c r="FI7" s="832"/>
      <c r="FJ7" s="832"/>
      <c r="FK7" s="832"/>
      <c r="FL7" s="832"/>
      <c r="FM7" s="832"/>
      <c r="FN7" s="832"/>
      <c r="FO7" s="832"/>
      <c r="FP7" s="832"/>
      <c r="FQ7" s="832"/>
      <c r="FR7" s="832"/>
      <c r="FS7" s="832"/>
      <c r="FT7" s="832"/>
      <c r="FU7" s="832"/>
      <c r="FV7" s="832"/>
      <c r="FW7" s="832"/>
      <c r="FX7" s="832"/>
      <c r="FY7" s="832"/>
      <c r="FZ7" s="832"/>
      <c r="GA7" s="832"/>
      <c r="GB7" s="832"/>
      <c r="GC7" s="832"/>
      <c r="GD7" s="832"/>
      <c r="GE7" s="832"/>
      <c r="GF7" s="832"/>
      <c r="GG7" s="832"/>
      <c r="GH7" s="832"/>
      <c r="GI7" s="832"/>
      <c r="GJ7" s="832"/>
      <c r="GK7" s="832"/>
      <c r="GL7" s="832"/>
      <c r="GM7" s="832"/>
      <c r="GN7" s="832"/>
      <c r="GO7" s="832"/>
      <c r="GP7" s="832"/>
      <c r="GQ7" s="832"/>
      <c r="GR7" s="832"/>
      <c r="GS7" s="832"/>
      <c r="GT7" s="832"/>
      <c r="GU7" s="832"/>
      <c r="GV7" s="832"/>
      <c r="GW7" s="832"/>
    </row>
    <row r="8" spans="1:205" s="3" customFormat="1" ht="15.75" customHeight="1" x14ac:dyDescent="0.25">
      <c r="A8" s="872" t="str">
        <f>CONCATENATE("maximum expenditures for the various funds for the year ",G1,"; and (3) the")</f>
        <v>maximum expenditures for the various funds for the year 2020; and (3) the</v>
      </c>
      <c r="B8" s="840"/>
      <c r="C8" s="840"/>
      <c r="D8" s="840"/>
      <c r="E8" s="840"/>
      <c r="F8" s="840"/>
      <c r="I8" s="832"/>
      <c r="J8" s="832"/>
      <c r="K8" s="832"/>
      <c r="L8" s="832"/>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32"/>
      <c r="AL8" s="832"/>
      <c r="AM8" s="832"/>
      <c r="AN8" s="832"/>
      <c r="AO8" s="832"/>
      <c r="AP8" s="832"/>
      <c r="AQ8" s="832"/>
      <c r="AR8" s="832"/>
      <c r="AS8" s="832"/>
      <c r="AT8" s="832"/>
      <c r="AU8" s="832"/>
      <c r="AV8" s="832"/>
      <c r="AW8" s="832"/>
      <c r="AX8" s="832"/>
      <c r="AY8" s="832"/>
      <c r="AZ8" s="832"/>
      <c r="BA8" s="832"/>
      <c r="BB8" s="832"/>
      <c r="BC8" s="832"/>
      <c r="BD8" s="832"/>
      <c r="BE8" s="832"/>
      <c r="BF8" s="832"/>
      <c r="BG8" s="832"/>
      <c r="BH8" s="832"/>
      <c r="BI8" s="832"/>
      <c r="BJ8" s="832"/>
      <c r="BK8" s="832"/>
      <c r="BL8" s="832"/>
      <c r="BM8" s="832"/>
      <c r="BN8" s="832"/>
      <c r="BO8" s="832"/>
      <c r="BP8" s="832"/>
      <c r="BQ8" s="832"/>
      <c r="BR8" s="832"/>
      <c r="BS8" s="832"/>
      <c r="BT8" s="832"/>
      <c r="BU8" s="832"/>
      <c r="BV8" s="832"/>
      <c r="BW8" s="832"/>
      <c r="BX8" s="832"/>
      <c r="BY8" s="832"/>
      <c r="BZ8" s="832"/>
      <c r="CA8" s="832"/>
      <c r="CB8" s="832"/>
      <c r="CC8" s="832"/>
      <c r="CD8" s="832"/>
      <c r="CE8" s="832"/>
      <c r="CF8" s="832"/>
      <c r="CG8" s="832"/>
      <c r="CH8" s="832"/>
      <c r="CI8" s="832"/>
      <c r="CJ8" s="832"/>
      <c r="CK8" s="832"/>
      <c r="CL8" s="832"/>
      <c r="CM8" s="832"/>
      <c r="CN8" s="832"/>
      <c r="CO8" s="832"/>
      <c r="CP8" s="832"/>
      <c r="CQ8" s="832"/>
      <c r="CR8" s="832"/>
      <c r="CS8" s="832"/>
      <c r="CT8" s="832"/>
      <c r="CU8" s="832"/>
      <c r="CV8" s="832"/>
      <c r="CW8" s="832"/>
      <c r="CX8" s="832"/>
      <c r="CY8" s="832"/>
      <c r="CZ8" s="832"/>
      <c r="DA8" s="832"/>
      <c r="DB8" s="832"/>
      <c r="DC8" s="832"/>
      <c r="DD8" s="832"/>
      <c r="DE8" s="832"/>
      <c r="DF8" s="832"/>
      <c r="DG8" s="832"/>
      <c r="DH8" s="832"/>
      <c r="DI8" s="832"/>
      <c r="DJ8" s="832"/>
      <c r="DK8" s="832"/>
      <c r="DL8" s="832"/>
      <c r="DM8" s="832"/>
      <c r="DN8" s="832"/>
      <c r="DO8" s="832"/>
      <c r="DP8" s="832"/>
      <c r="DQ8" s="832"/>
      <c r="DR8" s="832"/>
      <c r="DS8" s="832"/>
      <c r="DT8" s="832"/>
      <c r="DU8" s="832"/>
      <c r="DV8" s="832"/>
      <c r="DW8" s="832"/>
      <c r="DX8" s="832"/>
      <c r="DY8" s="832"/>
      <c r="DZ8" s="832"/>
      <c r="EA8" s="832"/>
      <c r="EB8" s="832"/>
      <c r="EC8" s="832"/>
      <c r="ED8" s="832"/>
      <c r="EE8" s="832"/>
      <c r="EF8" s="832"/>
      <c r="EG8" s="832"/>
      <c r="EH8" s="832"/>
      <c r="EI8" s="832"/>
      <c r="EJ8" s="832"/>
      <c r="EK8" s="832"/>
      <c r="EL8" s="832"/>
      <c r="EM8" s="832"/>
      <c r="EN8" s="832"/>
      <c r="EO8" s="832"/>
      <c r="EP8" s="832"/>
      <c r="EQ8" s="832"/>
      <c r="ER8" s="832"/>
      <c r="ES8" s="832"/>
      <c r="ET8" s="832"/>
      <c r="EU8" s="832"/>
      <c r="EV8" s="832"/>
      <c r="EW8" s="832"/>
      <c r="EX8" s="832"/>
      <c r="EY8" s="832"/>
      <c r="EZ8" s="832"/>
      <c r="FA8" s="832"/>
      <c r="FB8" s="832"/>
      <c r="FC8" s="832"/>
      <c r="FD8" s="832"/>
      <c r="FE8" s="832"/>
      <c r="FF8" s="832"/>
      <c r="FG8" s="832"/>
      <c r="FH8" s="832"/>
      <c r="FI8" s="832"/>
      <c r="FJ8" s="832"/>
      <c r="FK8" s="832"/>
      <c r="FL8" s="832"/>
      <c r="FM8" s="832"/>
      <c r="FN8" s="832"/>
      <c r="FO8" s="832"/>
      <c r="FP8" s="832"/>
      <c r="FQ8" s="832"/>
      <c r="FR8" s="832"/>
      <c r="FS8" s="832"/>
      <c r="FT8" s="832"/>
      <c r="FU8" s="832"/>
      <c r="FV8" s="832"/>
      <c r="FW8" s="832"/>
      <c r="FX8" s="832"/>
      <c r="FY8" s="832"/>
      <c r="FZ8" s="832"/>
      <c r="GA8" s="832"/>
      <c r="GB8" s="832"/>
      <c r="GC8" s="832"/>
      <c r="GD8" s="832"/>
      <c r="GE8" s="832"/>
      <c r="GF8" s="832"/>
      <c r="GG8" s="832"/>
      <c r="GH8" s="832"/>
      <c r="GI8" s="832"/>
      <c r="GJ8" s="832"/>
      <c r="GK8" s="832"/>
      <c r="GL8" s="832"/>
      <c r="GM8" s="832"/>
      <c r="GN8" s="832"/>
      <c r="GO8" s="832"/>
      <c r="GP8" s="832"/>
      <c r="GQ8" s="832"/>
      <c r="GR8" s="832"/>
      <c r="GS8" s="832"/>
      <c r="GT8" s="832"/>
      <c r="GU8" s="832"/>
      <c r="GV8" s="832"/>
      <c r="GW8" s="832"/>
    </row>
    <row r="9" spans="1:205" s="3" customFormat="1" ht="15.75" customHeight="1" x14ac:dyDescent="0.25">
      <c r="A9" s="872" t="str">
        <f>CONCATENATE("Amount(s) of ",G1-1," Ad Valorem Tax are within statutory limitations for the ",G1," Budget.")</f>
        <v>Amount(s) of 2019 Ad Valorem Tax are within statutory limitations for the 2020 Budget.</v>
      </c>
      <c r="B9" s="840"/>
      <c r="C9" s="840"/>
      <c r="D9" s="840"/>
      <c r="E9" s="840"/>
      <c r="F9" s="840"/>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2"/>
      <c r="AY9" s="832"/>
      <c r="AZ9" s="832"/>
      <c r="BA9" s="832"/>
      <c r="BB9" s="832"/>
      <c r="BC9" s="832"/>
      <c r="BD9" s="832"/>
      <c r="BE9" s="832"/>
      <c r="BF9" s="832"/>
      <c r="BG9" s="832"/>
      <c r="BH9" s="832"/>
      <c r="BI9" s="832"/>
      <c r="BJ9" s="832"/>
      <c r="BK9" s="832"/>
      <c r="BL9" s="832"/>
      <c r="BM9" s="832"/>
      <c r="BN9" s="832"/>
      <c r="BO9" s="832"/>
      <c r="BP9" s="832"/>
      <c r="BQ9" s="832"/>
      <c r="BR9" s="832"/>
      <c r="BS9" s="832"/>
      <c r="BT9" s="832"/>
      <c r="BU9" s="832"/>
      <c r="BV9" s="832"/>
      <c r="BW9" s="832"/>
      <c r="BX9" s="832"/>
      <c r="BY9" s="832"/>
      <c r="BZ9" s="832"/>
      <c r="CA9" s="832"/>
      <c r="CB9" s="832"/>
      <c r="CC9" s="832"/>
      <c r="CD9" s="832"/>
      <c r="CE9" s="832"/>
      <c r="CF9" s="832"/>
      <c r="CG9" s="832"/>
      <c r="CH9" s="832"/>
      <c r="CI9" s="832"/>
      <c r="CJ9" s="832"/>
      <c r="CK9" s="832"/>
      <c r="CL9" s="832"/>
      <c r="CM9" s="832"/>
      <c r="CN9" s="832"/>
      <c r="CO9" s="832"/>
      <c r="CP9" s="832"/>
      <c r="CQ9" s="832"/>
      <c r="CR9" s="832"/>
      <c r="CS9" s="832"/>
      <c r="CT9" s="832"/>
      <c r="CU9" s="832"/>
      <c r="CV9" s="832"/>
      <c r="CW9" s="832"/>
      <c r="CX9" s="832"/>
      <c r="CY9" s="832"/>
      <c r="CZ9" s="832"/>
      <c r="DA9" s="832"/>
      <c r="DB9" s="832"/>
      <c r="DC9" s="832"/>
      <c r="DD9" s="832"/>
      <c r="DE9" s="832"/>
      <c r="DF9" s="832"/>
      <c r="DG9" s="832"/>
      <c r="DH9" s="832"/>
      <c r="DI9" s="832"/>
      <c r="DJ9" s="832"/>
      <c r="DK9" s="832"/>
      <c r="DL9" s="832"/>
      <c r="DM9" s="832"/>
      <c r="DN9" s="832"/>
      <c r="DO9" s="832"/>
      <c r="DP9" s="832"/>
      <c r="DQ9" s="832"/>
      <c r="DR9" s="832"/>
      <c r="DS9" s="832"/>
      <c r="DT9" s="832"/>
      <c r="DU9" s="832"/>
      <c r="DV9" s="832"/>
      <c r="DW9" s="832"/>
      <c r="DX9" s="832"/>
      <c r="DY9" s="832"/>
      <c r="DZ9" s="832"/>
      <c r="EA9" s="832"/>
      <c r="EB9" s="832"/>
      <c r="EC9" s="832"/>
      <c r="ED9" s="832"/>
      <c r="EE9" s="832"/>
      <c r="EF9" s="832"/>
      <c r="EG9" s="832"/>
      <c r="EH9" s="832"/>
      <c r="EI9" s="832"/>
      <c r="EJ9" s="832"/>
      <c r="EK9" s="832"/>
      <c r="EL9" s="832"/>
      <c r="EM9" s="832"/>
      <c r="EN9" s="832"/>
      <c r="EO9" s="832"/>
      <c r="EP9" s="832"/>
      <c r="EQ9" s="832"/>
      <c r="ER9" s="832"/>
      <c r="ES9" s="832"/>
      <c r="ET9" s="832"/>
      <c r="EU9" s="832"/>
      <c r="EV9" s="832"/>
      <c r="EW9" s="832"/>
      <c r="EX9" s="832"/>
      <c r="EY9" s="832"/>
      <c r="EZ9" s="832"/>
      <c r="FA9" s="832"/>
      <c r="FB9" s="832"/>
      <c r="FC9" s="832"/>
      <c r="FD9" s="832"/>
      <c r="FE9" s="832"/>
      <c r="FF9" s="832"/>
      <c r="FG9" s="832"/>
      <c r="FH9" s="832"/>
      <c r="FI9" s="832"/>
      <c r="FJ9" s="832"/>
      <c r="FK9" s="832"/>
      <c r="FL9" s="832"/>
      <c r="FM9" s="832"/>
      <c r="FN9" s="832"/>
      <c r="FO9" s="832"/>
      <c r="FP9" s="832"/>
      <c r="FQ9" s="832"/>
      <c r="FR9" s="832"/>
      <c r="FS9" s="832"/>
      <c r="FT9" s="832"/>
      <c r="FU9" s="832"/>
      <c r="FV9" s="832"/>
      <c r="FW9" s="832"/>
      <c r="FX9" s="832"/>
      <c r="FY9" s="832"/>
      <c r="FZ9" s="832"/>
      <c r="GA9" s="832"/>
      <c r="GB9" s="832"/>
      <c r="GC9" s="832"/>
      <c r="GD9" s="832"/>
      <c r="GE9" s="832"/>
      <c r="GF9" s="832"/>
      <c r="GG9" s="832"/>
      <c r="GH9" s="832"/>
      <c r="GI9" s="832"/>
      <c r="GJ9" s="832"/>
      <c r="GK9" s="832"/>
      <c r="GL9" s="832"/>
      <c r="GM9" s="832"/>
      <c r="GN9" s="832"/>
      <c r="GO9" s="832"/>
      <c r="GP9" s="832"/>
      <c r="GQ9" s="832"/>
      <c r="GR9" s="832"/>
      <c r="GS9" s="832"/>
      <c r="GT9" s="832"/>
      <c r="GU9" s="832"/>
      <c r="GV9" s="832"/>
      <c r="GW9" s="832"/>
    </row>
    <row r="10" spans="1:205" s="3" customFormat="1" ht="15.75" customHeight="1" x14ac:dyDescent="0.25">
      <c r="D10" s="54"/>
      <c r="E10" s="54"/>
      <c r="F10" s="54"/>
      <c r="I10" s="832"/>
      <c r="J10" s="832"/>
      <c r="K10" s="832"/>
      <c r="L10" s="832"/>
      <c r="M10" s="832"/>
      <c r="N10" s="832"/>
      <c r="O10" s="832"/>
      <c r="P10" s="832"/>
      <c r="Q10" s="832"/>
      <c r="R10" s="832"/>
      <c r="S10" s="832"/>
      <c r="T10" s="832"/>
      <c r="U10" s="832"/>
      <c r="V10" s="832"/>
      <c r="W10" s="832"/>
      <c r="X10" s="832"/>
      <c r="Y10" s="832"/>
      <c r="Z10" s="832"/>
      <c r="AA10" s="832"/>
      <c r="AB10" s="832"/>
      <c r="AC10" s="832"/>
      <c r="AD10" s="832"/>
      <c r="AE10" s="832"/>
      <c r="AF10" s="832"/>
      <c r="AG10" s="832"/>
      <c r="AH10" s="832"/>
      <c r="AI10" s="832"/>
      <c r="AJ10" s="832"/>
      <c r="AK10" s="832"/>
      <c r="AL10" s="832"/>
      <c r="AM10" s="832"/>
      <c r="AN10" s="832"/>
      <c r="AO10" s="832"/>
      <c r="AP10" s="832"/>
      <c r="AQ10" s="832"/>
      <c r="AR10" s="832"/>
      <c r="AS10" s="832"/>
      <c r="AT10" s="832"/>
      <c r="AU10" s="832"/>
      <c r="AV10" s="832"/>
      <c r="AW10" s="832"/>
      <c r="AX10" s="832"/>
      <c r="AY10" s="832"/>
      <c r="AZ10" s="832"/>
      <c r="BA10" s="832"/>
      <c r="BB10" s="832"/>
      <c r="BC10" s="832"/>
      <c r="BD10" s="832"/>
      <c r="BE10" s="832"/>
      <c r="BF10" s="832"/>
      <c r="BG10" s="832"/>
      <c r="BH10" s="832"/>
      <c r="BI10" s="832"/>
      <c r="BJ10" s="832"/>
      <c r="BK10" s="832"/>
      <c r="BL10" s="832"/>
      <c r="BM10" s="832"/>
      <c r="BN10" s="832"/>
      <c r="BO10" s="832"/>
      <c r="BP10" s="832"/>
      <c r="BQ10" s="832"/>
      <c r="BR10" s="832"/>
      <c r="BS10" s="832"/>
      <c r="BT10" s="832"/>
      <c r="BU10" s="832"/>
      <c r="BV10" s="832"/>
      <c r="BW10" s="832"/>
      <c r="BX10" s="832"/>
      <c r="BY10" s="832"/>
      <c r="BZ10" s="832"/>
      <c r="CA10" s="832"/>
      <c r="CB10" s="832"/>
      <c r="CC10" s="832"/>
      <c r="CD10" s="832"/>
      <c r="CE10" s="832"/>
      <c r="CF10" s="832"/>
      <c r="CG10" s="832"/>
      <c r="CH10" s="832"/>
      <c r="CI10" s="832"/>
      <c r="CJ10" s="832"/>
      <c r="CK10" s="832"/>
      <c r="CL10" s="832"/>
      <c r="CM10" s="832"/>
      <c r="CN10" s="832"/>
      <c r="CO10" s="832"/>
      <c r="CP10" s="832"/>
      <c r="CQ10" s="832"/>
      <c r="CR10" s="832"/>
      <c r="CS10" s="832"/>
      <c r="CT10" s="832"/>
      <c r="CU10" s="832"/>
      <c r="CV10" s="832"/>
      <c r="CW10" s="832"/>
      <c r="CX10" s="832"/>
      <c r="CY10" s="832"/>
      <c r="CZ10" s="832"/>
      <c r="DA10" s="832"/>
      <c r="DB10" s="832"/>
      <c r="DC10" s="832"/>
      <c r="DD10" s="832"/>
      <c r="DE10" s="832"/>
      <c r="DF10" s="832"/>
      <c r="DG10" s="832"/>
      <c r="DH10" s="832"/>
      <c r="DI10" s="832"/>
      <c r="DJ10" s="832"/>
      <c r="DK10" s="832"/>
      <c r="DL10" s="832"/>
      <c r="DM10" s="832"/>
      <c r="DN10" s="832"/>
      <c r="DO10" s="832"/>
      <c r="DP10" s="832"/>
      <c r="DQ10" s="832"/>
      <c r="DR10" s="832"/>
      <c r="DS10" s="832"/>
      <c r="DT10" s="832"/>
      <c r="DU10" s="832"/>
      <c r="DV10" s="832"/>
      <c r="DW10" s="832"/>
      <c r="DX10" s="832"/>
      <c r="DY10" s="832"/>
      <c r="DZ10" s="832"/>
      <c r="EA10" s="832"/>
      <c r="EB10" s="832"/>
      <c r="EC10" s="832"/>
      <c r="ED10" s="832"/>
      <c r="EE10" s="832"/>
      <c r="EF10" s="832"/>
      <c r="EG10" s="832"/>
      <c r="EH10" s="832"/>
      <c r="EI10" s="832"/>
      <c r="EJ10" s="832"/>
      <c r="EK10" s="832"/>
      <c r="EL10" s="832"/>
      <c r="EM10" s="832"/>
      <c r="EN10" s="832"/>
      <c r="EO10" s="832"/>
      <c r="EP10" s="832"/>
      <c r="EQ10" s="832"/>
      <c r="ER10" s="832"/>
      <c r="ES10" s="832"/>
      <c r="ET10" s="832"/>
      <c r="EU10" s="832"/>
      <c r="EV10" s="832"/>
      <c r="EW10" s="832"/>
      <c r="EX10" s="832"/>
      <c r="EY10" s="832"/>
      <c r="EZ10" s="832"/>
      <c r="FA10" s="832"/>
      <c r="FB10" s="832"/>
      <c r="FC10" s="832"/>
      <c r="FD10" s="832"/>
      <c r="FE10" s="832"/>
      <c r="FF10" s="832"/>
      <c r="FG10" s="832"/>
      <c r="FH10" s="832"/>
      <c r="FI10" s="832"/>
      <c r="FJ10" s="832"/>
      <c r="FK10" s="832"/>
      <c r="FL10" s="832"/>
      <c r="FM10" s="832"/>
      <c r="FN10" s="832"/>
      <c r="FO10" s="832"/>
      <c r="FP10" s="832"/>
      <c r="FQ10" s="832"/>
      <c r="FR10" s="832"/>
      <c r="FS10" s="832"/>
      <c r="FT10" s="832"/>
      <c r="FU10" s="832"/>
      <c r="FV10" s="832"/>
      <c r="FW10" s="832"/>
      <c r="FX10" s="832"/>
      <c r="FY10" s="832"/>
      <c r="FZ10" s="832"/>
      <c r="GA10" s="832"/>
      <c r="GB10" s="832"/>
      <c r="GC10" s="832"/>
      <c r="GD10" s="832"/>
      <c r="GE10" s="832"/>
      <c r="GF10" s="832"/>
      <c r="GG10" s="832"/>
      <c r="GH10" s="832"/>
      <c r="GI10" s="832"/>
      <c r="GJ10" s="832"/>
      <c r="GK10" s="832"/>
      <c r="GL10" s="832"/>
      <c r="GM10" s="832"/>
      <c r="GN10" s="832"/>
      <c r="GO10" s="832"/>
      <c r="GP10" s="832"/>
      <c r="GQ10" s="832"/>
      <c r="GR10" s="832"/>
      <c r="GS10" s="832"/>
      <c r="GT10" s="832"/>
      <c r="GU10" s="832"/>
      <c r="GV10" s="832"/>
      <c r="GW10" s="832"/>
    </row>
    <row r="11" spans="1:205" s="3" customFormat="1" x14ac:dyDescent="0.25">
      <c r="C11" s="8"/>
      <c r="D11" s="867" t="str">
        <f>CONCATENATE("",G1," Adopted Budget")</f>
        <v>2020 Adopted Budget</v>
      </c>
      <c r="E11" s="868"/>
      <c r="F11" s="869"/>
      <c r="I11" s="832"/>
      <c r="J11" s="832"/>
      <c r="K11" s="832"/>
      <c r="L11" s="832"/>
      <c r="M11" s="832"/>
      <c r="N11" s="832"/>
      <c r="O11" s="832"/>
      <c r="P11" s="832"/>
      <c r="Q11" s="832"/>
      <c r="R11" s="832"/>
      <c r="S11" s="832"/>
      <c r="T11" s="832"/>
      <c r="U11" s="832"/>
      <c r="V11" s="832"/>
      <c r="W11" s="832"/>
      <c r="X11" s="832"/>
      <c r="Y11" s="832"/>
      <c r="Z11" s="832"/>
      <c r="AA11" s="832"/>
      <c r="AB11" s="832"/>
      <c r="AC11" s="832"/>
      <c r="AD11" s="832"/>
      <c r="AE11" s="832"/>
      <c r="AF11" s="832"/>
      <c r="AG11" s="832"/>
      <c r="AH11" s="832"/>
      <c r="AI11" s="832"/>
      <c r="AJ11" s="832"/>
      <c r="AK11" s="832"/>
      <c r="AL11" s="832"/>
      <c r="AM11" s="832"/>
      <c r="AN11" s="832"/>
      <c r="AO11" s="832"/>
      <c r="AP11" s="832"/>
      <c r="AQ11" s="832"/>
      <c r="AR11" s="832"/>
      <c r="AS11" s="832"/>
      <c r="AT11" s="832"/>
      <c r="AU11" s="832"/>
      <c r="AV11" s="832"/>
      <c r="AW11" s="832"/>
      <c r="AX11" s="832"/>
      <c r="AY11" s="832"/>
      <c r="AZ11" s="832"/>
      <c r="BA11" s="832"/>
      <c r="BB11" s="832"/>
      <c r="BC11" s="832"/>
      <c r="BD11" s="832"/>
      <c r="BE11" s="832"/>
      <c r="BF11" s="832"/>
      <c r="BG11" s="832"/>
      <c r="BH11" s="832"/>
      <c r="BI11" s="832"/>
      <c r="BJ11" s="832"/>
      <c r="BK11" s="832"/>
      <c r="BL11" s="832"/>
      <c r="BM11" s="832"/>
      <c r="BN11" s="832"/>
      <c r="BO11" s="832"/>
      <c r="BP11" s="832"/>
      <c r="BQ11" s="832"/>
      <c r="BR11" s="832"/>
      <c r="BS11" s="832"/>
      <c r="BT11" s="832"/>
      <c r="BU11" s="832"/>
      <c r="BV11" s="832"/>
      <c r="BW11" s="832"/>
      <c r="BX11" s="832"/>
      <c r="BY11" s="832"/>
      <c r="BZ11" s="832"/>
      <c r="CA11" s="832"/>
      <c r="CB11" s="832"/>
      <c r="CC11" s="832"/>
      <c r="CD11" s="832"/>
      <c r="CE11" s="832"/>
      <c r="CF11" s="832"/>
      <c r="CG11" s="832"/>
      <c r="CH11" s="832"/>
      <c r="CI11" s="832"/>
      <c r="CJ11" s="832"/>
      <c r="CK11" s="832"/>
      <c r="CL11" s="832"/>
      <c r="CM11" s="832"/>
      <c r="CN11" s="832"/>
      <c r="CO11" s="832"/>
      <c r="CP11" s="832"/>
      <c r="CQ11" s="832"/>
      <c r="CR11" s="832"/>
      <c r="CS11" s="832"/>
      <c r="CT11" s="832"/>
      <c r="CU11" s="832"/>
      <c r="CV11" s="832"/>
      <c r="CW11" s="832"/>
      <c r="CX11" s="832"/>
      <c r="CY11" s="832"/>
      <c r="CZ11" s="832"/>
      <c r="DA11" s="832"/>
      <c r="DB11" s="832"/>
      <c r="DC11" s="832"/>
      <c r="DD11" s="832"/>
      <c r="DE11" s="832"/>
      <c r="DF11" s="832"/>
      <c r="DG11" s="832"/>
      <c r="DH11" s="832"/>
      <c r="DI11" s="832"/>
      <c r="DJ11" s="832"/>
      <c r="DK11" s="832"/>
      <c r="DL11" s="832"/>
      <c r="DM11" s="832"/>
      <c r="DN11" s="832"/>
      <c r="DO11" s="832"/>
      <c r="DP11" s="832"/>
      <c r="DQ11" s="832"/>
      <c r="DR11" s="832"/>
      <c r="DS11" s="832"/>
      <c r="DT11" s="832"/>
      <c r="DU11" s="832"/>
      <c r="DV11" s="832"/>
      <c r="DW11" s="832"/>
      <c r="DX11" s="832"/>
      <c r="DY11" s="832"/>
      <c r="DZ11" s="832"/>
      <c r="EA11" s="832"/>
      <c r="EB11" s="832"/>
      <c r="EC11" s="832"/>
      <c r="ED11" s="832"/>
      <c r="EE11" s="832"/>
      <c r="EF11" s="832"/>
      <c r="EG11" s="832"/>
      <c r="EH11" s="832"/>
      <c r="EI11" s="832"/>
      <c r="EJ11" s="832"/>
      <c r="EK11" s="832"/>
      <c r="EL11" s="832"/>
      <c r="EM11" s="832"/>
      <c r="EN11" s="832"/>
      <c r="EO11" s="832"/>
      <c r="EP11" s="832"/>
      <c r="EQ11" s="832"/>
      <c r="ER11" s="832"/>
      <c r="ES11" s="832"/>
      <c r="ET11" s="832"/>
      <c r="EU11" s="832"/>
      <c r="EV11" s="832"/>
      <c r="EW11" s="832"/>
      <c r="EX11" s="832"/>
      <c r="EY11" s="832"/>
      <c r="EZ11" s="832"/>
      <c r="FA11" s="832"/>
      <c r="FB11" s="832"/>
      <c r="FC11" s="832"/>
      <c r="FD11" s="832"/>
      <c r="FE11" s="832"/>
      <c r="FF11" s="832"/>
      <c r="FG11" s="832"/>
      <c r="FH11" s="832"/>
      <c r="FI11" s="832"/>
      <c r="FJ11" s="832"/>
      <c r="FK11" s="832"/>
      <c r="FL11" s="832"/>
      <c r="FM11" s="832"/>
      <c r="FN11" s="832"/>
      <c r="FO11" s="832"/>
      <c r="FP11" s="832"/>
      <c r="FQ11" s="832"/>
      <c r="FR11" s="832"/>
      <c r="FS11" s="832"/>
      <c r="FT11" s="832"/>
      <c r="FU11" s="832"/>
      <c r="FV11" s="832"/>
      <c r="FW11" s="832"/>
      <c r="FX11" s="832"/>
      <c r="FY11" s="832"/>
      <c r="FZ11" s="832"/>
      <c r="GA11" s="832"/>
      <c r="GB11" s="832"/>
      <c r="GC11" s="832"/>
      <c r="GD11" s="832"/>
      <c r="GE11" s="832"/>
      <c r="GF11" s="832"/>
      <c r="GG11" s="832"/>
      <c r="GH11" s="832"/>
      <c r="GI11" s="832"/>
      <c r="GJ11" s="832"/>
      <c r="GK11" s="832"/>
      <c r="GL11" s="832"/>
      <c r="GM11" s="832"/>
      <c r="GN11" s="832"/>
      <c r="GO11" s="832"/>
      <c r="GP11" s="832"/>
      <c r="GQ11" s="832"/>
      <c r="GR11" s="832"/>
      <c r="GS11" s="832"/>
      <c r="GT11" s="832"/>
      <c r="GU11" s="832"/>
      <c r="GV11" s="832"/>
      <c r="GW11" s="832"/>
    </row>
    <row r="12" spans="1:205" s="3" customFormat="1" x14ac:dyDescent="0.25">
      <c r="A12" s="11"/>
      <c r="C12" s="54"/>
      <c r="D12" s="233" t="s">
        <v>237</v>
      </c>
      <c r="E12" s="864" t="str">
        <f>CONCATENATE("Amount of ",G1-1," Ad Valorem Tax")</f>
        <v>Amount of 2019 Ad Valorem Tax</v>
      </c>
      <c r="F12" s="12" t="s">
        <v>238</v>
      </c>
      <c r="I12" s="832"/>
      <c r="J12" s="832"/>
      <c r="K12" s="832"/>
      <c r="L12" s="832"/>
      <c r="M12" s="832"/>
      <c r="N12" s="832"/>
      <c r="O12" s="832"/>
      <c r="P12" s="832"/>
      <c r="Q12" s="832"/>
      <c r="R12" s="832"/>
      <c r="S12" s="832"/>
      <c r="T12" s="832"/>
      <c r="U12" s="832"/>
      <c r="V12" s="832"/>
      <c r="W12" s="832"/>
      <c r="X12" s="832"/>
      <c r="Y12" s="832"/>
      <c r="Z12" s="832"/>
      <c r="AA12" s="832"/>
      <c r="AB12" s="832"/>
      <c r="AC12" s="832"/>
      <c r="AD12" s="832"/>
      <c r="AE12" s="832"/>
      <c r="AF12" s="832"/>
      <c r="AG12" s="832"/>
      <c r="AH12" s="832"/>
      <c r="AI12" s="832"/>
      <c r="AJ12" s="832"/>
      <c r="AK12" s="832"/>
      <c r="AL12" s="832"/>
      <c r="AM12" s="832"/>
      <c r="AN12" s="832"/>
      <c r="AO12" s="832"/>
      <c r="AP12" s="832"/>
      <c r="AQ12" s="832"/>
      <c r="AR12" s="832"/>
      <c r="AS12" s="832"/>
      <c r="AT12" s="832"/>
      <c r="AU12" s="832"/>
      <c r="AV12" s="832"/>
      <c r="AW12" s="832"/>
      <c r="AX12" s="832"/>
      <c r="AY12" s="832"/>
      <c r="AZ12" s="832"/>
      <c r="BA12" s="832"/>
      <c r="BB12" s="832"/>
      <c r="BC12" s="832"/>
      <c r="BD12" s="832"/>
      <c r="BE12" s="832"/>
      <c r="BF12" s="832"/>
      <c r="BG12" s="832"/>
      <c r="BH12" s="832"/>
      <c r="BI12" s="832"/>
      <c r="BJ12" s="832"/>
      <c r="BK12" s="832"/>
      <c r="BL12" s="832"/>
      <c r="BM12" s="832"/>
      <c r="BN12" s="832"/>
      <c r="BO12" s="832"/>
      <c r="BP12" s="832"/>
      <c r="BQ12" s="832"/>
      <c r="BR12" s="832"/>
      <c r="BS12" s="832"/>
      <c r="BT12" s="832"/>
      <c r="BU12" s="832"/>
      <c r="BV12" s="832"/>
      <c r="BW12" s="832"/>
      <c r="BX12" s="832"/>
      <c r="BY12" s="832"/>
      <c r="BZ12" s="832"/>
      <c r="CA12" s="832"/>
      <c r="CB12" s="832"/>
      <c r="CC12" s="832"/>
      <c r="CD12" s="832"/>
      <c r="CE12" s="832"/>
      <c r="CF12" s="832"/>
      <c r="CG12" s="832"/>
      <c r="CH12" s="832"/>
      <c r="CI12" s="832"/>
      <c r="CJ12" s="832"/>
      <c r="CK12" s="832"/>
      <c r="CL12" s="832"/>
      <c r="CM12" s="832"/>
      <c r="CN12" s="832"/>
      <c r="CO12" s="832"/>
      <c r="CP12" s="832"/>
      <c r="CQ12" s="832"/>
      <c r="CR12" s="832"/>
      <c r="CS12" s="832"/>
      <c r="CT12" s="832"/>
      <c r="CU12" s="832"/>
      <c r="CV12" s="832"/>
      <c r="CW12" s="832"/>
      <c r="CX12" s="832"/>
      <c r="CY12" s="832"/>
      <c r="CZ12" s="832"/>
      <c r="DA12" s="832"/>
      <c r="DB12" s="832"/>
      <c r="DC12" s="832"/>
      <c r="DD12" s="832"/>
      <c r="DE12" s="832"/>
      <c r="DF12" s="832"/>
      <c r="DG12" s="832"/>
      <c r="DH12" s="832"/>
      <c r="DI12" s="832"/>
      <c r="DJ12" s="832"/>
      <c r="DK12" s="832"/>
      <c r="DL12" s="832"/>
      <c r="DM12" s="832"/>
      <c r="DN12" s="832"/>
      <c r="DO12" s="832"/>
      <c r="DP12" s="832"/>
      <c r="DQ12" s="832"/>
      <c r="DR12" s="832"/>
      <c r="DS12" s="832"/>
      <c r="DT12" s="832"/>
      <c r="DU12" s="832"/>
      <c r="DV12" s="832"/>
      <c r="DW12" s="832"/>
      <c r="DX12" s="832"/>
      <c r="DY12" s="832"/>
      <c r="DZ12" s="832"/>
      <c r="EA12" s="832"/>
      <c r="EB12" s="832"/>
      <c r="EC12" s="832"/>
      <c r="ED12" s="832"/>
      <c r="EE12" s="832"/>
      <c r="EF12" s="832"/>
      <c r="EG12" s="832"/>
      <c r="EH12" s="832"/>
      <c r="EI12" s="832"/>
      <c r="EJ12" s="832"/>
      <c r="EK12" s="832"/>
      <c r="EL12" s="832"/>
      <c r="EM12" s="832"/>
      <c r="EN12" s="832"/>
      <c r="EO12" s="832"/>
      <c r="EP12" s="832"/>
      <c r="EQ12" s="832"/>
      <c r="ER12" s="832"/>
      <c r="ES12" s="832"/>
      <c r="ET12" s="832"/>
      <c r="EU12" s="832"/>
      <c r="EV12" s="832"/>
      <c r="EW12" s="832"/>
      <c r="EX12" s="832"/>
      <c r="EY12" s="832"/>
      <c r="EZ12" s="832"/>
      <c r="FA12" s="832"/>
      <c r="FB12" s="832"/>
      <c r="FC12" s="832"/>
      <c r="FD12" s="832"/>
      <c r="FE12" s="832"/>
      <c r="FF12" s="832"/>
      <c r="FG12" s="832"/>
      <c r="FH12" s="832"/>
      <c r="FI12" s="832"/>
      <c r="FJ12" s="832"/>
      <c r="FK12" s="832"/>
      <c r="FL12" s="832"/>
      <c r="FM12" s="832"/>
      <c r="FN12" s="832"/>
      <c r="FO12" s="832"/>
      <c r="FP12" s="832"/>
      <c r="FQ12" s="832"/>
      <c r="FR12" s="832"/>
      <c r="FS12" s="832"/>
      <c r="FT12" s="832"/>
      <c r="FU12" s="832"/>
      <c r="FV12" s="832"/>
      <c r="FW12" s="832"/>
      <c r="FX12" s="832"/>
      <c r="FY12" s="832"/>
      <c r="FZ12" s="832"/>
      <c r="GA12" s="832"/>
      <c r="GB12" s="832"/>
      <c r="GC12" s="832"/>
      <c r="GD12" s="832"/>
      <c r="GE12" s="832"/>
      <c r="GF12" s="832"/>
      <c r="GG12" s="832"/>
      <c r="GH12" s="832"/>
      <c r="GI12" s="832"/>
      <c r="GJ12" s="832"/>
      <c r="GK12" s="832"/>
      <c r="GL12" s="832"/>
      <c r="GM12" s="832"/>
      <c r="GN12" s="832"/>
      <c r="GO12" s="832"/>
      <c r="GP12" s="832"/>
      <c r="GQ12" s="832"/>
      <c r="GR12" s="832"/>
      <c r="GS12" s="832"/>
      <c r="GT12" s="832"/>
      <c r="GU12" s="832"/>
      <c r="GV12" s="832"/>
      <c r="GW12" s="832"/>
    </row>
    <row r="13" spans="1:205" s="3" customFormat="1" x14ac:dyDescent="0.25">
      <c r="C13" s="12" t="s">
        <v>239</v>
      </c>
      <c r="D13" s="470" t="s">
        <v>172</v>
      </c>
      <c r="E13" s="865"/>
      <c r="F13" s="143" t="s">
        <v>240</v>
      </c>
      <c r="I13" s="832"/>
      <c r="J13" s="832"/>
      <c r="K13" s="832"/>
      <c r="L13" s="832"/>
      <c r="M13" s="832"/>
      <c r="N13" s="832"/>
      <c r="O13" s="832"/>
      <c r="P13" s="832"/>
      <c r="Q13" s="832"/>
      <c r="R13" s="832"/>
      <c r="S13" s="832"/>
      <c r="T13" s="832"/>
      <c r="U13" s="832"/>
      <c r="V13" s="832"/>
      <c r="W13" s="832"/>
      <c r="X13" s="832"/>
      <c r="Y13" s="832"/>
      <c r="Z13" s="832"/>
      <c r="AA13" s="832"/>
      <c r="AB13" s="832"/>
      <c r="AC13" s="832"/>
      <c r="AD13" s="832"/>
      <c r="AE13" s="832"/>
      <c r="AF13" s="832"/>
      <c r="AG13" s="832"/>
      <c r="AH13" s="832"/>
      <c r="AI13" s="832"/>
      <c r="AJ13" s="832"/>
      <c r="AK13" s="832"/>
      <c r="AL13" s="832"/>
      <c r="AM13" s="832"/>
      <c r="AN13" s="832"/>
      <c r="AO13" s="832"/>
      <c r="AP13" s="832"/>
      <c r="AQ13" s="832"/>
      <c r="AR13" s="832"/>
      <c r="AS13" s="832"/>
      <c r="AT13" s="832"/>
      <c r="AU13" s="832"/>
      <c r="AV13" s="832"/>
      <c r="AW13" s="832"/>
      <c r="AX13" s="832"/>
      <c r="AY13" s="832"/>
      <c r="AZ13" s="832"/>
      <c r="BA13" s="832"/>
      <c r="BB13" s="832"/>
      <c r="BC13" s="832"/>
      <c r="BD13" s="832"/>
      <c r="BE13" s="832"/>
      <c r="BF13" s="832"/>
      <c r="BG13" s="832"/>
      <c r="BH13" s="832"/>
      <c r="BI13" s="832"/>
      <c r="BJ13" s="832"/>
      <c r="BK13" s="832"/>
      <c r="BL13" s="832"/>
      <c r="BM13" s="832"/>
      <c r="BN13" s="832"/>
      <c r="BO13" s="832"/>
      <c r="BP13" s="832"/>
      <c r="BQ13" s="832"/>
      <c r="BR13" s="832"/>
      <c r="BS13" s="832"/>
      <c r="BT13" s="832"/>
      <c r="BU13" s="832"/>
      <c r="BV13" s="832"/>
      <c r="BW13" s="832"/>
      <c r="BX13" s="832"/>
      <c r="BY13" s="832"/>
      <c r="BZ13" s="832"/>
      <c r="CA13" s="832"/>
      <c r="CB13" s="832"/>
      <c r="CC13" s="832"/>
      <c r="CD13" s="832"/>
      <c r="CE13" s="832"/>
      <c r="CF13" s="832"/>
      <c r="CG13" s="832"/>
      <c r="CH13" s="832"/>
      <c r="CI13" s="832"/>
      <c r="CJ13" s="832"/>
      <c r="CK13" s="832"/>
      <c r="CL13" s="832"/>
      <c r="CM13" s="832"/>
      <c r="CN13" s="832"/>
      <c r="CO13" s="832"/>
      <c r="CP13" s="832"/>
      <c r="CQ13" s="832"/>
      <c r="CR13" s="832"/>
      <c r="CS13" s="832"/>
      <c r="CT13" s="832"/>
      <c r="CU13" s="832"/>
      <c r="CV13" s="832"/>
      <c r="CW13" s="832"/>
      <c r="CX13" s="832"/>
      <c r="CY13" s="832"/>
      <c r="CZ13" s="832"/>
      <c r="DA13" s="832"/>
      <c r="DB13" s="832"/>
      <c r="DC13" s="832"/>
      <c r="DD13" s="832"/>
      <c r="DE13" s="832"/>
      <c r="DF13" s="832"/>
      <c r="DG13" s="832"/>
      <c r="DH13" s="832"/>
      <c r="DI13" s="832"/>
      <c r="DJ13" s="832"/>
      <c r="DK13" s="832"/>
      <c r="DL13" s="832"/>
      <c r="DM13" s="832"/>
      <c r="DN13" s="832"/>
      <c r="DO13" s="832"/>
      <c r="DP13" s="832"/>
      <c r="DQ13" s="832"/>
      <c r="DR13" s="832"/>
      <c r="DS13" s="832"/>
      <c r="DT13" s="832"/>
      <c r="DU13" s="832"/>
      <c r="DV13" s="832"/>
      <c r="DW13" s="832"/>
      <c r="DX13" s="832"/>
      <c r="DY13" s="832"/>
      <c r="DZ13" s="832"/>
      <c r="EA13" s="832"/>
      <c r="EB13" s="832"/>
      <c r="EC13" s="832"/>
      <c r="ED13" s="832"/>
      <c r="EE13" s="832"/>
      <c r="EF13" s="832"/>
      <c r="EG13" s="832"/>
      <c r="EH13" s="832"/>
      <c r="EI13" s="832"/>
      <c r="EJ13" s="832"/>
      <c r="EK13" s="832"/>
      <c r="EL13" s="832"/>
      <c r="EM13" s="832"/>
      <c r="EN13" s="832"/>
      <c r="EO13" s="832"/>
      <c r="EP13" s="832"/>
      <c r="EQ13" s="832"/>
      <c r="ER13" s="832"/>
      <c r="ES13" s="832"/>
      <c r="ET13" s="832"/>
      <c r="EU13" s="832"/>
      <c r="EV13" s="832"/>
      <c r="EW13" s="832"/>
      <c r="EX13" s="832"/>
      <c r="EY13" s="832"/>
      <c r="EZ13" s="832"/>
      <c r="FA13" s="832"/>
      <c r="FB13" s="832"/>
      <c r="FC13" s="832"/>
      <c r="FD13" s="832"/>
      <c r="FE13" s="832"/>
      <c r="FF13" s="832"/>
      <c r="FG13" s="832"/>
      <c r="FH13" s="832"/>
      <c r="FI13" s="832"/>
      <c r="FJ13" s="832"/>
      <c r="FK13" s="832"/>
      <c r="FL13" s="832"/>
      <c r="FM13" s="832"/>
      <c r="FN13" s="832"/>
      <c r="FO13" s="832"/>
      <c r="FP13" s="832"/>
      <c r="FQ13" s="832"/>
      <c r="FR13" s="832"/>
      <c r="FS13" s="832"/>
      <c r="FT13" s="832"/>
      <c r="FU13" s="832"/>
      <c r="FV13" s="832"/>
      <c r="FW13" s="832"/>
      <c r="FX13" s="832"/>
      <c r="FY13" s="832"/>
      <c r="FZ13" s="832"/>
      <c r="GA13" s="832"/>
      <c r="GB13" s="832"/>
      <c r="GC13" s="832"/>
      <c r="GD13" s="832"/>
      <c r="GE13" s="832"/>
      <c r="GF13" s="832"/>
      <c r="GG13" s="832"/>
      <c r="GH13" s="832"/>
      <c r="GI13" s="832"/>
      <c r="GJ13" s="832"/>
      <c r="GK13" s="832"/>
      <c r="GL13" s="832"/>
      <c r="GM13" s="832"/>
      <c r="GN13" s="832"/>
      <c r="GO13" s="832"/>
      <c r="GP13" s="832"/>
      <c r="GQ13" s="832"/>
      <c r="GR13" s="832"/>
      <c r="GS13" s="832"/>
      <c r="GT13" s="832"/>
      <c r="GU13" s="832"/>
      <c r="GV13" s="832"/>
      <c r="GW13" s="832"/>
    </row>
    <row r="14" spans="1:205" s="3" customFormat="1" x14ac:dyDescent="0.25">
      <c r="A14" s="59" t="s">
        <v>241</v>
      </c>
      <c r="B14" s="9"/>
      <c r="C14" s="15" t="s">
        <v>242</v>
      </c>
      <c r="D14" s="471" t="s">
        <v>629</v>
      </c>
      <c r="E14" s="866"/>
      <c r="F14" s="15" t="s">
        <v>244</v>
      </c>
      <c r="I14" s="832"/>
      <c r="J14" s="832"/>
      <c r="K14" s="832"/>
      <c r="L14" s="832"/>
      <c r="M14" s="832"/>
      <c r="N14" s="832"/>
      <c r="O14" s="832"/>
      <c r="P14" s="832"/>
      <c r="Q14" s="832"/>
      <c r="R14" s="832"/>
      <c r="S14" s="832"/>
      <c r="T14" s="832"/>
      <c r="U14" s="832"/>
      <c r="V14" s="832"/>
      <c r="W14" s="832"/>
      <c r="X14" s="832"/>
      <c r="Y14" s="832"/>
      <c r="Z14" s="832"/>
      <c r="AA14" s="832"/>
      <c r="AB14" s="832"/>
      <c r="AC14" s="832"/>
      <c r="AD14" s="832"/>
      <c r="AE14" s="832"/>
      <c r="AF14" s="832"/>
      <c r="AG14" s="832"/>
      <c r="AH14" s="832"/>
      <c r="AI14" s="832"/>
      <c r="AJ14" s="832"/>
      <c r="AK14" s="832"/>
      <c r="AL14" s="832"/>
      <c r="AM14" s="832"/>
      <c r="AN14" s="832"/>
      <c r="AO14" s="832"/>
      <c r="AP14" s="832"/>
      <c r="AQ14" s="832"/>
      <c r="AR14" s="832"/>
      <c r="AS14" s="832"/>
      <c r="AT14" s="832"/>
      <c r="AU14" s="832"/>
      <c r="AV14" s="832"/>
      <c r="AW14" s="832"/>
      <c r="AX14" s="832"/>
      <c r="AY14" s="832"/>
      <c r="AZ14" s="832"/>
      <c r="BA14" s="832"/>
      <c r="BB14" s="832"/>
      <c r="BC14" s="832"/>
      <c r="BD14" s="832"/>
      <c r="BE14" s="832"/>
      <c r="BF14" s="832"/>
      <c r="BG14" s="832"/>
      <c r="BH14" s="832"/>
      <c r="BI14" s="832"/>
      <c r="BJ14" s="832"/>
      <c r="BK14" s="832"/>
      <c r="BL14" s="832"/>
      <c r="BM14" s="832"/>
      <c r="BN14" s="832"/>
      <c r="BO14" s="832"/>
      <c r="BP14" s="832"/>
      <c r="BQ14" s="832"/>
      <c r="BR14" s="832"/>
      <c r="BS14" s="832"/>
      <c r="BT14" s="832"/>
      <c r="BU14" s="832"/>
      <c r="BV14" s="832"/>
      <c r="BW14" s="832"/>
      <c r="BX14" s="832"/>
      <c r="BY14" s="832"/>
      <c r="BZ14" s="832"/>
      <c r="CA14" s="832"/>
      <c r="CB14" s="832"/>
      <c r="CC14" s="832"/>
      <c r="CD14" s="832"/>
      <c r="CE14" s="832"/>
      <c r="CF14" s="832"/>
      <c r="CG14" s="832"/>
      <c r="CH14" s="832"/>
      <c r="CI14" s="832"/>
      <c r="CJ14" s="832"/>
      <c r="CK14" s="832"/>
      <c r="CL14" s="832"/>
      <c r="CM14" s="832"/>
      <c r="CN14" s="832"/>
      <c r="CO14" s="832"/>
      <c r="CP14" s="832"/>
      <c r="CQ14" s="832"/>
      <c r="CR14" s="832"/>
      <c r="CS14" s="832"/>
      <c r="CT14" s="832"/>
      <c r="CU14" s="832"/>
      <c r="CV14" s="832"/>
      <c r="CW14" s="832"/>
      <c r="CX14" s="832"/>
      <c r="CY14" s="832"/>
      <c r="CZ14" s="832"/>
      <c r="DA14" s="832"/>
      <c r="DB14" s="832"/>
      <c r="DC14" s="832"/>
      <c r="DD14" s="832"/>
      <c r="DE14" s="832"/>
      <c r="DF14" s="832"/>
      <c r="DG14" s="832"/>
      <c r="DH14" s="832"/>
      <c r="DI14" s="832"/>
      <c r="DJ14" s="832"/>
      <c r="DK14" s="832"/>
      <c r="DL14" s="832"/>
      <c r="DM14" s="832"/>
      <c r="DN14" s="832"/>
      <c r="DO14" s="832"/>
      <c r="DP14" s="832"/>
      <c r="DQ14" s="832"/>
      <c r="DR14" s="832"/>
      <c r="DS14" s="832"/>
      <c r="DT14" s="832"/>
      <c r="DU14" s="832"/>
      <c r="DV14" s="832"/>
      <c r="DW14" s="832"/>
      <c r="DX14" s="832"/>
      <c r="DY14" s="832"/>
      <c r="DZ14" s="832"/>
      <c r="EA14" s="832"/>
      <c r="EB14" s="832"/>
      <c r="EC14" s="832"/>
      <c r="ED14" s="832"/>
      <c r="EE14" s="832"/>
      <c r="EF14" s="832"/>
      <c r="EG14" s="832"/>
      <c r="EH14" s="832"/>
      <c r="EI14" s="832"/>
      <c r="EJ14" s="832"/>
      <c r="EK14" s="832"/>
      <c r="EL14" s="832"/>
      <c r="EM14" s="832"/>
      <c r="EN14" s="832"/>
      <c r="EO14" s="832"/>
      <c r="EP14" s="832"/>
      <c r="EQ14" s="832"/>
      <c r="ER14" s="832"/>
      <c r="ES14" s="832"/>
      <c r="ET14" s="832"/>
      <c r="EU14" s="832"/>
      <c r="EV14" s="832"/>
      <c r="EW14" s="832"/>
      <c r="EX14" s="832"/>
      <c r="EY14" s="832"/>
      <c r="EZ14" s="832"/>
      <c r="FA14" s="832"/>
      <c r="FB14" s="832"/>
      <c r="FC14" s="832"/>
      <c r="FD14" s="832"/>
      <c r="FE14" s="832"/>
      <c r="FF14" s="832"/>
      <c r="FG14" s="832"/>
      <c r="FH14" s="832"/>
      <c r="FI14" s="832"/>
      <c r="FJ14" s="832"/>
      <c r="FK14" s="832"/>
      <c r="FL14" s="832"/>
      <c r="FM14" s="832"/>
      <c r="FN14" s="832"/>
      <c r="FO14" s="832"/>
      <c r="FP14" s="832"/>
      <c r="FQ14" s="832"/>
      <c r="FR14" s="832"/>
      <c r="FS14" s="832"/>
      <c r="FT14" s="832"/>
      <c r="FU14" s="832"/>
      <c r="FV14" s="832"/>
      <c r="FW14" s="832"/>
      <c r="FX14" s="832"/>
      <c r="FY14" s="832"/>
      <c r="FZ14" s="832"/>
      <c r="GA14" s="832"/>
      <c r="GB14" s="832"/>
      <c r="GC14" s="832"/>
      <c r="GD14" s="832"/>
      <c r="GE14" s="832"/>
      <c r="GF14" s="832"/>
      <c r="GG14" s="832"/>
      <c r="GH14" s="832"/>
      <c r="GI14" s="832"/>
      <c r="GJ14" s="832"/>
      <c r="GK14" s="832"/>
      <c r="GL14" s="832"/>
      <c r="GM14" s="832"/>
      <c r="GN14" s="832"/>
      <c r="GO14" s="832"/>
      <c r="GP14" s="832"/>
      <c r="GQ14" s="832"/>
      <c r="GR14" s="832"/>
      <c r="GS14" s="832"/>
      <c r="GT14" s="832"/>
      <c r="GU14" s="832"/>
      <c r="GV14" s="832"/>
      <c r="GW14" s="832"/>
    </row>
    <row r="15" spans="1:205" s="3" customFormat="1" x14ac:dyDescent="0.25">
      <c r="A15" s="16" t="str">
        <f>CONCATENATE("Computation to Determine Limit for ",G1,"")</f>
        <v>Computation to Determine Limit for 2020</v>
      </c>
      <c r="B15" s="17"/>
      <c r="C15" s="12">
        <v>2</v>
      </c>
      <c r="D15" s="8"/>
      <c r="E15" s="8"/>
      <c r="F15" s="234"/>
      <c r="I15" s="832"/>
      <c r="J15" s="832"/>
      <c r="K15" s="832"/>
      <c r="L15" s="832"/>
      <c r="M15" s="832"/>
      <c r="N15" s="832"/>
      <c r="O15" s="832"/>
      <c r="P15" s="832"/>
      <c r="Q15" s="832"/>
      <c r="R15" s="832"/>
      <c r="S15" s="832"/>
      <c r="T15" s="832"/>
      <c r="U15" s="832"/>
      <c r="V15" s="832"/>
      <c r="W15" s="832"/>
      <c r="X15" s="832"/>
      <c r="Y15" s="832"/>
      <c r="Z15" s="832"/>
      <c r="AA15" s="832"/>
      <c r="AB15" s="832"/>
      <c r="AC15" s="832"/>
      <c r="AD15" s="832"/>
      <c r="AE15" s="832"/>
      <c r="AF15" s="832"/>
      <c r="AG15" s="832"/>
      <c r="AH15" s="832"/>
      <c r="AI15" s="832"/>
      <c r="AJ15" s="832"/>
      <c r="AK15" s="832"/>
      <c r="AL15" s="832"/>
      <c r="AM15" s="832"/>
      <c r="AN15" s="832"/>
      <c r="AO15" s="832"/>
      <c r="AP15" s="832"/>
      <c r="AQ15" s="832"/>
      <c r="AR15" s="832"/>
      <c r="AS15" s="832"/>
      <c r="AT15" s="832"/>
      <c r="AU15" s="832"/>
      <c r="AV15" s="832"/>
      <c r="AW15" s="832"/>
      <c r="AX15" s="832"/>
      <c r="AY15" s="832"/>
      <c r="AZ15" s="832"/>
      <c r="BA15" s="832"/>
      <c r="BB15" s="832"/>
      <c r="BC15" s="832"/>
      <c r="BD15" s="832"/>
      <c r="BE15" s="832"/>
      <c r="BF15" s="832"/>
      <c r="BG15" s="832"/>
      <c r="BH15" s="832"/>
      <c r="BI15" s="832"/>
      <c r="BJ15" s="832"/>
      <c r="BK15" s="832"/>
      <c r="BL15" s="832"/>
      <c r="BM15" s="832"/>
      <c r="BN15" s="832"/>
      <c r="BO15" s="832"/>
      <c r="BP15" s="832"/>
      <c r="BQ15" s="832"/>
      <c r="BR15" s="832"/>
      <c r="BS15" s="832"/>
      <c r="BT15" s="832"/>
      <c r="BU15" s="832"/>
      <c r="BV15" s="832"/>
      <c r="BW15" s="832"/>
      <c r="BX15" s="832"/>
      <c r="BY15" s="832"/>
      <c r="BZ15" s="832"/>
      <c r="CA15" s="832"/>
      <c r="CB15" s="832"/>
      <c r="CC15" s="832"/>
      <c r="CD15" s="832"/>
      <c r="CE15" s="832"/>
      <c r="CF15" s="832"/>
      <c r="CG15" s="832"/>
      <c r="CH15" s="832"/>
      <c r="CI15" s="832"/>
      <c r="CJ15" s="832"/>
      <c r="CK15" s="832"/>
      <c r="CL15" s="832"/>
      <c r="CM15" s="832"/>
      <c r="CN15" s="832"/>
      <c r="CO15" s="832"/>
      <c r="CP15" s="832"/>
      <c r="CQ15" s="832"/>
      <c r="CR15" s="832"/>
      <c r="CS15" s="832"/>
      <c r="CT15" s="832"/>
      <c r="CU15" s="832"/>
      <c r="CV15" s="832"/>
      <c r="CW15" s="832"/>
      <c r="CX15" s="832"/>
      <c r="CY15" s="832"/>
      <c r="CZ15" s="832"/>
      <c r="DA15" s="832"/>
      <c r="DB15" s="832"/>
      <c r="DC15" s="832"/>
      <c r="DD15" s="832"/>
      <c r="DE15" s="832"/>
      <c r="DF15" s="832"/>
      <c r="DG15" s="832"/>
      <c r="DH15" s="832"/>
      <c r="DI15" s="832"/>
      <c r="DJ15" s="832"/>
      <c r="DK15" s="832"/>
      <c r="DL15" s="832"/>
      <c r="DM15" s="832"/>
      <c r="DN15" s="832"/>
      <c r="DO15" s="832"/>
      <c r="DP15" s="832"/>
      <c r="DQ15" s="832"/>
      <c r="DR15" s="832"/>
      <c r="DS15" s="832"/>
      <c r="DT15" s="832"/>
      <c r="DU15" s="832"/>
      <c r="DV15" s="832"/>
      <c r="DW15" s="832"/>
      <c r="DX15" s="832"/>
      <c r="DY15" s="832"/>
      <c r="DZ15" s="832"/>
      <c r="EA15" s="832"/>
      <c r="EB15" s="832"/>
      <c r="EC15" s="832"/>
      <c r="ED15" s="832"/>
      <c r="EE15" s="832"/>
      <c r="EF15" s="832"/>
      <c r="EG15" s="832"/>
      <c r="EH15" s="832"/>
      <c r="EI15" s="832"/>
      <c r="EJ15" s="832"/>
      <c r="EK15" s="832"/>
      <c r="EL15" s="832"/>
      <c r="EM15" s="832"/>
      <c r="EN15" s="832"/>
      <c r="EO15" s="832"/>
      <c r="EP15" s="832"/>
      <c r="EQ15" s="832"/>
      <c r="ER15" s="832"/>
      <c r="ES15" s="832"/>
      <c r="ET15" s="832"/>
      <c r="EU15" s="832"/>
      <c r="EV15" s="832"/>
      <c r="EW15" s="832"/>
      <c r="EX15" s="832"/>
      <c r="EY15" s="832"/>
      <c r="EZ15" s="832"/>
      <c r="FA15" s="832"/>
      <c r="FB15" s="832"/>
      <c r="FC15" s="832"/>
      <c r="FD15" s="832"/>
      <c r="FE15" s="832"/>
      <c r="FF15" s="832"/>
      <c r="FG15" s="832"/>
      <c r="FH15" s="832"/>
      <c r="FI15" s="832"/>
      <c r="FJ15" s="832"/>
      <c r="FK15" s="832"/>
      <c r="FL15" s="832"/>
      <c r="FM15" s="832"/>
      <c r="FN15" s="832"/>
      <c r="FO15" s="832"/>
      <c r="FP15" s="832"/>
      <c r="FQ15" s="832"/>
      <c r="FR15" s="832"/>
      <c r="FS15" s="832"/>
      <c r="FT15" s="832"/>
      <c r="FU15" s="832"/>
      <c r="FV15" s="832"/>
      <c r="FW15" s="832"/>
      <c r="FX15" s="832"/>
      <c r="FY15" s="832"/>
      <c r="FZ15" s="832"/>
      <c r="GA15" s="832"/>
      <c r="GB15" s="832"/>
      <c r="GC15" s="832"/>
      <c r="GD15" s="832"/>
      <c r="GE15" s="832"/>
      <c r="GF15" s="832"/>
      <c r="GG15" s="832"/>
      <c r="GH15" s="832"/>
      <c r="GI15" s="832"/>
      <c r="GJ15" s="832"/>
      <c r="GK15" s="832"/>
      <c r="GL15" s="832"/>
      <c r="GM15" s="832"/>
      <c r="GN15" s="832"/>
      <c r="GO15" s="832"/>
      <c r="GP15" s="832"/>
      <c r="GQ15" s="832"/>
      <c r="GR15" s="832"/>
      <c r="GS15" s="832"/>
      <c r="GT15" s="832"/>
      <c r="GU15" s="832"/>
      <c r="GV15" s="832"/>
      <c r="GW15" s="832"/>
    </row>
    <row r="16" spans="1:205" s="3" customFormat="1" x14ac:dyDescent="0.25">
      <c r="A16" s="16" t="s">
        <v>709</v>
      </c>
      <c r="B16" s="17"/>
      <c r="C16" s="148">
        <v>3</v>
      </c>
      <c r="D16" s="8"/>
      <c r="E16" s="8"/>
      <c r="F16" s="235"/>
      <c r="I16" s="832"/>
      <c r="J16" s="832"/>
      <c r="K16" s="832"/>
      <c r="L16" s="832"/>
      <c r="M16" s="832"/>
      <c r="N16" s="832"/>
      <c r="O16" s="832"/>
      <c r="P16" s="832"/>
      <c r="Q16" s="832"/>
      <c r="R16" s="832"/>
      <c r="S16" s="832"/>
      <c r="T16" s="832"/>
      <c r="U16" s="832"/>
      <c r="V16" s="832"/>
      <c r="W16" s="832"/>
      <c r="X16" s="832"/>
      <c r="Y16" s="832"/>
      <c r="Z16" s="832"/>
      <c r="AA16" s="832"/>
      <c r="AB16" s="832"/>
      <c r="AC16" s="832"/>
      <c r="AD16" s="832"/>
      <c r="AE16" s="832"/>
      <c r="AF16" s="832"/>
      <c r="AG16" s="832"/>
      <c r="AH16" s="832"/>
      <c r="AI16" s="832"/>
      <c r="AJ16" s="832"/>
      <c r="AK16" s="832"/>
      <c r="AL16" s="832"/>
      <c r="AM16" s="832"/>
      <c r="AN16" s="832"/>
      <c r="AO16" s="832"/>
      <c r="AP16" s="832"/>
      <c r="AQ16" s="832"/>
      <c r="AR16" s="832"/>
      <c r="AS16" s="832"/>
      <c r="AT16" s="832"/>
      <c r="AU16" s="832"/>
      <c r="AV16" s="832"/>
      <c r="AW16" s="832"/>
      <c r="AX16" s="832"/>
      <c r="AY16" s="832"/>
      <c r="AZ16" s="832"/>
      <c r="BA16" s="832"/>
      <c r="BB16" s="832"/>
      <c r="BC16" s="832"/>
      <c r="BD16" s="832"/>
      <c r="BE16" s="832"/>
      <c r="BF16" s="832"/>
      <c r="BG16" s="832"/>
      <c r="BH16" s="832"/>
      <c r="BI16" s="832"/>
      <c r="BJ16" s="832"/>
      <c r="BK16" s="832"/>
      <c r="BL16" s="832"/>
      <c r="BM16" s="832"/>
      <c r="BN16" s="832"/>
      <c r="BO16" s="832"/>
      <c r="BP16" s="832"/>
      <c r="BQ16" s="832"/>
      <c r="BR16" s="832"/>
      <c r="BS16" s="832"/>
      <c r="BT16" s="832"/>
      <c r="BU16" s="832"/>
      <c r="BV16" s="832"/>
      <c r="BW16" s="832"/>
      <c r="BX16" s="832"/>
      <c r="BY16" s="832"/>
      <c r="BZ16" s="832"/>
      <c r="CA16" s="832"/>
      <c r="CB16" s="832"/>
      <c r="CC16" s="832"/>
      <c r="CD16" s="832"/>
      <c r="CE16" s="832"/>
      <c r="CF16" s="832"/>
      <c r="CG16" s="832"/>
      <c r="CH16" s="832"/>
      <c r="CI16" s="832"/>
      <c r="CJ16" s="832"/>
      <c r="CK16" s="832"/>
      <c r="CL16" s="832"/>
      <c r="CM16" s="832"/>
      <c r="CN16" s="832"/>
      <c r="CO16" s="832"/>
      <c r="CP16" s="832"/>
      <c r="CQ16" s="832"/>
      <c r="CR16" s="832"/>
      <c r="CS16" s="832"/>
      <c r="CT16" s="832"/>
      <c r="CU16" s="832"/>
      <c r="CV16" s="832"/>
      <c r="CW16" s="832"/>
      <c r="CX16" s="832"/>
      <c r="CY16" s="832"/>
      <c r="CZ16" s="832"/>
      <c r="DA16" s="832"/>
      <c r="DB16" s="832"/>
      <c r="DC16" s="832"/>
      <c r="DD16" s="832"/>
      <c r="DE16" s="832"/>
      <c r="DF16" s="832"/>
      <c r="DG16" s="832"/>
      <c r="DH16" s="832"/>
      <c r="DI16" s="832"/>
      <c r="DJ16" s="832"/>
      <c r="DK16" s="832"/>
      <c r="DL16" s="832"/>
      <c r="DM16" s="832"/>
      <c r="DN16" s="832"/>
      <c r="DO16" s="832"/>
      <c r="DP16" s="832"/>
      <c r="DQ16" s="832"/>
      <c r="DR16" s="832"/>
      <c r="DS16" s="832"/>
      <c r="DT16" s="832"/>
      <c r="DU16" s="832"/>
      <c r="DV16" s="832"/>
      <c r="DW16" s="832"/>
      <c r="DX16" s="832"/>
      <c r="DY16" s="832"/>
      <c r="DZ16" s="832"/>
      <c r="EA16" s="832"/>
      <c r="EB16" s="832"/>
      <c r="EC16" s="832"/>
      <c r="ED16" s="832"/>
      <c r="EE16" s="832"/>
      <c r="EF16" s="832"/>
      <c r="EG16" s="832"/>
      <c r="EH16" s="832"/>
      <c r="EI16" s="832"/>
      <c r="EJ16" s="832"/>
      <c r="EK16" s="832"/>
      <c r="EL16" s="832"/>
      <c r="EM16" s="832"/>
      <c r="EN16" s="832"/>
      <c r="EO16" s="832"/>
      <c r="EP16" s="832"/>
      <c r="EQ16" s="832"/>
      <c r="ER16" s="832"/>
      <c r="ES16" s="832"/>
      <c r="ET16" s="832"/>
      <c r="EU16" s="832"/>
      <c r="EV16" s="832"/>
      <c r="EW16" s="832"/>
      <c r="EX16" s="832"/>
      <c r="EY16" s="832"/>
      <c r="EZ16" s="832"/>
      <c r="FA16" s="832"/>
      <c r="FB16" s="832"/>
      <c r="FC16" s="832"/>
      <c r="FD16" s="832"/>
      <c r="FE16" s="832"/>
      <c r="FF16" s="832"/>
      <c r="FG16" s="832"/>
      <c r="FH16" s="832"/>
      <c r="FI16" s="832"/>
      <c r="FJ16" s="832"/>
      <c r="FK16" s="832"/>
      <c r="FL16" s="832"/>
      <c r="FM16" s="832"/>
      <c r="FN16" s="832"/>
      <c r="FO16" s="832"/>
      <c r="FP16" s="832"/>
      <c r="FQ16" s="832"/>
      <c r="FR16" s="832"/>
      <c r="FS16" s="832"/>
      <c r="FT16" s="832"/>
      <c r="FU16" s="832"/>
      <c r="FV16" s="832"/>
      <c r="FW16" s="832"/>
      <c r="FX16" s="832"/>
      <c r="FY16" s="832"/>
      <c r="FZ16" s="832"/>
      <c r="GA16" s="832"/>
      <c r="GB16" s="832"/>
      <c r="GC16" s="832"/>
      <c r="GD16" s="832"/>
      <c r="GE16" s="832"/>
      <c r="GF16" s="832"/>
      <c r="GG16" s="832"/>
      <c r="GH16" s="832"/>
      <c r="GI16" s="832"/>
      <c r="GJ16" s="832"/>
      <c r="GK16" s="832"/>
      <c r="GL16" s="832"/>
      <c r="GM16" s="832"/>
      <c r="GN16" s="832"/>
      <c r="GO16" s="832"/>
      <c r="GP16" s="832"/>
      <c r="GQ16" s="832"/>
      <c r="GR16" s="832"/>
      <c r="GS16" s="832"/>
      <c r="GT16" s="832"/>
      <c r="GU16" s="832"/>
      <c r="GV16" s="832"/>
      <c r="GW16" s="832"/>
    </row>
    <row r="17" spans="1:205" s="3" customFormat="1" x14ac:dyDescent="0.25">
      <c r="A17" s="53" t="s">
        <v>135</v>
      </c>
      <c r="B17" s="17"/>
      <c r="C17" s="148">
        <v>4</v>
      </c>
      <c r="D17" s="8"/>
      <c r="E17" s="8"/>
      <c r="F17" s="235"/>
      <c r="I17" s="832"/>
      <c r="J17" s="832"/>
      <c r="K17" s="832"/>
      <c r="L17" s="832"/>
      <c r="M17" s="832"/>
      <c r="N17" s="832"/>
      <c r="O17" s="832"/>
      <c r="P17" s="832"/>
      <c r="Q17" s="832"/>
      <c r="R17" s="832"/>
      <c r="S17" s="832"/>
      <c r="T17" s="832"/>
      <c r="U17" s="832"/>
      <c r="V17" s="832"/>
      <c r="W17" s="832"/>
      <c r="X17" s="832"/>
      <c r="Y17" s="832"/>
      <c r="Z17" s="832"/>
      <c r="AA17" s="832"/>
      <c r="AB17" s="832"/>
      <c r="AC17" s="832"/>
      <c r="AD17" s="832"/>
      <c r="AE17" s="832"/>
      <c r="AF17" s="832"/>
      <c r="AG17" s="832"/>
      <c r="AH17" s="832"/>
      <c r="AI17" s="832"/>
      <c r="AJ17" s="832"/>
      <c r="AK17" s="832"/>
      <c r="AL17" s="832"/>
      <c r="AM17" s="832"/>
      <c r="AN17" s="832"/>
      <c r="AO17" s="832"/>
      <c r="AP17" s="832"/>
      <c r="AQ17" s="832"/>
      <c r="AR17" s="832"/>
      <c r="AS17" s="832"/>
      <c r="AT17" s="832"/>
      <c r="AU17" s="832"/>
      <c r="AV17" s="832"/>
      <c r="AW17" s="832"/>
      <c r="AX17" s="832"/>
      <c r="AY17" s="832"/>
      <c r="AZ17" s="832"/>
      <c r="BA17" s="832"/>
      <c r="BB17" s="832"/>
      <c r="BC17" s="832"/>
      <c r="BD17" s="832"/>
      <c r="BE17" s="832"/>
      <c r="BF17" s="832"/>
      <c r="BG17" s="832"/>
      <c r="BH17" s="832"/>
      <c r="BI17" s="832"/>
      <c r="BJ17" s="832"/>
      <c r="BK17" s="832"/>
      <c r="BL17" s="832"/>
      <c r="BM17" s="832"/>
      <c r="BN17" s="832"/>
      <c r="BO17" s="832"/>
      <c r="BP17" s="832"/>
      <c r="BQ17" s="832"/>
      <c r="BR17" s="832"/>
      <c r="BS17" s="832"/>
      <c r="BT17" s="832"/>
      <c r="BU17" s="832"/>
      <c r="BV17" s="832"/>
      <c r="BW17" s="832"/>
      <c r="BX17" s="832"/>
      <c r="BY17" s="832"/>
      <c r="BZ17" s="832"/>
      <c r="CA17" s="832"/>
      <c r="CB17" s="832"/>
      <c r="CC17" s="832"/>
      <c r="CD17" s="832"/>
      <c r="CE17" s="832"/>
      <c r="CF17" s="832"/>
      <c r="CG17" s="832"/>
      <c r="CH17" s="832"/>
      <c r="CI17" s="832"/>
      <c r="CJ17" s="832"/>
      <c r="CK17" s="832"/>
      <c r="CL17" s="832"/>
      <c r="CM17" s="832"/>
      <c r="CN17" s="832"/>
      <c r="CO17" s="832"/>
      <c r="CP17" s="832"/>
      <c r="CQ17" s="832"/>
      <c r="CR17" s="832"/>
      <c r="CS17" s="832"/>
      <c r="CT17" s="832"/>
      <c r="CU17" s="832"/>
      <c r="CV17" s="832"/>
      <c r="CW17" s="832"/>
      <c r="CX17" s="832"/>
      <c r="CY17" s="832"/>
      <c r="CZ17" s="832"/>
      <c r="DA17" s="832"/>
      <c r="DB17" s="832"/>
      <c r="DC17" s="832"/>
      <c r="DD17" s="832"/>
      <c r="DE17" s="832"/>
      <c r="DF17" s="832"/>
      <c r="DG17" s="832"/>
      <c r="DH17" s="832"/>
      <c r="DI17" s="832"/>
      <c r="DJ17" s="832"/>
      <c r="DK17" s="832"/>
      <c r="DL17" s="832"/>
      <c r="DM17" s="832"/>
      <c r="DN17" s="832"/>
      <c r="DO17" s="832"/>
      <c r="DP17" s="832"/>
      <c r="DQ17" s="832"/>
      <c r="DR17" s="832"/>
      <c r="DS17" s="832"/>
      <c r="DT17" s="832"/>
      <c r="DU17" s="832"/>
      <c r="DV17" s="832"/>
      <c r="DW17" s="832"/>
      <c r="DX17" s="832"/>
      <c r="DY17" s="832"/>
      <c r="DZ17" s="832"/>
      <c r="EA17" s="832"/>
      <c r="EB17" s="832"/>
      <c r="EC17" s="832"/>
      <c r="ED17" s="832"/>
      <c r="EE17" s="832"/>
      <c r="EF17" s="832"/>
      <c r="EG17" s="832"/>
      <c r="EH17" s="832"/>
      <c r="EI17" s="832"/>
      <c r="EJ17" s="832"/>
      <c r="EK17" s="832"/>
      <c r="EL17" s="832"/>
      <c r="EM17" s="832"/>
      <c r="EN17" s="832"/>
      <c r="EO17" s="832"/>
      <c r="EP17" s="832"/>
      <c r="EQ17" s="832"/>
      <c r="ER17" s="832"/>
      <c r="ES17" s="832"/>
      <c r="ET17" s="832"/>
      <c r="EU17" s="832"/>
      <c r="EV17" s="832"/>
      <c r="EW17" s="832"/>
      <c r="EX17" s="832"/>
      <c r="EY17" s="832"/>
      <c r="EZ17" s="832"/>
      <c r="FA17" s="832"/>
      <c r="FB17" s="832"/>
      <c r="FC17" s="832"/>
      <c r="FD17" s="832"/>
      <c r="FE17" s="832"/>
      <c r="FF17" s="832"/>
      <c r="FG17" s="832"/>
      <c r="FH17" s="832"/>
      <c r="FI17" s="832"/>
      <c r="FJ17" s="832"/>
      <c r="FK17" s="832"/>
      <c r="FL17" s="832"/>
      <c r="FM17" s="832"/>
      <c r="FN17" s="832"/>
      <c r="FO17" s="832"/>
      <c r="FP17" s="832"/>
      <c r="FQ17" s="832"/>
      <c r="FR17" s="832"/>
      <c r="FS17" s="832"/>
      <c r="FT17" s="832"/>
      <c r="FU17" s="832"/>
      <c r="FV17" s="832"/>
      <c r="FW17" s="832"/>
      <c r="FX17" s="832"/>
      <c r="FY17" s="832"/>
      <c r="FZ17" s="832"/>
      <c r="GA17" s="832"/>
      <c r="GB17" s="832"/>
      <c r="GC17" s="832"/>
      <c r="GD17" s="832"/>
      <c r="GE17" s="832"/>
      <c r="GF17" s="832"/>
      <c r="GG17" s="832"/>
      <c r="GH17" s="832"/>
      <c r="GI17" s="832"/>
      <c r="GJ17" s="832"/>
      <c r="GK17" s="832"/>
      <c r="GL17" s="832"/>
      <c r="GM17" s="832"/>
      <c r="GN17" s="832"/>
      <c r="GO17" s="832"/>
      <c r="GP17" s="832"/>
      <c r="GQ17" s="832"/>
      <c r="GR17" s="832"/>
      <c r="GS17" s="832"/>
      <c r="GT17" s="832"/>
      <c r="GU17" s="832"/>
      <c r="GV17" s="832"/>
      <c r="GW17" s="832"/>
    </row>
    <row r="18" spans="1:205" s="3" customFormat="1" x14ac:dyDescent="0.25">
      <c r="A18" s="53" t="s">
        <v>112</v>
      </c>
      <c r="B18" s="17"/>
      <c r="C18" s="148">
        <v>5</v>
      </c>
      <c r="D18" s="8"/>
      <c r="E18" s="8"/>
      <c r="F18" s="235"/>
      <c r="I18" s="832"/>
      <c r="J18" s="832"/>
      <c r="K18" s="832"/>
      <c r="L18" s="832"/>
      <c r="M18" s="832"/>
      <c r="N18" s="832"/>
      <c r="O18" s="832"/>
      <c r="P18" s="832"/>
      <c r="Q18" s="832"/>
      <c r="R18" s="832"/>
      <c r="S18" s="832"/>
      <c r="T18" s="832"/>
      <c r="U18" s="832"/>
      <c r="V18" s="832"/>
      <c r="W18" s="832"/>
      <c r="X18" s="832"/>
      <c r="Y18" s="832"/>
      <c r="Z18" s="832"/>
      <c r="AA18" s="832"/>
      <c r="AB18" s="832"/>
      <c r="AC18" s="832"/>
      <c r="AD18" s="832"/>
      <c r="AE18" s="832"/>
      <c r="AF18" s="832"/>
      <c r="AG18" s="832"/>
      <c r="AH18" s="832"/>
      <c r="AI18" s="832"/>
      <c r="AJ18" s="832"/>
      <c r="AK18" s="832"/>
      <c r="AL18" s="832"/>
      <c r="AM18" s="832"/>
      <c r="AN18" s="832"/>
      <c r="AO18" s="832"/>
      <c r="AP18" s="832"/>
      <c r="AQ18" s="832"/>
      <c r="AR18" s="832"/>
      <c r="AS18" s="832"/>
      <c r="AT18" s="832"/>
      <c r="AU18" s="832"/>
      <c r="AV18" s="832"/>
      <c r="AW18" s="832"/>
      <c r="AX18" s="832"/>
      <c r="AY18" s="832"/>
      <c r="AZ18" s="832"/>
      <c r="BA18" s="832"/>
      <c r="BB18" s="832"/>
      <c r="BC18" s="832"/>
      <c r="BD18" s="832"/>
      <c r="BE18" s="832"/>
      <c r="BF18" s="832"/>
      <c r="BG18" s="832"/>
      <c r="BH18" s="832"/>
      <c r="BI18" s="832"/>
      <c r="BJ18" s="832"/>
      <c r="BK18" s="832"/>
      <c r="BL18" s="832"/>
      <c r="BM18" s="832"/>
      <c r="BN18" s="832"/>
      <c r="BO18" s="832"/>
      <c r="BP18" s="832"/>
      <c r="BQ18" s="832"/>
      <c r="BR18" s="832"/>
      <c r="BS18" s="832"/>
      <c r="BT18" s="832"/>
      <c r="BU18" s="832"/>
      <c r="BV18" s="832"/>
      <c r="BW18" s="832"/>
      <c r="BX18" s="832"/>
      <c r="BY18" s="832"/>
      <c r="BZ18" s="832"/>
      <c r="CA18" s="832"/>
      <c r="CB18" s="832"/>
      <c r="CC18" s="832"/>
      <c r="CD18" s="832"/>
      <c r="CE18" s="832"/>
      <c r="CF18" s="832"/>
      <c r="CG18" s="832"/>
      <c r="CH18" s="832"/>
      <c r="CI18" s="832"/>
      <c r="CJ18" s="832"/>
      <c r="CK18" s="832"/>
      <c r="CL18" s="832"/>
      <c r="CM18" s="832"/>
      <c r="CN18" s="832"/>
      <c r="CO18" s="832"/>
      <c r="CP18" s="832"/>
      <c r="CQ18" s="832"/>
      <c r="CR18" s="832"/>
      <c r="CS18" s="832"/>
      <c r="CT18" s="832"/>
      <c r="CU18" s="832"/>
      <c r="CV18" s="832"/>
      <c r="CW18" s="832"/>
      <c r="CX18" s="832"/>
      <c r="CY18" s="832"/>
      <c r="CZ18" s="832"/>
      <c r="DA18" s="832"/>
      <c r="DB18" s="832"/>
      <c r="DC18" s="832"/>
      <c r="DD18" s="832"/>
      <c r="DE18" s="832"/>
      <c r="DF18" s="832"/>
      <c r="DG18" s="832"/>
      <c r="DH18" s="832"/>
      <c r="DI18" s="832"/>
      <c r="DJ18" s="832"/>
      <c r="DK18" s="832"/>
      <c r="DL18" s="832"/>
      <c r="DM18" s="832"/>
      <c r="DN18" s="832"/>
      <c r="DO18" s="832"/>
      <c r="DP18" s="832"/>
      <c r="DQ18" s="832"/>
      <c r="DR18" s="832"/>
      <c r="DS18" s="832"/>
      <c r="DT18" s="832"/>
      <c r="DU18" s="832"/>
      <c r="DV18" s="832"/>
      <c r="DW18" s="832"/>
      <c r="DX18" s="832"/>
      <c r="DY18" s="832"/>
      <c r="DZ18" s="832"/>
      <c r="EA18" s="832"/>
      <c r="EB18" s="832"/>
      <c r="EC18" s="832"/>
      <c r="ED18" s="832"/>
      <c r="EE18" s="832"/>
      <c r="EF18" s="832"/>
      <c r="EG18" s="832"/>
      <c r="EH18" s="832"/>
      <c r="EI18" s="832"/>
      <c r="EJ18" s="832"/>
      <c r="EK18" s="832"/>
      <c r="EL18" s="832"/>
      <c r="EM18" s="832"/>
      <c r="EN18" s="832"/>
      <c r="EO18" s="832"/>
      <c r="EP18" s="832"/>
      <c r="EQ18" s="832"/>
      <c r="ER18" s="832"/>
      <c r="ES18" s="832"/>
      <c r="ET18" s="832"/>
      <c r="EU18" s="832"/>
      <c r="EV18" s="832"/>
      <c r="EW18" s="832"/>
      <c r="EX18" s="832"/>
      <c r="EY18" s="832"/>
      <c r="EZ18" s="832"/>
      <c r="FA18" s="832"/>
      <c r="FB18" s="832"/>
      <c r="FC18" s="832"/>
      <c r="FD18" s="832"/>
      <c r="FE18" s="832"/>
      <c r="FF18" s="832"/>
      <c r="FG18" s="832"/>
      <c r="FH18" s="832"/>
      <c r="FI18" s="832"/>
      <c r="FJ18" s="832"/>
      <c r="FK18" s="832"/>
      <c r="FL18" s="832"/>
      <c r="FM18" s="832"/>
      <c r="FN18" s="832"/>
      <c r="FO18" s="832"/>
      <c r="FP18" s="832"/>
      <c r="FQ18" s="832"/>
      <c r="FR18" s="832"/>
      <c r="FS18" s="832"/>
      <c r="FT18" s="832"/>
      <c r="FU18" s="832"/>
      <c r="FV18" s="832"/>
      <c r="FW18" s="832"/>
      <c r="FX18" s="832"/>
      <c r="FY18" s="832"/>
      <c r="FZ18" s="832"/>
      <c r="GA18" s="832"/>
      <c r="GB18" s="832"/>
      <c r="GC18" s="832"/>
      <c r="GD18" s="832"/>
      <c r="GE18" s="832"/>
      <c r="GF18" s="832"/>
      <c r="GG18" s="832"/>
      <c r="GH18" s="832"/>
      <c r="GI18" s="832"/>
      <c r="GJ18" s="832"/>
      <c r="GK18" s="832"/>
      <c r="GL18" s="832"/>
      <c r="GM18" s="832"/>
      <c r="GN18" s="832"/>
      <c r="GO18" s="832"/>
      <c r="GP18" s="832"/>
      <c r="GQ18" s="832"/>
      <c r="GR18" s="832"/>
      <c r="GS18" s="832"/>
      <c r="GT18" s="832"/>
      <c r="GU18" s="832"/>
      <c r="GV18" s="832"/>
      <c r="GW18" s="832"/>
    </row>
    <row r="19" spans="1:205" s="3" customFormat="1" x14ac:dyDescent="0.25">
      <c r="A19" s="53" t="str">
        <f>IF(inputPrYr!E21="","","Computation to Determine State Library Grant")</f>
        <v/>
      </c>
      <c r="B19" s="17"/>
      <c r="C19" s="148" t="str">
        <f>IF(inputPrYr!D21="","",'Library Grant'!F40)</f>
        <v/>
      </c>
      <c r="D19" s="8"/>
      <c r="E19" s="8"/>
      <c r="F19" s="235"/>
      <c r="I19" s="832"/>
      <c r="J19" s="832"/>
      <c r="K19" s="832"/>
      <c r="L19" s="832"/>
      <c r="M19" s="832"/>
      <c r="N19" s="832"/>
      <c r="O19" s="832"/>
      <c r="P19" s="832"/>
      <c r="Q19" s="832"/>
      <c r="R19" s="832"/>
      <c r="S19" s="832"/>
      <c r="T19" s="832"/>
      <c r="U19" s="832"/>
      <c r="V19" s="832"/>
      <c r="W19" s="832"/>
      <c r="X19" s="832"/>
      <c r="Y19" s="832"/>
      <c r="Z19" s="832"/>
      <c r="AA19" s="832"/>
      <c r="AB19" s="832"/>
      <c r="AC19" s="832"/>
      <c r="AD19" s="832"/>
      <c r="AE19" s="832"/>
      <c r="AF19" s="832"/>
      <c r="AG19" s="832"/>
      <c r="AH19" s="832"/>
      <c r="AI19" s="832"/>
      <c r="AJ19" s="832"/>
      <c r="AK19" s="832"/>
      <c r="AL19" s="832"/>
      <c r="AM19" s="832"/>
      <c r="AN19" s="832"/>
      <c r="AO19" s="832"/>
      <c r="AP19" s="832"/>
      <c r="AQ19" s="832"/>
      <c r="AR19" s="832"/>
      <c r="AS19" s="832"/>
      <c r="AT19" s="832"/>
      <c r="AU19" s="832"/>
      <c r="AV19" s="832"/>
      <c r="AW19" s="832"/>
      <c r="AX19" s="832"/>
      <c r="AY19" s="832"/>
      <c r="AZ19" s="832"/>
      <c r="BA19" s="832"/>
      <c r="BB19" s="832"/>
      <c r="BC19" s="832"/>
      <c r="BD19" s="832"/>
      <c r="BE19" s="832"/>
      <c r="BF19" s="832"/>
      <c r="BG19" s="832"/>
      <c r="BH19" s="832"/>
      <c r="BI19" s="832"/>
      <c r="BJ19" s="832"/>
      <c r="BK19" s="832"/>
      <c r="BL19" s="832"/>
      <c r="BM19" s="832"/>
      <c r="BN19" s="832"/>
      <c r="BO19" s="832"/>
      <c r="BP19" s="832"/>
      <c r="BQ19" s="832"/>
      <c r="BR19" s="832"/>
      <c r="BS19" s="832"/>
      <c r="BT19" s="832"/>
      <c r="BU19" s="832"/>
      <c r="BV19" s="832"/>
      <c r="BW19" s="832"/>
      <c r="BX19" s="832"/>
      <c r="BY19" s="832"/>
      <c r="BZ19" s="832"/>
      <c r="CA19" s="832"/>
      <c r="CB19" s="832"/>
      <c r="CC19" s="832"/>
      <c r="CD19" s="832"/>
      <c r="CE19" s="832"/>
      <c r="CF19" s="832"/>
      <c r="CG19" s="832"/>
      <c r="CH19" s="832"/>
      <c r="CI19" s="832"/>
      <c r="CJ19" s="832"/>
      <c r="CK19" s="832"/>
      <c r="CL19" s="832"/>
      <c r="CM19" s="832"/>
      <c r="CN19" s="832"/>
      <c r="CO19" s="832"/>
      <c r="CP19" s="832"/>
      <c r="CQ19" s="832"/>
      <c r="CR19" s="832"/>
      <c r="CS19" s="832"/>
      <c r="CT19" s="832"/>
      <c r="CU19" s="832"/>
      <c r="CV19" s="832"/>
      <c r="CW19" s="832"/>
      <c r="CX19" s="832"/>
      <c r="CY19" s="832"/>
      <c r="CZ19" s="832"/>
      <c r="DA19" s="832"/>
      <c r="DB19" s="832"/>
      <c r="DC19" s="832"/>
      <c r="DD19" s="832"/>
      <c r="DE19" s="832"/>
      <c r="DF19" s="832"/>
      <c r="DG19" s="832"/>
      <c r="DH19" s="832"/>
      <c r="DI19" s="832"/>
      <c r="DJ19" s="832"/>
      <c r="DK19" s="832"/>
      <c r="DL19" s="832"/>
      <c r="DM19" s="832"/>
      <c r="DN19" s="832"/>
      <c r="DO19" s="832"/>
      <c r="DP19" s="832"/>
      <c r="DQ19" s="832"/>
      <c r="DR19" s="832"/>
      <c r="DS19" s="832"/>
      <c r="DT19" s="832"/>
      <c r="DU19" s="832"/>
      <c r="DV19" s="832"/>
      <c r="DW19" s="832"/>
      <c r="DX19" s="832"/>
      <c r="DY19" s="832"/>
      <c r="DZ19" s="832"/>
      <c r="EA19" s="832"/>
      <c r="EB19" s="832"/>
      <c r="EC19" s="832"/>
      <c r="ED19" s="832"/>
      <c r="EE19" s="832"/>
      <c r="EF19" s="832"/>
      <c r="EG19" s="832"/>
      <c r="EH19" s="832"/>
      <c r="EI19" s="832"/>
      <c r="EJ19" s="832"/>
      <c r="EK19" s="832"/>
      <c r="EL19" s="832"/>
      <c r="EM19" s="832"/>
      <c r="EN19" s="832"/>
      <c r="EO19" s="832"/>
      <c r="EP19" s="832"/>
      <c r="EQ19" s="832"/>
      <c r="ER19" s="832"/>
      <c r="ES19" s="832"/>
      <c r="ET19" s="832"/>
      <c r="EU19" s="832"/>
      <c r="EV19" s="832"/>
      <c r="EW19" s="832"/>
      <c r="EX19" s="832"/>
      <c r="EY19" s="832"/>
      <c r="EZ19" s="832"/>
      <c r="FA19" s="832"/>
      <c r="FB19" s="832"/>
      <c r="FC19" s="832"/>
      <c r="FD19" s="832"/>
      <c r="FE19" s="832"/>
      <c r="FF19" s="832"/>
      <c r="FG19" s="832"/>
      <c r="FH19" s="832"/>
      <c r="FI19" s="832"/>
      <c r="FJ19" s="832"/>
      <c r="FK19" s="832"/>
      <c r="FL19" s="832"/>
      <c r="FM19" s="832"/>
      <c r="FN19" s="832"/>
      <c r="FO19" s="832"/>
      <c r="FP19" s="832"/>
      <c r="FQ19" s="832"/>
      <c r="FR19" s="832"/>
      <c r="FS19" s="832"/>
      <c r="FT19" s="832"/>
      <c r="FU19" s="832"/>
      <c r="FV19" s="832"/>
      <c r="FW19" s="832"/>
      <c r="FX19" s="832"/>
      <c r="FY19" s="832"/>
      <c r="FZ19" s="832"/>
      <c r="GA19" s="832"/>
      <c r="GB19" s="832"/>
      <c r="GC19" s="832"/>
      <c r="GD19" s="832"/>
      <c r="GE19" s="832"/>
      <c r="GF19" s="832"/>
      <c r="GG19" s="832"/>
      <c r="GH19" s="832"/>
      <c r="GI19" s="832"/>
      <c r="GJ19" s="832"/>
      <c r="GK19" s="832"/>
      <c r="GL19" s="832"/>
      <c r="GM19" s="832"/>
      <c r="GN19" s="832"/>
      <c r="GO19" s="832"/>
      <c r="GP19" s="832"/>
      <c r="GQ19" s="832"/>
      <c r="GR19" s="832"/>
      <c r="GS19" s="832"/>
      <c r="GT19" s="832"/>
      <c r="GU19" s="832"/>
      <c r="GV19" s="832"/>
      <c r="GW19" s="832"/>
    </row>
    <row r="20" spans="1:205" s="3" customFormat="1" x14ac:dyDescent="0.25">
      <c r="A20" s="236" t="s">
        <v>245</v>
      </c>
      <c r="B20" s="133" t="s">
        <v>246</v>
      </c>
      <c r="C20" s="166"/>
      <c r="F20" s="237"/>
      <c r="I20" s="832"/>
      <c r="J20" s="832"/>
      <c r="K20" s="832"/>
      <c r="L20" s="832"/>
      <c r="M20" s="832"/>
      <c r="N20" s="832"/>
      <c r="O20" s="832"/>
      <c r="P20" s="832"/>
      <c r="Q20" s="832"/>
      <c r="R20" s="832"/>
      <c r="S20" s="832"/>
      <c r="T20" s="832"/>
      <c r="U20" s="832"/>
      <c r="V20" s="832"/>
      <c r="W20" s="832"/>
      <c r="X20" s="832"/>
      <c r="Y20" s="832"/>
      <c r="Z20" s="832"/>
      <c r="AA20" s="832"/>
      <c r="AB20" s="832"/>
      <c r="AC20" s="832"/>
      <c r="AD20" s="832"/>
      <c r="AE20" s="832"/>
      <c r="AF20" s="832"/>
      <c r="AG20" s="832"/>
      <c r="AH20" s="832"/>
      <c r="AI20" s="832"/>
      <c r="AJ20" s="832"/>
      <c r="AK20" s="832"/>
      <c r="AL20" s="832"/>
      <c r="AM20" s="832"/>
      <c r="AN20" s="832"/>
      <c r="AO20" s="832"/>
      <c r="AP20" s="832"/>
      <c r="AQ20" s="832"/>
      <c r="AR20" s="832"/>
      <c r="AS20" s="832"/>
      <c r="AT20" s="832"/>
      <c r="AU20" s="832"/>
      <c r="AV20" s="832"/>
      <c r="AW20" s="832"/>
      <c r="AX20" s="832"/>
      <c r="AY20" s="832"/>
      <c r="AZ20" s="832"/>
      <c r="BA20" s="832"/>
      <c r="BB20" s="832"/>
      <c r="BC20" s="832"/>
      <c r="BD20" s="832"/>
      <c r="BE20" s="832"/>
      <c r="BF20" s="832"/>
      <c r="BG20" s="832"/>
      <c r="BH20" s="832"/>
      <c r="BI20" s="832"/>
      <c r="BJ20" s="832"/>
      <c r="BK20" s="832"/>
      <c r="BL20" s="832"/>
      <c r="BM20" s="832"/>
      <c r="BN20" s="832"/>
      <c r="BO20" s="832"/>
      <c r="BP20" s="832"/>
      <c r="BQ20" s="832"/>
      <c r="BR20" s="832"/>
      <c r="BS20" s="832"/>
      <c r="BT20" s="832"/>
      <c r="BU20" s="832"/>
      <c r="BV20" s="832"/>
      <c r="BW20" s="832"/>
      <c r="BX20" s="832"/>
      <c r="BY20" s="832"/>
      <c r="BZ20" s="832"/>
      <c r="CA20" s="832"/>
      <c r="CB20" s="832"/>
      <c r="CC20" s="832"/>
      <c r="CD20" s="832"/>
      <c r="CE20" s="832"/>
      <c r="CF20" s="832"/>
      <c r="CG20" s="832"/>
      <c r="CH20" s="832"/>
      <c r="CI20" s="832"/>
      <c r="CJ20" s="832"/>
      <c r="CK20" s="832"/>
      <c r="CL20" s="832"/>
      <c r="CM20" s="832"/>
      <c r="CN20" s="832"/>
      <c r="CO20" s="832"/>
      <c r="CP20" s="832"/>
      <c r="CQ20" s="832"/>
      <c r="CR20" s="832"/>
      <c r="CS20" s="832"/>
      <c r="CT20" s="832"/>
      <c r="CU20" s="832"/>
      <c r="CV20" s="832"/>
      <c r="CW20" s="832"/>
      <c r="CX20" s="832"/>
      <c r="CY20" s="832"/>
      <c r="CZ20" s="832"/>
      <c r="DA20" s="832"/>
      <c r="DB20" s="832"/>
      <c r="DC20" s="832"/>
      <c r="DD20" s="832"/>
      <c r="DE20" s="832"/>
      <c r="DF20" s="832"/>
      <c r="DG20" s="832"/>
      <c r="DH20" s="832"/>
      <c r="DI20" s="832"/>
      <c r="DJ20" s="832"/>
      <c r="DK20" s="832"/>
      <c r="DL20" s="832"/>
      <c r="DM20" s="832"/>
      <c r="DN20" s="832"/>
      <c r="DO20" s="832"/>
      <c r="DP20" s="832"/>
      <c r="DQ20" s="832"/>
      <c r="DR20" s="832"/>
      <c r="DS20" s="832"/>
      <c r="DT20" s="832"/>
      <c r="DU20" s="832"/>
      <c r="DV20" s="832"/>
      <c r="DW20" s="832"/>
      <c r="DX20" s="832"/>
      <c r="DY20" s="832"/>
      <c r="DZ20" s="832"/>
      <c r="EA20" s="832"/>
      <c r="EB20" s="832"/>
      <c r="EC20" s="832"/>
      <c r="ED20" s="832"/>
      <c r="EE20" s="832"/>
      <c r="EF20" s="832"/>
      <c r="EG20" s="832"/>
      <c r="EH20" s="832"/>
      <c r="EI20" s="832"/>
      <c r="EJ20" s="832"/>
      <c r="EK20" s="832"/>
      <c r="EL20" s="832"/>
      <c r="EM20" s="832"/>
      <c r="EN20" s="832"/>
      <c r="EO20" s="832"/>
      <c r="EP20" s="832"/>
      <c r="EQ20" s="832"/>
      <c r="ER20" s="832"/>
      <c r="ES20" s="832"/>
      <c r="ET20" s="832"/>
      <c r="EU20" s="832"/>
      <c r="EV20" s="832"/>
      <c r="EW20" s="832"/>
      <c r="EX20" s="832"/>
      <c r="EY20" s="832"/>
      <c r="EZ20" s="832"/>
      <c r="FA20" s="832"/>
      <c r="FB20" s="832"/>
      <c r="FC20" s="832"/>
      <c r="FD20" s="832"/>
      <c r="FE20" s="832"/>
      <c r="FF20" s="832"/>
      <c r="FG20" s="832"/>
      <c r="FH20" s="832"/>
      <c r="FI20" s="832"/>
      <c r="FJ20" s="832"/>
      <c r="FK20" s="832"/>
      <c r="FL20" s="832"/>
      <c r="FM20" s="832"/>
      <c r="FN20" s="832"/>
      <c r="FO20" s="832"/>
      <c r="FP20" s="832"/>
      <c r="FQ20" s="832"/>
      <c r="FR20" s="832"/>
      <c r="FS20" s="832"/>
      <c r="FT20" s="832"/>
      <c r="FU20" s="832"/>
      <c r="FV20" s="832"/>
      <c r="FW20" s="832"/>
      <c r="FX20" s="832"/>
      <c r="FY20" s="832"/>
      <c r="FZ20" s="832"/>
      <c r="GA20" s="832"/>
      <c r="GB20" s="832"/>
      <c r="GC20" s="832"/>
      <c r="GD20" s="832"/>
      <c r="GE20" s="832"/>
      <c r="GF20" s="832"/>
      <c r="GG20" s="832"/>
      <c r="GH20" s="832"/>
      <c r="GI20" s="832"/>
      <c r="GJ20" s="832"/>
      <c r="GK20" s="832"/>
      <c r="GL20" s="832"/>
      <c r="GM20" s="832"/>
      <c r="GN20" s="832"/>
      <c r="GO20" s="832"/>
      <c r="GP20" s="832"/>
      <c r="GQ20" s="832"/>
      <c r="GR20" s="832"/>
      <c r="GS20" s="832"/>
      <c r="GT20" s="832"/>
      <c r="GU20" s="832"/>
      <c r="GV20" s="832"/>
      <c r="GW20" s="832"/>
    </row>
    <row r="21" spans="1:205" s="3" customFormat="1" x14ac:dyDescent="0.25">
      <c r="A21" s="72" t="str">
        <f>inputPrYr!B19</f>
        <v>General</v>
      </c>
      <c r="B21" s="238" t="str">
        <f>inputPrYr!C19</f>
        <v>79-1962</v>
      </c>
      <c r="C21" s="239" t="str">
        <f>IF(gen!C63&gt;0,gen!C63,"  ")</f>
        <v xml:space="preserve">  </v>
      </c>
      <c r="D21" s="654">
        <f>IF(gen!$E$50&lt;&gt;0,gen!$E$50,"  ")</f>
        <v>213800</v>
      </c>
      <c r="E21" s="654">
        <f>IF(gen!$E$57&lt;&gt;0,gen!$E$57,0)</f>
        <v>176446</v>
      </c>
      <c r="F21" s="655">
        <f>IF(AND(gen!E57=0,$B$40&gt;=0)," ",IF(AND(E21&gt;0,$B$40=0)," ",IF(AND(E21&gt;0,$B$40&gt;0),ROUND(E21/$B$40*1000,3))))</f>
        <v>19.870999999999999</v>
      </c>
      <c r="I21" s="832"/>
      <c r="J21" s="832"/>
      <c r="K21" s="832"/>
      <c r="L21" s="832"/>
      <c r="M21" s="832"/>
      <c r="N21" s="832"/>
      <c r="O21" s="832"/>
      <c r="P21" s="832"/>
      <c r="Q21" s="832"/>
      <c r="R21" s="832"/>
      <c r="S21" s="832"/>
      <c r="T21" s="832"/>
      <c r="U21" s="832"/>
      <c r="V21" s="832"/>
      <c r="W21" s="832"/>
      <c r="X21" s="832"/>
      <c r="Y21" s="832"/>
      <c r="Z21" s="832"/>
      <c r="AA21" s="832"/>
      <c r="AB21" s="832"/>
      <c r="AC21" s="832"/>
      <c r="AD21" s="832"/>
      <c r="AE21" s="832"/>
      <c r="AF21" s="832"/>
      <c r="AG21" s="832"/>
      <c r="AH21" s="832"/>
      <c r="AI21" s="832"/>
      <c r="AJ21" s="832"/>
      <c r="AK21" s="832"/>
      <c r="AL21" s="832"/>
      <c r="AM21" s="832"/>
      <c r="AN21" s="832"/>
      <c r="AO21" s="832"/>
      <c r="AP21" s="832"/>
      <c r="AQ21" s="832"/>
      <c r="AR21" s="832"/>
      <c r="AS21" s="832"/>
      <c r="AT21" s="832"/>
      <c r="AU21" s="832"/>
      <c r="AV21" s="832"/>
      <c r="AW21" s="832"/>
      <c r="AX21" s="832"/>
      <c r="AY21" s="832"/>
      <c r="AZ21" s="832"/>
      <c r="BA21" s="832"/>
      <c r="BB21" s="832"/>
      <c r="BC21" s="832"/>
      <c r="BD21" s="832"/>
      <c r="BE21" s="832"/>
      <c r="BF21" s="832"/>
      <c r="BG21" s="832"/>
      <c r="BH21" s="832"/>
      <c r="BI21" s="832"/>
      <c r="BJ21" s="832"/>
      <c r="BK21" s="832"/>
      <c r="BL21" s="832"/>
      <c r="BM21" s="832"/>
      <c r="BN21" s="832"/>
      <c r="BO21" s="832"/>
      <c r="BP21" s="832"/>
      <c r="BQ21" s="832"/>
      <c r="BR21" s="832"/>
      <c r="BS21" s="832"/>
      <c r="BT21" s="832"/>
      <c r="BU21" s="832"/>
      <c r="BV21" s="832"/>
      <c r="BW21" s="832"/>
      <c r="BX21" s="832"/>
      <c r="BY21" s="832"/>
      <c r="BZ21" s="832"/>
      <c r="CA21" s="832"/>
      <c r="CB21" s="832"/>
      <c r="CC21" s="832"/>
      <c r="CD21" s="832"/>
      <c r="CE21" s="832"/>
      <c r="CF21" s="832"/>
      <c r="CG21" s="832"/>
      <c r="CH21" s="832"/>
      <c r="CI21" s="832"/>
      <c r="CJ21" s="832"/>
      <c r="CK21" s="832"/>
      <c r="CL21" s="832"/>
      <c r="CM21" s="832"/>
      <c r="CN21" s="832"/>
      <c r="CO21" s="832"/>
      <c r="CP21" s="832"/>
      <c r="CQ21" s="832"/>
      <c r="CR21" s="832"/>
      <c r="CS21" s="832"/>
      <c r="CT21" s="832"/>
      <c r="CU21" s="832"/>
      <c r="CV21" s="832"/>
      <c r="CW21" s="832"/>
      <c r="CX21" s="832"/>
      <c r="CY21" s="832"/>
      <c r="CZ21" s="832"/>
      <c r="DA21" s="832"/>
      <c r="DB21" s="832"/>
      <c r="DC21" s="832"/>
      <c r="DD21" s="832"/>
      <c r="DE21" s="832"/>
      <c r="DF21" s="832"/>
      <c r="DG21" s="832"/>
      <c r="DH21" s="832"/>
      <c r="DI21" s="832"/>
      <c r="DJ21" s="832"/>
      <c r="DK21" s="832"/>
      <c r="DL21" s="832"/>
      <c r="DM21" s="832"/>
      <c r="DN21" s="832"/>
      <c r="DO21" s="832"/>
      <c r="DP21" s="832"/>
      <c r="DQ21" s="832"/>
      <c r="DR21" s="832"/>
      <c r="DS21" s="832"/>
      <c r="DT21" s="832"/>
      <c r="DU21" s="832"/>
      <c r="DV21" s="832"/>
      <c r="DW21" s="832"/>
      <c r="DX21" s="832"/>
      <c r="DY21" s="832"/>
      <c r="DZ21" s="832"/>
      <c r="EA21" s="832"/>
      <c r="EB21" s="832"/>
      <c r="EC21" s="832"/>
      <c r="ED21" s="832"/>
      <c r="EE21" s="832"/>
      <c r="EF21" s="832"/>
      <c r="EG21" s="832"/>
      <c r="EH21" s="832"/>
      <c r="EI21" s="832"/>
      <c r="EJ21" s="832"/>
      <c r="EK21" s="832"/>
      <c r="EL21" s="832"/>
      <c r="EM21" s="832"/>
      <c r="EN21" s="832"/>
      <c r="EO21" s="832"/>
      <c r="EP21" s="832"/>
      <c r="EQ21" s="832"/>
      <c r="ER21" s="832"/>
      <c r="ES21" s="832"/>
      <c r="ET21" s="832"/>
      <c r="EU21" s="832"/>
      <c r="EV21" s="832"/>
      <c r="EW21" s="832"/>
      <c r="EX21" s="832"/>
      <c r="EY21" s="832"/>
      <c r="EZ21" s="832"/>
      <c r="FA21" s="832"/>
      <c r="FB21" s="832"/>
      <c r="FC21" s="832"/>
      <c r="FD21" s="832"/>
      <c r="FE21" s="832"/>
      <c r="FF21" s="832"/>
      <c r="FG21" s="832"/>
      <c r="FH21" s="832"/>
      <c r="FI21" s="832"/>
      <c r="FJ21" s="832"/>
      <c r="FK21" s="832"/>
      <c r="FL21" s="832"/>
      <c r="FM21" s="832"/>
      <c r="FN21" s="832"/>
      <c r="FO21" s="832"/>
      <c r="FP21" s="832"/>
      <c r="FQ21" s="832"/>
      <c r="FR21" s="832"/>
      <c r="FS21" s="832"/>
      <c r="FT21" s="832"/>
      <c r="FU21" s="832"/>
      <c r="FV21" s="832"/>
      <c r="FW21" s="832"/>
      <c r="FX21" s="832"/>
      <c r="FY21" s="832"/>
      <c r="FZ21" s="832"/>
      <c r="GA21" s="832"/>
      <c r="GB21" s="832"/>
      <c r="GC21" s="832"/>
      <c r="GD21" s="832"/>
      <c r="GE21" s="832"/>
      <c r="GF21" s="832"/>
      <c r="GG21" s="832"/>
      <c r="GH21" s="832"/>
      <c r="GI21" s="832"/>
      <c r="GJ21" s="832"/>
      <c r="GK21" s="832"/>
      <c r="GL21" s="832"/>
      <c r="GM21" s="832"/>
      <c r="GN21" s="832"/>
      <c r="GO21" s="832"/>
      <c r="GP21" s="832"/>
      <c r="GQ21" s="832"/>
      <c r="GR21" s="832"/>
      <c r="GS21" s="832"/>
      <c r="GT21" s="832"/>
      <c r="GU21" s="832"/>
      <c r="GV21" s="832"/>
      <c r="GW21" s="832"/>
    </row>
    <row r="22" spans="1:205" s="3" customFormat="1" x14ac:dyDescent="0.25">
      <c r="A22" s="72" t="s">
        <v>257</v>
      </c>
      <c r="B22" s="238" t="str">
        <f>inputPrYr!C20</f>
        <v>10-113</v>
      </c>
      <c r="C22" s="239" t="str">
        <f>IF('DebtSvs-Library'!C86&gt;0,'DebtSvs-Library'!C86,"  ")</f>
        <v xml:space="preserve">  </v>
      </c>
      <c r="D22" s="654" t="str">
        <f>IF('DebtSvs-Library'!E34&lt;&gt;0,'DebtSvs-Library'!E34,"  ")</f>
        <v xml:space="preserve">  </v>
      </c>
      <c r="E22" s="654" t="str">
        <f>IF('DebtSvs-Library'!E41&lt;&gt;0,'DebtSvs-Library'!E41,"  ")</f>
        <v xml:space="preserve">  </v>
      </c>
      <c r="F22" s="655" t="str">
        <f>IF(AND('DebtSvs-Library'!E41=0,$B$40&gt;=0)," ",IF(AND(E22&gt;0,$B$40=0)," ",IF(AND(E22&gt;0,$B$40&gt;0),ROUND(E22/$B$40*1000,3))))</f>
        <v xml:space="preserve"> </v>
      </c>
      <c r="I22" s="832"/>
      <c r="J22" s="832"/>
      <c r="K22" s="832"/>
      <c r="L22" s="832"/>
      <c r="M22" s="832"/>
      <c r="N22" s="832"/>
      <c r="O22" s="832"/>
      <c r="P22" s="832"/>
      <c r="Q22" s="832"/>
      <c r="R22" s="832"/>
      <c r="S22" s="832"/>
      <c r="T22" s="832"/>
      <c r="U22" s="832"/>
      <c r="V22" s="832"/>
      <c r="W22" s="832"/>
      <c r="X22" s="832"/>
      <c r="Y22" s="832"/>
      <c r="Z22" s="832"/>
      <c r="AA22" s="832"/>
      <c r="AB22" s="832"/>
      <c r="AC22" s="832"/>
      <c r="AD22" s="832"/>
      <c r="AE22" s="832"/>
      <c r="AF22" s="832"/>
      <c r="AG22" s="832"/>
      <c r="AH22" s="832"/>
      <c r="AI22" s="832"/>
      <c r="AJ22" s="832"/>
      <c r="AK22" s="832"/>
      <c r="AL22" s="832"/>
      <c r="AM22" s="832"/>
      <c r="AN22" s="832"/>
      <c r="AO22" s="832"/>
      <c r="AP22" s="832"/>
      <c r="AQ22" s="832"/>
      <c r="AR22" s="832"/>
      <c r="AS22" s="832"/>
      <c r="AT22" s="832"/>
      <c r="AU22" s="832"/>
      <c r="AV22" s="832"/>
      <c r="AW22" s="832"/>
      <c r="AX22" s="832"/>
      <c r="AY22" s="832"/>
      <c r="AZ22" s="832"/>
      <c r="BA22" s="832"/>
      <c r="BB22" s="832"/>
      <c r="BC22" s="832"/>
      <c r="BD22" s="832"/>
      <c r="BE22" s="832"/>
      <c r="BF22" s="832"/>
      <c r="BG22" s="832"/>
      <c r="BH22" s="832"/>
      <c r="BI22" s="832"/>
      <c r="BJ22" s="832"/>
      <c r="BK22" s="832"/>
      <c r="BL22" s="832"/>
      <c r="BM22" s="832"/>
      <c r="BN22" s="832"/>
      <c r="BO22" s="832"/>
      <c r="BP22" s="832"/>
      <c r="BQ22" s="832"/>
      <c r="BR22" s="832"/>
      <c r="BS22" s="832"/>
      <c r="BT22" s="832"/>
      <c r="BU22" s="832"/>
      <c r="BV22" s="832"/>
      <c r="BW22" s="832"/>
      <c r="BX22" s="832"/>
      <c r="BY22" s="832"/>
      <c r="BZ22" s="832"/>
      <c r="CA22" s="832"/>
      <c r="CB22" s="832"/>
      <c r="CC22" s="832"/>
      <c r="CD22" s="832"/>
      <c r="CE22" s="832"/>
      <c r="CF22" s="832"/>
      <c r="CG22" s="832"/>
      <c r="CH22" s="832"/>
      <c r="CI22" s="832"/>
      <c r="CJ22" s="832"/>
      <c r="CK22" s="832"/>
      <c r="CL22" s="832"/>
      <c r="CM22" s="832"/>
      <c r="CN22" s="832"/>
      <c r="CO22" s="832"/>
      <c r="CP22" s="832"/>
      <c r="CQ22" s="832"/>
      <c r="CR22" s="832"/>
      <c r="CS22" s="832"/>
      <c r="CT22" s="832"/>
      <c r="CU22" s="832"/>
      <c r="CV22" s="832"/>
      <c r="CW22" s="832"/>
      <c r="CX22" s="832"/>
      <c r="CY22" s="832"/>
      <c r="CZ22" s="832"/>
      <c r="DA22" s="832"/>
      <c r="DB22" s="832"/>
      <c r="DC22" s="832"/>
      <c r="DD22" s="832"/>
      <c r="DE22" s="832"/>
      <c r="DF22" s="832"/>
      <c r="DG22" s="832"/>
      <c r="DH22" s="832"/>
      <c r="DI22" s="832"/>
      <c r="DJ22" s="832"/>
      <c r="DK22" s="832"/>
      <c r="DL22" s="832"/>
      <c r="DM22" s="832"/>
      <c r="DN22" s="832"/>
      <c r="DO22" s="832"/>
      <c r="DP22" s="832"/>
      <c r="DQ22" s="832"/>
      <c r="DR22" s="832"/>
      <c r="DS22" s="832"/>
      <c r="DT22" s="832"/>
      <c r="DU22" s="832"/>
      <c r="DV22" s="832"/>
      <c r="DW22" s="832"/>
      <c r="DX22" s="832"/>
      <c r="DY22" s="832"/>
      <c r="DZ22" s="832"/>
      <c r="EA22" s="832"/>
      <c r="EB22" s="832"/>
      <c r="EC22" s="832"/>
      <c r="ED22" s="832"/>
      <c r="EE22" s="832"/>
      <c r="EF22" s="832"/>
      <c r="EG22" s="832"/>
      <c r="EH22" s="832"/>
      <c r="EI22" s="832"/>
      <c r="EJ22" s="832"/>
      <c r="EK22" s="832"/>
      <c r="EL22" s="832"/>
      <c r="EM22" s="832"/>
      <c r="EN22" s="832"/>
      <c r="EO22" s="832"/>
      <c r="EP22" s="832"/>
      <c r="EQ22" s="832"/>
      <c r="ER22" s="832"/>
      <c r="ES22" s="832"/>
      <c r="ET22" s="832"/>
      <c r="EU22" s="832"/>
      <c r="EV22" s="832"/>
      <c r="EW22" s="832"/>
      <c r="EX22" s="832"/>
      <c r="EY22" s="832"/>
      <c r="EZ22" s="832"/>
      <c r="FA22" s="832"/>
      <c r="FB22" s="832"/>
      <c r="FC22" s="832"/>
      <c r="FD22" s="832"/>
      <c r="FE22" s="832"/>
      <c r="FF22" s="832"/>
      <c r="FG22" s="832"/>
      <c r="FH22" s="832"/>
      <c r="FI22" s="832"/>
      <c r="FJ22" s="832"/>
      <c r="FK22" s="832"/>
      <c r="FL22" s="832"/>
      <c r="FM22" s="832"/>
      <c r="FN22" s="832"/>
      <c r="FO22" s="832"/>
      <c r="FP22" s="832"/>
      <c r="FQ22" s="832"/>
      <c r="FR22" s="832"/>
      <c r="FS22" s="832"/>
      <c r="FT22" s="832"/>
      <c r="FU22" s="832"/>
      <c r="FV22" s="832"/>
      <c r="FW22" s="832"/>
      <c r="FX22" s="832"/>
      <c r="FY22" s="832"/>
      <c r="FZ22" s="832"/>
      <c r="GA22" s="832"/>
      <c r="GB22" s="832"/>
      <c r="GC22" s="832"/>
      <c r="GD22" s="832"/>
      <c r="GE22" s="832"/>
      <c r="GF22" s="832"/>
      <c r="GG22" s="832"/>
      <c r="GH22" s="832"/>
      <c r="GI22" s="832"/>
      <c r="GJ22" s="832"/>
      <c r="GK22" s="832"/>
      <c r="GL22" s="832"/>
      <c r="GM22" s="832"/>
      <c r="GN22" s="832"/>
      <c r="GO22" s="832"/>
      <c r="GP22" s="832"/>
      <c r="GQ22" s="832"/>
      <c r="GR22" s="832"/>
      <c r="GS22" s="832"/>
      <c r="GT22" s="832"/>
      <c r="GU22" s="832"/>
      <c r="GV22" s="832"/>
      <c r="GW22" s="832"/>
    </row>
    <row r="23" spans="1:205" s="3" customFormat="1" x14ac:dyDescent="0.25">
      <c r="A23" s="72" t="str">
        <f>inputPrYr!B21</f>
        <v>Library</v>
      </c>
      <c r="B23" s="238" t="str">
        <f>inputPrYr!C21</f>
        <v>12-1220</v>
      </c>
      <c r="C23" s="239" t="str">
        <f>IF('DebtSvs-Library'!C86&gt;0,'DebtSvs-Library'!C86,"  ")</f>
        <v xml:space="preserve">  </v>
      </c>
      <c r="D23" s="654" t="str">
        <f>IF('DebtSvs-Library'!E73&lt;&gt;0,'DebtSvs-Library'!E73,"  ")</f>
        <v xml:space="preserve">  </v>
      </c>
      <c r="E23" s="654" t="str">
        <f>IF('DebtSvs-Library'!E80&lt;&gt;0,'DebtSvs-Library'!E80,"  ")</f>
        <v xml:space="preserve">  </v>
      </c>
      <c r="F23" s="655" t="str">
        <f>IF(AND('DebtSvs-Library'!E80=0,$B$40&gt;=0)," ",IF(AND(E23&gt;0,$B$40=0)," ",IF(AND(E23&gt;0,$B$40&gt;0),ROUND(E23/$B$40*1000,3))))</f>
        <v xml:space="preserve"> </v>
      </c>
      <c r="I23" s="832"/>
      <c r="J23" s="832"/>
      <c r="K23" s="832"/>
      <c r="L23" s="832"/>
      <c r="M23" s="832"/>
      <c r="N23" s="832"/>
      <c r="O23" s="832"/>
      <c r="P23" s="832"/>
      <c r="Q23" s="832"/>
      <c r="R23" s="832"/>
      <c r="S23" s="832"/>
      <c r="T23" s="832"/>
      <c r="U23" s="832"/>
      <c r="V23" s="832"/>
      <c r="W23" s="832"/>
      <c r="X23" s="832"/>
      <c r="Y23" s="832"/>
      <c r="Z23" s="832"/>
      <c r="AA23" s="832"/>
      <c r="AB23" s="832"/>
      <c r="AC23" s="832"/>
      <c r="AD23" s="832"/>
      <c r="AE23" s="832"/>
      <c r="AF23" s="832"/>
      <c r="AG23" s="832"/>
      <c r="AH23" s="832"/>
      <c r="AI23" s="832"/>
      <c r="AJ23" s="832"/>
      <c r="AK23" s="832"/>
      <c r="AL23" s="832"/>
      <c r="AM23" s="832"/>
      <c r="AN23" s="832"/>
      <c r="AO23" s="832"/>
      <c r="AP23" s="832"/>
      <c r="AQ23" s="832"/>
      <c r="AR23" s="832"/>
      <c r="AS23" s="832"/>
      <c r="AT23" s="832"/>
      <c r="AU23" s="832"/>
      <c r="AV23" s="832"/>
      <c r="AW23" s="832"/>
      <c r="AX23" s="832"/>
      <c r="AY23" s="832"/>
      <c r="AZ23" s="832"/>
      <c r="BA23" s="832"/>
      <c r="BB23" s="832"/>
      <c r="BC23" s="832"/>
      <c r="BD23" s="832"/>
      <c r="BE23" s="832"/>
      <c r="BF23" s="832"/>
      <c r="BG23" s="832"/>
      <c r="BH23" s="832"/>
      <c r="BI23" s="832"/>
      <c r="BJ23" s="832"/>
      <c r="BK23" s="832"/>
      <c r="BL23" s="832"/>
      <c r="BM23" s="832"/>
      <c r="BN23" s="832"/>
      <c r="BO23" s="832"/>
      <c r="BP23" s="832"/>
      <c r="BQ23" s="832"/>
      <c r="BR23" s="832"/>
      <c r="BS23" s="832"/>
      <c r="BT23" s="832"/>
      <c r="BU23" s="832"/>
      <c r="BV23" s="832"/>
      <c r="BW23" s="832"/>
      <c r="BX23" s="832"/>
      <c r="BY23" s="832"/>
      <c r="BZ23" s="832"/>
      <c r="CA23" s="832"/>
      <c r="CB23" s="832"/>
      <c r="CC23" s="832"/>
      <c r="CD23" s="832"/>
      <c r="CE23" s="832"/>
      <c r="CF23" s="832"/>
      <c r="CG23" s="832"/>
      <c r="CH23" s="832"/>
      <c r="CI23" s="832"/>
      <c r="CJ23" s="832"/>
      <c r="CK23" s="832"/>
      <c r="CL23" s="832"/>
      <c r="CM23" s="832"/>
      <c r="CN23" s="832"/>
      <c r="CO23" s="832"/>
      <c r="CP23" s="832"/>
      <c r="CQ23" s="832"/>
      <c r="CR23" s="832"/>
      <c r="CS23" s="832"/>
      <c r="CT23" s="832"/>
      <c r="CU23" s="832"/>
      <c r="CV23" s="832"/>
      <c r="CW23" s="832"/>
      <c r="CX23" s="832"/>
      <c r="CY23" s="832"/>
      <c r="CZ23" s="832"/>
      <c r="DA23" s="832"/>
      <c r="DB23" s="832"/>
      <c r="DC23" s="832"/>
      <c r="DD23" s="832"/>
      <c r="DE23" s="832"/>
      <c r="DF23" s="832"/>
      <c r="DG23" s="832"/>
      <c r="DH23" s="832"/>
      <c r="DI23" s="832"/>
      <c r="DJ23" s="832"/>
      <c r="DK23" s="832"/>
      <c r="DL23" s="832"/>
      <c r="DM23" s="832"/>
      <c r="DN23" s="832"/>
      <c r="DO23" s="832"/>
      <c r="DP23" s="832"/>
      <c r="DQ23" s="832"/>
      <c r="DR23" s="832"/>
      <c r="DS23" s="832"/>
      <c r="DT23" s="832"/>
      <c r="DU23" s="832"/>
      <c r="DV23" s="832"/>
      <c r="DW23" s="832"/>
      <c r="DX23" s="832"/>
      <c r="DY23" s="832"/>
      <c r="DZ23" s="832"/>
      <c r="EA23" s="832"/>
      <c r="EB23" s="832"/>
      <c r="EC23" s="832"/>
      <c r="ED23" s="832"/>
      <c r="EE23" s="832"/>
      <c r="EF23" s="832"/>
      <c r="EG23" s="832"/>
      <c r="EH23" s="832"/>
      <c r="EI23" s="832"/>
      <c r="EJ23" s="832"/>
      <c r="EK23" s="832"/>
      <c r="EL23" s="832"/>
      <c r="EM23" s="832"/>
      <c r="EN23" s="832"/>
      <c r="EO23" s="832"/>
      <c r="EP23" s="832"/>
      <c r="EQ23" s="832"/>
      <c r="ER23" s="832"/>
      <c r="ES23" s="832"/>
      <c r="ET23" s="832"/>
      <c r="EU23" s="832"/>
      <c r="EV23" s="832"/>
      <c r="EW23" s="832"/>
      <c r="EX23" s="832"/>
      <c r="EY23" s="832"/>
      <c r="EZ23" s="832"/>
      <c r="FA23" s="832"/>
      <c r="FB23" s="832"/>
      <c r="FC23" s="832"/>
      <c r="FD23" s="832"/>
      <c r="FE23" s="832"/>
      <c r="FF23" s="832"/>
      <c r="FG23" s="832"/>
      <c r="FH23" s="832"/>
      <c r="FI23" s="832"/>
      <c r="FJ23" s="832"/>
      <c r="FK23" s="832"/>
      <c r="FL23" s="832"/>
      <c r="FM23" s="832"/>
      <c r="FN23" s="832"/>
      <c r="FO23" s="832"/>
      <c r="FP23" s="832"/>
      <c r="FQ23" s="832"/>
      <c r="FR23" s="832"/>
      <c r="FS23" s="832"/>
      <c r="FT23" s="832"/>
      <c r="FU23" s="832"/>
      <c r="FV23" s="832"/>
      <c r="FW23" s="832"/>
      <c r="FX23" s="832"/>
      <c r="FY23" s="832"/>
      <c r="FZ23" s="832"/>
      <c r="GA23" s="832"/>
      <c r="GB23" s="832"/>
      <c r="GC23" s="832"/>
      <c r="GD23" s="832"/>
      <c r="GE23" s="832"/>
      <c r="GF23" s="832"/>
      <c r="GG23" s="832"/>
      <c r="GH23" s="832"/>
      <c r="GI23" s="832"/>
      <c r="GJ23" s="832"/>
      <c r="GK23" s="832"/>
      <c r="GL23" s="832"/>
      <c r="GM23" s="832"/>
      <c r="GN23" s="832"/>
      <c r="GO23" s="832"/>
      <c r="GP23" s="832"/>
      <c r="GQ23" s="832"/>
      <c r="GR23" s="832"/>
      <c r="GS23" s="832"/>
      <c r="GT23" s="832"/>
      <c r="GU23" s="832"/>
      <c r="GV23" s="832"/>
      <c r="GW23" s="832"/>
    </row>
    <row r="24" spans="1:205" s="3" customFormat="1" x14ac:dyDescent="0.25">
      <c r="A24" s="72" t="str">
        <f>IF(inputPrYr!$B22&gt;"  ",inputPrYr!$B22,"  ")</f>
        <v>Road</v>
      </c>
      <c r="B24" s="238" t="str">
        <f>IF(inputPrYr!C22&gt;0,inputPrYr!C22,"  ")</f>
        <v>68-518c</v>
      </c>
      <c r="C24" s="239" t="str">
        <f>IF(road!C70&gt;0,road!C70,"  ")</f>
        <v xml:space="preserve">  </v>
      </c>
      <c r="D24" s="654" t="str">
        <f>IF(road!$E$43&lt;&gt;0,road!$E$43,"  ")</f>
        <v xml:space="preserve">  </v>
      </c>
      <c r="E24" s="654" t="str">
        <f>IF(road!$E$50&lt;&gt;0,road!$E$50,"  ")</f>
        <v xml:space="preserve">  </v>
      </c>
      <c r="F24" s="655" t="str">
        <f>IF(AND(road!E50=0,$B$40&gt;=0)," ",IF(AND(E24&gt;0,$B$40=0)," ",IF(AND(E24&gt;0,$B$40&gt;0),ROUND(E24/$B$40*1000,3))))</f>
        <v xml:space="preserve"> </v>
      </c>
      <c r="I24" s="832"/>
      <c r="J24" s="832"/>
      <c r="K24" s="832"/>
      <c r="L24" s="832"/>
      <c r="M24" s="832"/>
      <c r="N24" s="832"/>
      <c r="O24" s="832"/>
      <c r="P24" s="832"/>
      <c r="Q24" s="832"/>
      <c r="R24" s="832"/>
      <c r="S24" s="832"/>
      <c r="T24" s="832"/>
      <c r="U24" s="832"/>
      <c r="V24" s="832"/>
      <c r="W24" s="832"/>
      <c r="X24" s="832"/>
      <c r="Y24" s="832"/>
      <c r="Z24" s="832"/>
      <c r="AA24" s="832"/>
      <c r="AB24" s="832"/>
      <c r="AC24" s="832"/>
      <c r="AD24" s="832"/>
      <c r="AE24" s="832"/>
      <c r="AF24" s="832"/>
      <c r="AG24" s="832"/>
      <c r="AH24" s="832"/>
      <c r="AI24" s="832"/>
      <c r="AJ24" s="832"/>
      <c r="AK24" s="832"/>
      <c r="AL24" s="832"/>
      <c r="AM24" s="832"/>
      <c r="AN24" s="832"/>
      <c r="AO24" s="832"/>
      <c r="AP24" s="832"/>
      <c r="AQ24" s="832"/>
      <c r="AR24" s="832"/>
      <c r="AS24" s="832"/>
      <c r="AT24" s="832"/>
      <c r="AU24" s="832"/>
      <c r="AV24" s="832"/>
      <c r="AW24" s="832"/>
      <c r="AX24" s="832"/>
      <c r="AY24" s="832"/>
      <c r="AZ24" s="832"/>
      <c r="BA24" s="832"/>
      <c r="BB24" s="832"/>
      <c r="BC24" s="832"/>
      <c r="BD24" s="832"/>
      <c r="BE24" s="832"/>
      <c r="BF24" s="832"/>
      <c r="BG24" s="832"/>
      <c r="BH24" s="832"/>
      <c r="BI24" s="832"/>
      <c r="BJ24" s="832"/>
      <c r="BK24" s="832"/>
      <c r="BL24" s="832"/>
      <c r="BM24" s="832"/>
      <c r="BN24" s="832"/>
      <c r="BO24" s="832"/>
      <c r="BP24" s="832"/>
      <c r="BQ24" s="832"/>
      <c r="BR24" s="832"/>
      <c r="BS24" s="832"/>
      <c r="BT24" s="832"/>
      <c r="BU24" s="832"/>
      <c r="BV24" s="832"/>
      <c r="BW24" s="832"/>
      <c r="BX24" s="832"/>
      <c r="BY24" s="832"/>
      <c r="BZ24" s="832"/>
      <c r="CA24" s="832"/>
      <c r="CB24" s="832"/>
      <c r="CC24" s="832"/>
      <c r="CD24" s="832"/>
      <c r="CE24" s="832"/>
      <c r="CF24" s="832"/>
      <c r="CG24" s="832"/>
      <c r="CH24" s="832"/>
      <c r="CI24" s="832"/>
      <c r="CJ24" s="832"/>
      <c r="CK24" s="832"/>
      <c r="CL24" s="832"/>
      <c r="CM24" s="832"/>
      <c r="CN24" s="832"/>
      <c r="CO24" s="832"/>
      <c r="CP24" s="832"/>
      <c r="CQ24" s="832"/>
      <c r="CR24" s="832"/>
      <c r="CS24" s="832"/>
      <c r="CT24" s="832"/>
      <c r="CU24" s="832"/>
      <c r="CV24" s="832"/>
      <c r="CW24" s="832"/>
      <c r="CX24" s="832"/>
      <c r="CY24" s="832"/>
      <c r="CZ24" s="832"/>
      <c r="DA24" s="832"/>
      <c r="DB24" s="832"/>
      <c r="DC24" s="832"/>
      <c r="DD24" s="832"/>
      <c r="DE24" s="832"/>
      <c r="DF24" s="832"/>
      <c r="DG24" s="832"/>
      <c r="DH24" s="832"/>
      <c r="DI24" s="832"/>
      <c r="DJ24" s="832"/>
      <c r="DK24" s="832"/>
      <c r="DL24" s="832"/>
      <c r="DM24" s="832"/>
      <c r="DN24" s="832"/>
      <c r="DO24" s="832"/>
      <c r="DP24" s="832"/>
      <c r="DQ24" s="832"/>
      <c r="DR24" s="832"/>
      <c r="DS24" s="832"/>
      <c r="DT24" s="832"/>
      <c r="DU24" s="832"/>
      <c r="DV24" s="832"/>
      <c r="DW24" s="832"/>
      <c r="DX24" s="832"/>
      <c r="DY24" s="832"/>
      <c r="DZ24" s="832"/>
      <c r="EA24" s="832"/>
      <c r="EB24" s="832"/>
      <c r="EC24" s="832"/>
      <c r="ED24" s="832"/>
      <c r="EE24" s="832"/>
      <c r="EF24" s="832"/>
      <c r="EG24" s="832"/>
      <c r="EH24" s="832"/>
      <c r="EI24" s="832"/>
      <c r="EJ24" s="832"/>
      <c r="EK24" s="832"/>
      <c r="EL24" s="832"/>
      <c r="EM24" s="832"/>
      <c r="EN24" s="832"/>
      <c r="EO24" s="832"/>
      <c r="EP24" s="832"/>
      <c r="EQ24" s="832"/>
      <c r="ER24" s="832"/>
      <c r="ES24" s="832"/>
      <c r="ET24" s="832"/>
      <c r="EU24" s="832"/>
      <c r="EV24" s="832"/>
      <c r="EW24" s="832"/>
      <c r="EX24" s="832"/>
      <c r="EY24" s="832"/>
      <c r="EZ24" s="832"/>
      <c r="FA24" s="832"/>
      <c r="FB24" s="832"/>
      <c r="FC24" s="832"/>
      <c r="FD24" s="832"/>
      <c r="FE24" s="832"/>
      <c r="FF24" s="832"/>
      <c r="FG24" s="832"/>
      <c r="FH24" s="832"/>
      <c r="FI24" s="832"/>
      <c r="FJ24" s="832"/>
      <c r="FK24" s="832"/>
      <c r="FL24" s="832"/>
      <c r="FM24" s="832"/>
      <c r="FN24" s="832"/>
      <c r="FO24" s="832"/>
      <c r="FP24" s="832"/>
      <c r="FQ24" s="832"/>
      <c r="FR24" s="832"/>
      <c r="FS24" s="832"/>
      <c r="FT24" s="832"/>
      <c r="FU24" s="832"/>
      <c r="FV24" s="832"/>
      <c r="FW24" s="832"/>
      <c r="FX24" s="832"/>
      <c r="FY24" s="832"/>
      <c r="FZ24" s="832"/>
      <c r="GA24" s="832"/>
      <c r="GB24" s="832"/>
      <c r="GC24" s="832"/>
      <c r="GD24" s="832"/>
      <c r="GE24" s="832"/>
      <c r="GF24" s="832"/>
      <c r="GG24" s="832"/>
      <c r="GH24" s="832"/>
      <c r="GI24" s="832"/>
      <c r="GJ24" s="832"/>
      <c r="GK24" s="832"/>
      <c r="GL24" s="832"/>
      <c r="GM24" s="832"/>
      <c r="GN24" s="832"/>
      <c r="GO24" s="832"/>
      <c r="GP24" s="832"/>
      <c r="GQ24" s="832"/>
      <c r="GR24" s="832"/>
      <c r="GS24" s="832"/>
      <c r="GT24" s="832"/>
      <c r="GU24" s="832"/>
      <c r="GV24" s="832"/>
      <c r="GW24" s="832"/>
    </row>
    <row r="25" spans="1:205" s="3" customFormat="1" x14ac:dyDescent="0.25">
      <c r="A25" s="72" t="str">
        <f>IF(inputPrYr!$B23&gt;"  ",inputPrYr!$B23,"  ")</f>
        <v xml:space="preserve">  </v>
      </c>
      <c r="B25" s="238" t="str">
        <f>IF(inputPrYr!C23&gt;0,inputPrYr!C23,"  ")</f>
        <v xml:space="preserve">  </v>
      </c>
      <c r="C25" s="239" t="str">
        <f>IF(levypage9!C87&gt;0,levypage9!C87,"  ")</f>
        <v xml:space="preserve">  </v>
      </c>
      <c r="D25" s="654" t="str">
        <f>IF(levypage9!$E$34&lt;&gt;0,levypage9!$E$34,"  ")</f>
        <v xml:space="preserve">  </v>
      </c>
      <c r="E25" s="654" t="str">
        <f>IF(levypage9!$E$41&lt;&gt;0,levypage9!$E$41,"  ")</f>
        <v xml:space="preserve">  </v>
      </c>
      <c r="F25" s="655" t="str">
        <f>IF(AND(levypage9!E41=0,$B$40&gt;=0)," ",IF(AND(E25&gt;0,$B$40=0)," ",IF(AND(E25&gt;0,$B$40&gt;0),ROUND(E25/$B$40*1000,3))))</f>
        <v xml:space="preserve"> </v>
      </c>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L25" s="832"/>
      <c r="AM25" s="832"/>
      <c r="AN25" s="832"/>
      <c r="AO25" s="832"/>
      <c r="AP25" s="832"/>
      <c r="AQ25" s="832"/>
      <c r="AR25" s="832"/>
      <c r="AS25" s="832"/>
      <c r="AT25" s="832"/>
      <c r="AU25" s="832"/>
      <c r="AV25" s="832"/>
      <c r="AW25" s="832"/>
      <c r="AX25" s="832"/>
      <c r="AY25" s="832"/>
      <c r="AZ25" s="832"/>
      <c r="BA25" s="832"/>
      <c r="BB25" s="832"/>
      <c r="BC25" s="832"/>
      <c r="BD25" s="832"/>
      <c r="BE25" s="832"/>
      <c r="BF25" s="832"/>
      <c r="BG25" s="832"/>
      <c r="BH25" s="832"/>
      <c r="BI25" s="832"/>
      <c r="BJ25" s="832"/>
      <c r="BK25" s="832"/>
      <c r="BL25" s="832"/>
      <c r="BM25" s="832"/>
      <c r="BN25" s="832"/>
      <c r="BO25" s="832"/>
      <c r="BP25" s="832"/>
      <c r="BQ25" s="832"/>
      <c r="BR25" s="832"/>
      <c r="BS25" s="832"/>
      <c r="BT25" s="832"/>
      <c r="BU25" s="832"/>
      <c r="BV25" s="832"/>
      <c r="BW25" s="832"/>
      <c r="BX25" s="832"/>
      <c r="BY25" s="832"/>
      <c r="BZ25" s="832"/>
      <c r="CA25" s="832"/>
      <c r="CB25" s="832"/>
      <c r="CC25" s="832"/>
      <c r="CD25" s="832"/>
      <c r="CE25" s="832"/>
      <c r="CF25" s="832"/>
      <c r="CG25" s="832"/>
      <c r="CH25" s="832"/>
      <c r="CI25" s="832"/>
      <c r="CJ25" s="832"/>
      <c r="CK25" s="832"/>
      <c r="CL25" s="832"/>
      <c r="CM25" s="832"/>
      <c r="CN25" s="832"/>
      <c r="CO25" s="832"/>
      <c r="CP25" s="832"/>
      <c r="CQ25" s="832"/>
      <c r="CR25" s="832"/>
      <c r="CS25" s="832"/>
      <c r="CT25" s="832"/>
      <c r="CU25" s="832"/>
      <c r="CV25" s="832"/>
      <c r="CW25" s="832"/>
      <c r="CX25" s="832"/>
      <c r="CY25" s="832"/>
      <c r="CZ25" s="832"/>
      <c r="DA25" s="832"/>
      <c r="DB25" s="832"/>
      <c r="DC25" s="832"/>
      <c r="DD25" s="832"/>
      <c r="DE25" s="832"/>
      <c r="DF25" s="832"/>
      <c r="DG25" s="832"/>
      <c r="DH25" s="832"/>
      <c r="DI25" s="832"/>
      <c r="DJ25" s="832"/>
      <c r="DK25" s="832"/>
      <c r="DL25" s="832"/>
      <c r="DM25" s="832"/>
      <c r="DN25" s="832"/>
      <c r="DO25" s="832"/>
      <c r="DP25" s="832"/>
      <c r="DQ25" s="832"/>
      <c r="DR25" s="832"/>
      <c r="DS25" s="832"/>
      <c r="DT25" s="832"/>
      <c r="DU25" s="832"/>
      <c r="DV25" s="832"/>
      <c r="DW25" s="832"/>
      <c r="DX25" s="832"/>
      <c r="DY25" s="832"/>
      <c r="DZ25" s="832"/>
      <c r="EA25" s="832"/>
      <c r="EB25" s="832"/>
      <c r="EC25" s="832"/>
      <c r="ED25" s="832"/>
      <c r="EE25" s="832"/>
      <c r="EF25" s="832"/>
      <c r="EG25" s="832"/>
      <c r="EH25" s="832"/>
      <c r="EI25" s="832"/>
      <c r="EJ25" s="832"/>
      <c r="EK25" s="832"/>
      <c r="EL25" s="832"/>
      <c r="EM25" s="832"/>
      <c r="EN25" s="832"/>
      <c r="EO25" s="832"/>
      <c r="EP25" s="832"/>
      <c r="EQ25" s="832"/>
      <c r="ER25" s="832"/>
      <c r="ES25" s="832"/>
      <c r="ET25" s="832"/>
      <c r="EU25" s="832"/>
      <c r="EV25" s="832"/>
      <c r="EW25" s="832"/>
      <c r="EX25" s="832"/>
      <c r="EY25" s="832"/>
      <c r="EZ25" s="832"/>
      <c r="FA25" s="832"/>
      <c r="FB25" s="832"/>
      <c r="FC25" s="832"/>
      <c r="FD25" s="832"/>
      <c r="FE25" s="832"/>
      <c r="FF25" s="832"/>
      <c r="FG25" s="832"/>
      <c r="FH25" s="832"/>
      <c r="FI25" s="832"/>
      <c r="FJ25" s="832"/>
      <c r="FK25" s="832"/>
      <c r="FL25" s="832"/>
      <c r="FM25" s="832"/>
      <c r="FN25" s="832"/>
      <c r="FO25" s="832"/>
      <c r="FP25" s="832"/>
      <c r="FQ25" s="832"/>
      <c r="FR25" s="832"/>
      <c r="FS25" s="832"/>
      <c r="FT25" s="832"/>
      <c r="FU25" s="832"/>
      <c r="FV25" s="832"/>
      <c r="FW25" s="832"/>
      <c r="FX25" s="832"/>
      <c r="FY25" s="832"/>
      <c r="FZ25" s="832"/>
      <c r="GA25" s="832"/>
      <c r="GB25" s="832"/>
      <c r="GC25" s="832"/>
      <c r="GD25" s="832"/>
      <c r="GE25" s="832"/>
      <c r="GF25" s="832"/>
      <c r="GG25" s="832"/>
      <c r="GH25" s="832"/>
      <c r="GI25" s="832"/>
      <c r="GJ25" s="832"/>
      <c r="GK25" s="832"/>
      <c r="GL25" s="832"/>
      <c r="GM25" s="832"/>
      <c r="GN25" s="832"/>
      <c r="GO25" s="832"/>
      <c r="GP25" s="832"/>
      <c r="GQ25" s="832"/>
      <c r="GR25" s="832"/>
      <c r="GS25" s="832"/>
      <c r="GT25" s="832"/>
      <c r="GU25" s="832"/>
      <c r="GV25" s="832"/>
      <c r="GW25" s="832"/>
    </row>
    <row r="26" spans="1:205" s="3" customFormat="1" x14ac:dyDescent="0.25">
      <c r="A26" s="72" t="str">
        <f>IF(inputPrYr!$B24&gt;"  ",inputPrYr!$B24,"  ")</f>
        <v xml:space="preserve">  </v>
      </c>
      <c r="B26" s="238" t="str">
        <f>IF(inputPrYr!C24&gt;0,inputPrYr!C24,"  ")</f>
        <v xml:space="preserve">  </v>
      </c>
      <c r="C26" s="239" t="str">
        <f>IF(levypage9!C87&gt;0,levypage9!C87,"  ")</f>
        <v xml:space="preserve">  </v>
      </c>
      <c r="D26" s="654" t="str">
        <f>IF(levypage9!$E$74&lt;&gt;0,levypage9!$E$74,"  ")</f>
        <v xml:space="preserve">  </v>
      </c>
      <c r="E26" s="654" t="str">
        <f>IF(levypage9!$E$81&lt;&gt;0,levypage9!$E$81,"  ")</f>
        <v xml:space="preserve">  </v>
      </c>
      <c r="F26" s="655" t="str">
        <f>IF(AND(levypage9!E81=0,$B$40&gt;=0)," ",IF(AND(E26&gt;0,$B$40=0)," ",IF(AND(E26&gt;0,$B$40&gt;0),ROUND(E26/$B$40*1000,3))))</f>
        <v xml:space="preserve"> </v>
      </c>
      <c r="I26" s="832"/>
      <c r="J26" s="832"/>
      <c r="K26" s="832"/>
      <c r="L26" s="832"/>
      <c r="M26" s="832"/>
      <c r="N26" s="832"/>
      <c r="O26" s="832"/>
      <c r="P26" s="832"/>
      <c r="Q26" s="832"/>
      <c r="R26" s="832"/>
      <c r="S26" s="832"/>
      <c r="T26" s="832"/>
      <c r="U26" s="832"/>
      <c r="V26" s="832"/>
      <c r="W26" s="832"/>
      <c r="X26" s="832"/>
      <c r="Y26" s="832"/>
      <c r="Z26" s="832"/>
      <c r="AA26" s="832"/>
      <c r="AB26" s="832"/>
      <c r="AC26" s="832"/>
      <c r="AD26" s="832"/>
      <c r="AE26" s="832"/>
      <c r="AF26" s="832"/>
      <c r="AG26" s="832"/>
      <c r="AH26" s="832"/>
      <c r="AI26" s="832"/>
      <c r="AJ26" s="832"/>
      <c r="AK26" s="832"/>
      <c r="AL26" s="832"/>
      <c r="AM26" s="832"/>
      <c r="AN26" s="832"/>
      <c r="AO26" s="832"/>
      <c r="AP26" s="832"/>
      <c r="AQ26" s="832"/>
      <c r="AR26" s="832"/>
      <c r="AS26" s="832"/>
      <c r="AT26" s="832"/>
      <c r="AU26" s="832"/>
      <c r="AV26" s="832"/>
      <c r="AW26" s="832"/>
      <c r="AX26" s="832"/>
      <c r="AY26" s="832"/>
      <c r="AZ26" s="832"/>
      <c r="BA26" s="832"/>
      <c r="BB26" s="832"/>
      <c r="BC26" s="832"/>
      <c r="BD26" s="832"/>
      <c r="BE26" s="832"/>
      <c r="BF26" s="832"/>
      <c r="BG26" s="832"/>
      <c r="BH26" s="832"/>
      <c r="BI26" s="832"/>
      <c r="BJ26" s="832"/>
      <c r="BK26" s="832"/>
      <c r="BL26" s="832"/>
      <c r="BM26" s="832"/>
      <c r="BN26" s="832"/>
      <c r="BO26" s="832"/>
      <c r="BP26" s="832"/>
      <c r="BQ26" s="832"/>
      <c r="BR26" s="832"/>
      <c r="BS26" s="832"/>
      <c r="BT26" s="832"/>
      <c r="BU26" s="832"/>
      <c r="BV26" s="832"/>
      <c r="BW26" s="832"/>
      <c r="BX26" s="832"/>
      <c r="BY26" s="832"/>
      <c r="BZ26" s="832"/>
      <c r="CA26" s="832"/>
      <c r="CB26" s="832"/>
      <c r="CC26" s="832"/>
      <c r="CD26" s="832"/>
      <c r="CE26" s="832"/>
      <c r="CF26" s="832"/>
      <c r="CG26" s="832"/>
      <c r="CH26" s="832"/>
      <c r="CI26" s="832"/>
      <c r="CJ26" s="832"/>
      <c r="CK26" s="832"/>
      <c r="CL26" s="832"/>
      <c r="CM26" s="832"/>
      <c r="CN26" s="832"/>
      <c r="CO26" s="832"/>
      <c r="CP26" s="832"/>
      <c r="CQ26" s="832"/>
      <c r="CR26" s="832"/>
      <c r="CS26" s="832"/>
      <c r="CT26" s="832"/>
      <c r="CU26" s="832"/>
      <c r="CV26" s="832"/>
      <c r="CW26" s="832"/>
      <c r="CX26" s="832"/>
      <c r="CY26" s="832"/>
      <c r="CZ26" s="832"/>
      <c r="DA26" s="832"/>
      <c r="DB26" s="832"/>
      <c r="DC26" s="832"/>
      <c r="DD26" s="832"/>
      <c r="DE26" s="832"/>
      <c r="DF26" s="832"/>
      <c r="DG26" s="832"/>
      <c r="DH26" s="832"/>
      <c r="DI26" s="832"/>
      <c r="DJ26" s="832"/>
      <c r="DK26" s="832"/>
      <c r="DL26" s="832"/>
      <c r="DM26" s="832"/>
      <c r="DN26" s="832"/>
      <c r="DO26" s="832"/>
      <c r="DP26" s="832"/>
      <c r="DQ26" s="832"/>
      <c r="DR26" s="832"/>
      <c r="DS26" s="832"/>
      <c r="DT26" s="832"/>
      <c r="DU26" s="832"/>
      <c r="DV26" s="832"/>
      <c r="DW26" s="832"/>
      <c r="DX26" s="832"/>
      <c r="DY26" s="832"/>
      <c r="DZ26" s="832"/>
      <c r="EA26" s="832"/>
      <c r="EB26" s="832"/>
      <c r="EC26" s="832"/>
      <c r="ED26" s="832"/>
      <c r="EE26" s="832"/>
      <c r="EF26" s="832"/>
      <c r="EG26" s="832"/>
      <c r="EH26" s="832"/>
      <c r="EI26" s="832"/>
      <c r="EJ26" s="832"/>
      <c r="EK26" s="832"/>
      <c r="EL26" s="832"/>
      <c r="EM26" s="832"/>
      <c r="EN26" s="832"/>
      <c r="EO26" s="832"/>
      <c r="EP26" s="832"/>
      <c r="EQ26" s="832"/>
      <c r="ER26" s="832"/>
      <c r="ES26" s="832"/>
      <c r="ET26" s="832"/>
      <c r="EU26" s="832"/>
      <c r="EV26" s="832"/>
      <c r="EW26" s="832"/>
      <c r="EX26" s="832"/>
      <c r="EY26" s="832"/>
      <c r="EZ26" s="832"/>
      <c r="FA26" s="832"/>
      <c r="FB26" s="832"/>
      <c r="FC26" s="832"/>
      <c r="FD26" s="832"/>
      <c r="FE26" s="832"/>
      <c r="FF26" s="832"/>
      <c r="FG26" s="832"/>
      <c r="FH26" s="832"/>
      <c r="FI26" s="832"/>
      <c r="FJ26" s="832"/>
      <c r="FK26" s="832"/>
      <c r="FL26" s="832"/>
      <c r="FM26" s="832"/>
      <c r="FN26" s="832"/>
      <c r="FO26" s="832"/>
      <c r="FP26" s="832"/>
      <c r="FQ26" s="832"/>
      <c r="FR26" s="832"/>
      <c r="FS26" s="832"/>
      <c r="FT26" s="832"/>
      <c r="FU26" s="832"/>
      <c r="FV26" s="832"/>
      <c r="FW26" s="832"/>
      <c r="FX26" s="832"/>
      <c r="FY26" s="832"/>
      <c r="FZ26" s="832"/>
      <c r="GA26" s="832"/>
      <c r="GB26" s="832"/>
      <c r="GC26" s="832"/>
      <c r="GD26" s="832"/>
      <c r="GE26" s="832"/>
      <c r="GF26" s="832"/>
      <c r="GG26" s="832"/>
      <c r="GH26" s="832"/>
      <c r="GI26" s="832"/>
      <c r="GJ26" s="832"/>
      <c r="GK26" s="832"/>
      <c r="GL26" s="832"/>
      <c r="GM26" s="832"/>
      <c r="GN26" s="832"/>
      <c r="GO26" s="832"/>
      <c r="GP26" s="832"/>
      <c r="GQ26" s="832"/>
      <c r="GR26" s="832"/>
      <c r="GS26" s="832"/>
      <c r="GT26" s="832"/>
      <c r="GU26" s="832"/>
      <c r="GV26" s="832"/>
      <c r="GW26" s="832"/>
    </row>
    <row r="27" spans="1:205" s="3" customFormat="1" x14ac:dyDescent="0.25">
      <c r="A27" s="72" t="str">
        <f>IF(inputPrYr!$B25&gt;"  ",inputPrYr!$B25,"  ")</f>
        <v xml:space="preserve">  </v>
      </c>
      <c r="B27" s="238" t="str">
        <f>IF(inputPrYr!C25&gt;0,inputPrYr!C25,"  ")</f>
        <v xml:space="preserve">  </v>
      </c>
      <c r="C27" s="239" t="str">
        <f>IF(levypage10!C88&gt;0,levypage10!C88,"  ")</f>
        <v xml:space="preserve">  </v>
      </c>
      <c r="D27" s="654" t="str">
        <f>IF(levypage10!$E$34&lt;&gt;0,levypage10!$E$34,"  ")</f>
        <v xml:space="preserve">  </v>
      </c>
      <c r="E27" s="654" t="str">
        <f>IF(levypage10!$E$41&lt;&gt;0,levypage10!$E$41,"  ")</f>
        <v xml:space="preserve">  </v>
      </c>
      <c r="F27" s="655" t="str">
        <f>IF(AND(levypage10!$E$41=0,$B$40&gt;=0)," ",IF(AND(E27&gt;0,$B$40=0)," ",IF(AND(E27&gt;0,$B$40&gt;0),ROUND(E27/$B$40*1000,3))))</f>
        <v xml:space="preserve"> </v>
      </c>
      <c r="I27" s="832"/>
      <c r="J27" s="832"/>
      <c r="K27" s="832"/>
      <c r="L27" s="832"/>
      <c r="M27" s="832"/>
      <c r="N27" s="832"/>
      <c r="O27" s="832"/>
      <c r="P27" s="832"/>
      <c r="Q27" s="832"/>
      <c r="R27" s="832"/>
      <c r="S27" s="832"/>
      <c r="T27" s="832"/>
      <c r="U27" s="832"/>
      <c r="V27" s="832"/>
      <c r="W27" s="832"/>
      <c r="X27" s="832"/>
      <c r="Y27" s="832"/>
      <c r="Z27" s="832"/>
      <c r="AA27" s="832"/>
      <c r="AB27" s="832"/>
      <c r="AC27" s="832"/>
      <c r="AD27" s="832"/>
      <c r="AE27" s="832"/>
      <c r="AF27" s="832"/>
      <c r="AG27" s="832"/>
      <c r="AH27" s="832"/>
      <c r="AI27" s="832"/>
      <c r="AJ27" s="832"/>
      <c r="AK27" s="832"/>
      <c r="AL27" s="832"/>
      <c r="AM27" s="832"/>
      <c r="AN27" s="832"/>
      <c r="AO27" s="832"/>
      <c r="AP27" s="832"/>
      <c r="AQ27" s="832"/>
      <c r="AR27" s="832"/>
      <c r="AS27" s="832"/>
      <c r="AT27" s="832"/>
      <c r="AU27" s="832"/>
      <c r="AV27" s="832"/>
      <c r="AW27" s="832"/>
      <c r="AX27" s="832"/>
      <c r="AY27" s="832"/>
      <c r="AZ27" s="832"/>
      <c r="BA27" s="832"/>
      <c r="BB27" s="832"/>
      <c r="BC27" s="832"/>
      <c r="BD27" s="832"/>
      <c r="BE27" s="832"/>
      <c r="BF27" s="832"/>
      <c r="BG27" s="832"/>
      <c r="BH27" s="832"/>
      <c r="BI27" s="832"/>
      <c r="BJ27" s="832"/>
      <c r="BK27" s="832"/>
      <c r="BL27" s="832"/>
      <c r="BM27" s="832"/>
      <c r="BN27" s="832"/>
      <c r="BO27" s="832"/>
      <c r="BP27" s="832"/>
      <c r="BQ27" s="832"/>
      <c r="BR27" s="832"/>
      <c r="BS27" s="832"/>
      <c r="BT27" s="832"/>
      <c r="BU27" s="832"/>
      <c r="BV27" s="832"/>
      <c r="BW27" s="832"/>
      <c r="BX27" s="832"/>
      <c r="BY27" s="832"/>
      <c r="BZ27" s="832"/>
      <c r="CA27" s="832"/>
      <c r="CB27" s="832"/>
      <c r="CC27" s="832"/>
      <c r="CD27" s="832"/>
      <c r="CE27" s="832"/>
      <c r="CF27" s="832"/>
      <c r="CG27" s="832"/>
      <c r="CH27" s="832"/>
      <c r="CI27" s="832"/>
      <c r="CJ27" s="832"/>
      <c r="CK27" s="832"/>
      <c r="CL27" s="832"/>
      <c r="CM27" s="832"/>
      <c r="CN27" s="832"/>
      <c r="CO27" s="832"/>
      <c r="CP27" s="832"/>
      <c r="CQ27" s="832"/>
      <c r="CR27" s="832"/>
      <c r="CS27" s="832"/>
      <c r="CT27" s="832"/>
      <c r="CU27" s="832"/>
      <c r="CV27" s="832"/>
      <c r="CW27" s="832"/>
      <c r="CX27" s="832"/>
      <c r="CY27" s="832"/>
      <c r="CZ27" s="832"/>
      <c r="DA27" s="832"/>
      <c r="DB27" s="832"/>
      <c r="DC27" s="832"/>
      <c r="DD27" s="832"/>
      <c r="DE27" s="832"/>
      <c r="DF27" s="832"/>
      <c r="DG27" s="832"/>
      <c r="DH27" s="832"/>
      <c r="DI27" s="832"/>
      <c r="DJ27" s="832"/>
      <c r="DK27" s="832"/>
      <c r="DL27" s="832"/>
      <c r="DM27" s="832"/>
      <c r="DN27" s="832"/>
      <c r="DO27" s="832"/>
      <c r="DP27" s="832"/>
      <c r="DQ27" s="832"/>
      <c r="DR27" s="832"/>
      <c r="DS27" s="832"/>
      <c r="DT27" s="832"/>
      <c r="DU27" s="832"/>
      <c r="DV27" s="832"/>
      <c r="DW27" s="832"/>
      <c r="DX27" s="832"/>
      <c r="DY27" s="832"/>
      <c r="DZ27" s="832"/>
      <c r="EA27" s="832"/>
      <c r="EB27" s="832"/>
      <c r="EC27" s="832"/>
      <c r="ED27" s="832"/>
      <c r="EE27" s="832"/>
      <c r="EF27" s="832"/>
      <c r="EG27" s="832"/>
      <c r="EH27" s="832"/>
      <c r="EI27" s="832"/>
      <c r="EJ27" s="832"/>
      <c r="EK27" s="832"/>
      <c r="EL27" s="832"/>
      <c r="EM27" s="832"/>
      <c r="EN27" s="832"/>
      <c r="EO27" s="832"/>
      <c r="EP27" s="832"/>
      <c r="EQ27" s="832"/>
      <c r="ER27" s="832"/>
      <c r="ES27" s="832"/>
      <c r="ET27" s="832"/>
      <c r="EU27" s="832"/>
      <c r="EV27" s="832"/>
      <c r="EW27" s="832"/>
      <c r="EX27" s="832"/>
      <c r="EY27" s="832"/>
      <c r="EZ27" s="832"/>
      <c r="FA27" s="832"/>
      <c r="FB27" s="832"/>
      <c r="FC27" s="832"/>
      <c r="FD27" s="832"/>
      <c r="FE27" s="832"/>
      <c r="FF27" s="832"/>
      <c r="FG27" s="832"/>
      <c r="FH27" s="832"/>
      <c r="FI27" s="832"/>
      <c r="FJ27" s="832"/>
      <c r="FK27" s="832"/>
      <c r="FL27" s="832"/>
      <c r="FM27" s="832"/>
      <c r="FN27" s="832"/>
      <c r="FO27" s="832"/>
      <c r="FP27" s="832"/>
      <c r="FQ27" s="832"/>
      <c r="FR27" s="832"/>
      <c r="FS27" s="832"/>
      <c r="FT27" s="832"/>
      <c r="FU27" s="832"/>
      <c r="FV27" s="832"/>
      <c r="FW27" s="832"/>
      <c r="FX27" s="832"/>
      <c r="FY27" s="832"/>
      <c r="FZ27" s="832"/>
      <c r="GA27" s="832"/>
      <c r="GB27" s="832"/>
      <c r="GC27" s="832"/>
      <c r="GD27" s="832"/>
      <c r="GE27" s="832"/>
      <c r="GF27" s="832"/>
      <c r="GG27" s="832"/>
      <c r="GH27" s="832"/>
      <c r="GI27" s="832"/>
      <c r="GJ27" s="832"/>
      <c r="GK27" s="832"/>
      <c r="GL27" s="832"/>
      <c r="GM27" s="832"/>
      <c r="GN27" s="832"/>
      <c r="GO27" s="832"/>
      <c r="GP27" s="832"/>
      <c r="GQ27" s="832"/>
      <c r="GR27" s="832"/>
      <c r="GS27" s="832"/>
      <c r="GT27" s="832"/>
      <c r="GU27" s="832"/>
      <c r="GV27" s="832"/>
      <c r="GW27" s="832"/>
    </row>
    <row r="28" spans="1:205" s="3" customFormat="1" x14ac:dyDescent="0.25">
      <c r="A28" s="72" t="str">
        <f>IF(inputPrYr!$B26&gt;"  ",inputPrYr!$B26,"  ")</f>
        <v xml:space="preserve">  </v>
      </c>
      <c r="B28" s="238" t="str">
        <f>IF(inputPrYr!C26&gt;0,inputPrYr!C26,"  ")</f>
        <v xml:space="preserve">  </v>
      </c>
      <c r="C28" s="239" t="str">
        <f>IF(levypage10!C88&gt;0,levypage10!C88,"  ")</f>
        <v xml:space="preserve">  </v>
      </c>
      <c r="D28" s="654" t="str">
        <f>IF(levypage10!$E$75&lt;&gt;0,levypage10!$E$75,"  ")</f>
        <v xml:space="preserve">  </v>
      </c>
      <c r="E28" s="654" t="str">
        <f>IF(levypage10!$E$82&lt;&gt;0,levypage10!$E$82,"  ")</f>
        <v xml:space="preserve">  </v>
      </c>
      <c r="F28" s="655" t="str">
        <f>IF(AND(levypage10!$E$82=0,$B$40&gt;=0)," ",IF(AND(E28&gt;0,$B$40=0)," ",IF(AND(E28&gt;0,$B$40&gt;0),ROUND(E28/$B$40*1000,3))))</f>
        <v xml:space="preserve"> </v>
      </c>
      <c r="I28" s="832"/>
      <c r="J28" s="832"/>
      <c r="K28" s="832"/>
      <c r="L28" s="832"/>
      <c r="M28" s="832"/>
      <c r="N28" s="832"/>
      <c r="O28" s="832"/>
      <c r="P28" s="832"/>
      <c r="Q28" s="832"/>
      <c r="R28" s="832"/>
      <c r="S28" s="832"/>
      <c r="T28" s="832"/>
      <c r="U28" s="832"/>
      <c r="V28" s="832"/>
      <c r="W28" s="832"/>
      <c r="X28" s="832"/>
      <c r="Y28" s="832"/>
      <c r="Z28" s="832"/>
      <c r="AA28" s="832"/>
      <c r="AB28" s="832"/>
      <c r="AC28" s="832"/>
      <c r="AD28" s="832"/>
      <c r="AE28" s="832"/>
      <c r="AF28" s="832"/>
      <c r="AG28" s="832"/>
      <c r="AH28" s="832"/>
      <c r="AI28" s="832"/>
      <c r="AJ28" s="832"/>
      <c r="AK28" s="832"/>
      <c r="AL28" s="832"/>
      <c r="AM28" s="832"/>
      <c r="AN28" s="832"/>
      <c r="AO28" s="832"/>
      <c r="AP28" s="832"/>
      <c r="AQ28" s="832"/>
      <c r="AR28" s="832"/>
      <c r="AS28" s="832"/>
      <c r="AT28" s="832"/>
      <c r="AU28" s="832"/>
      <c r="AV28" s="832"/>
      <c r="AW28" s="832"/>
      <c r="AX28" s="832"/>
      <c r="AY28" s="832"/>
      <c r="AZ28" s="832"/>
      <c r="BA28" s="832"/>
      <c r="BB28" s="832"/>
      <c r="BC28" s="832"/>
      <c r="BD28" s="832"/>
      <c r="BE28" s="832"/>
      <c r="BF28" s="832"/>
      <c r="BG28" s="832"/>
      <c r="BH28" s="832"/>
      <c r="BI28" s="832"/>
      <c r="BJ28" s="832"/>
      <c r="BK28" s="832"/>
      <c r="BL28" s="832"/>
      <c r="BM28" s="832"/>
      <c r="BN28" s="832"/>
      <c r="BO28" s="832"/>
      <c r="BP28" s="832"/>
      <c r="BQ28" s="832"/>
      <c r="BR28" s="832"/>
      <c r="BS28" s="832"/>
      <c r="BT28" s="832"/>
      <c r="BU28" s="832"/>
      <c r="BV28" s="832"/>
      <c r="BW28" s="832"/>
      <c r="BX28" s="832"/>
      <c r="BY28" s="832"/>
      <c r="BZ28" s="832"/>
      <c r="CA28" s="832"/>
      <c r="CB28" s="832"/>
      <c r="CC28" s="832"/>
      <c r="CD28" s="832"/>
      <c r="CE28" s="832"/>
      <c r="CF28" s="832"/>
      <c r="CG28" s="832"/>
      <c r="CH28" s="832"/>
      <c r="CI28" s="832"/>
      <c r="CJ28" s="832"/>
      <c r="CK28" s="832"/>
      <c r="CL28" s="832"/>
      <c r="CM28" s="832"/>
      <c r="CN28" s="832"/>
      <c r="CO28" s="832"/>
      <c r="CP28" s="832"/>
      <c r="CQ28" s="832"/>
      <c r="CR28" s="832"/>
      <c r="CS28" s="832"/>
      <c r="CT28" s="832"/>
      <c r="CU28" s="832"/>
      <c r="CV28" s="832"/>
      <c r="CW28" s="832"/>
      <c r="CX28" s="832"/>
      <c r="CY28" s="832"/>
      <c r="CZ28" s="832"/>
      <c r="DA28" s="832"/>
      <c r="DB28" s="832"/>
      <c r="DC28" s="832"/>
      <c r="DD28" s="832"/>
      <c r="DE28" s="832"/>
      <c r="DF28" s="832"/>
      <c r="DG28" s="832"/>
      <c r="DH28" s="832"/>
      <c r="DI28" s="832"/>
      <c r="DJ28" s="832"/>
      <c r="DK28" s="832"/>
      <c r="DL28" s="832"/>
      <c r="DM28" s="832"/>
      <c r="DN28" s="832"/>
      <c r="DO28" s="832"/>
      <c r="DP28" s="832"/>
      <c r="DQ28" s="832"/>
      <c r="DR28" s="832"/>
      <c r="DS28" s="832"/>
      <c r="DT28" s="832"/>
      <c r="DU28" s="832"/>
      <c r="DV28" s="832"/>
      <c r="DW28" s="832"/>
      <c r="DX28" s="832"/>
      <c r="DY28" s="832"/>
      <c r="DZ28" s="832"/>
      <c r="EA28" s="832"/>
      <c r="EB28" s="832"/>
      <c r="EC28" s="832"/>
      <c r="ED28" s="832"/>
      <c r="EE28" s="832"/>
      <c r="EF28" s="832"/>
      <c r="EG28" s="832"/>
      <c r="EH28" s="832"/>
      <c r="EI28" s="832"/>
      <c r="EJ28" s="832"/>
      <c r="EK28" s="832"/>
      <c r="EL28" s="832"/>
      <c r="EM28" s="832"/>
      <c r="EN28" s="832"/>
      <c r="EO28" s="832"/>
      <c r="EP28" s="832"/>
      <c r="EQ28" s="832"/>
      <c r="ER28" s="832"/>
      <c r="ES28" s="832"/>
      <c r="ET28" s="832"/>
      <c r="EU28" s="832"/>
      <c r="EV28" s="832"/>
      <c r="EW28" s="832"/>
      <c r="EX28" s="832"/>
      <c r="EY28" s="832"/>
      <c r="EZ28" s="832"/>
      <c r="FA28" s="832"/>
      <c r="FB28" s="832"/>
      <c r="FC28" s="832"/>
      <c r="FD28" s="832"/>
      <c r="FE28" s="832"/>
      <c r="FF28" s="832"/>
      <c r="FG28" s="832"/>
      <c r="FH28" s="832"/>
      <c r="FI28" s="832"/>
      <c r="FJ28" s="832"/>
      <c r="FK28" s="832"/>
      <c r="FL28" s="832"/>
      <c r="FM28" s="832"/>
      <c r="FN28" s="832"/>
      <c r="FO28" s="832"/>
      <c r="FP28" s="832"/>
      <c r="FQ28" s="832"/>
      <c r="FR28" s="832"/>
      <c r="FS28" s="832"/>
      <c r="FT28" s="832"/>
      <c r="FU28" s="832"/>
      <c r="FV28" s="832"/>
      <c r="FW28" s="832"/>
      <c r="FX28" s="832"/>
      <c r="FY28" s="832"/>
      <c r="FZ28" s="832"/>
      <c r="GA28" s="832"/>
      <c r="GB28" s="832"/>
      <c r="GC28" s="832"/>
      <c r="GD28" s="832"/>
      <c r="GE28" s="832"/>
      <c r="GF28" s="832"/>
      <c r="GG28" s="832"/>
      <c r="GH28" s="832"/>
      <c r="GI28" s="832"/>
      <c r="GJ28" s="832"/>
      <c r="GK28" s="832"/>
      <c r="GL28" s="832"/>
      <c r="GM28" s="832"/>
      <c r="GN28" s="832"/>
      <c r="GO28" s="832"/>
      <c r="GP28" s="832"/>
      <c r="GQ28" s="832"/>
      <c r="GR28" s="832"/>
      <c r="GS28" s="832"/>
      <c r="GT28" s="832"/>
      <c r="GU28" s="832"/>
      <c r="GV28" s="832"/>
      <c r="GW28" s="832"/>
    </row>
    <row r="29" spans="1:205" s="3" customFormat="1" x14ac:dyDescent="0.25">
      <c r="A29" s="72" t="str">
        <f>IF(inputPrYr!$B27&gt;"  ",inputPrYr!$B27,"  ")</f>
        <v xml:space="preserve">  </v>
      </c>
      <c r="B29" s="238" t="str">
        <f>IF(inputPrYr!C27&gt;0,inputPrYr!C27,"  ")</f>
        <v xml:space="preserve">  </v>
      </c>
      <c r="C29" s="239" t="str">
        <f>IF(levypage11!C88&gt;0,levypage11!C88,"  ")</f>
        <v xml:space="preserve">  </v>
      </c>
      <c r="D29" s="654" t="str">
        <f>IF(levypage11!$E$34&lt;&gt;0,levypage11!$E$34,"  ")</f>
        <v xml:space="preserve">  </v>
      </c>
      <c r="E29" s="654" t="str">
        <f>IF(levypage11!$E$41&lt;&gt;0,levypage11!$E$41,"  ")</f>
        <v xml:space="preserve">  </v>
      </c>
      <c r="F29" s="655" t="str">
        <f>IF(AND(levypage11!$E$41=0,$B$40&gt;=0)," ",IF(AND(E29&gt;0,$B$40=0)," ",IF(AND(E29&gt;0,$B$40&gt;0),ROUND(E29/$B$40*1000,3))))</f>
        <v xml:space="preserve"> </v>
      </c>
      <c r="I29" s="832"/>
      <c r="J29" s="832"/>
      <c r="K29" s="832"/>
      <c r="L29" s="832"/>
      <c r="M29" s="832"/>
      <c r="N29" s="832"/>
      <c r="O29" s="832"/>
      <c r="P29" s="832"/>
      <c r="Q29" s="832"/>
      <c r="R29" s="832"/>
      <c r="S29" s="832"/>
      <c r="T29" s="832"/>
      <c r="U29" s="832"/>
      <c r="V29" s="832"/>
      <c r="W29" s="832"/>
      <c r="X29" s="832"/>
      <c r="Y29" s="832"/>
      <c r="Z29" s="832"/>
      <c r="AA29" s="832"/>
      <c r="AB29" s="832"/>
      <c r="AC29" s="832"/>
      <c r="AD29" s="832"/>
      <c r="AE29" s="832"/>
      <c r="AF29" s="832"/>
      <c r="AG29" s="832"/>
      <c r="AH29" s="832"/>
      <c r="AI29" s="832"/>
      <c r="AJ29" s="832"/>
      <c r="AK29" s="832"/>
      <c r="AL29" s="832"/>
      <c r="AM29" s="832"/>
      <c r="AN29" s="832"/>
      <c r="AO29" s="832"/>
      <c r="AP29" s="832"/>
      <c r="AQ29" s="832"/>
      <c r="AR29" s="832"/>
      <c r="AS29" s="832"/>
      <c r="AT29" s="832"/>
      <c r="AU29" s="832"/>
      <c r="AV29" s="832"/>
      <c r="AW29" s="832"/>
      <c r="AX29" s="832"/>
      <c r="AY29" s="832"/>
      <c r="AZ29" s="832"/>
      <c r="BA29" s="832"/>
      <c r="BB29" s="832"/>
      <c r="BC29" s="832"/>
      <c r="BD29" s="832"/>
      <c r="BE29" s="832"/>
      <c r="BF29" s="832"/>
      <c r="BG29" s="832"/>
      <c r="BH29" s="832"/>
      <c r="BI29" s="832"/>
      <c r="BJ29" s="832"/>
      <c r="BK29" s="832"/>
      <c r="BL29" s="832"/>
      <c r="BM29" s="832"/>
      <c r="BN29" s="832"/>
      <c r="BO29" s="832"/>
      <c r="BP29" s="832"/>
      <c r="BQ29" s="832"/>
      <c r="BR29" s="832"/>
      <c r="BS29" s="832"/>
      <c r="BT29" s="832"/>
      <c r="BU29" s="832"/>
      <c r="BV29" s="832"/>
      <c r="BW29" s="832"/>
      <c r="BX29" s="832"/>
      <c r="BY29" s="832"/>
      <c r="BZ29" s="832"/>
      <c r="CA29" s="832"/>
      <c r="CB29" s="832"/>
      <c r="CC29" s="832"/>
      <c r="CD29" s="832"/>
      <c r="CE29" s="832"/>
      <c r="CF29" s="832"/>
      <c r="CG29" s="832"/>
      <c r="CH29" s="832"/>
      <c r="CI29" s="832"/>
      <c r="CJ29" s="832"/>
      <c r="CK29" s="832"/>
      <c r="CL29" s="832"/>
      <c r="CM29" s="832"/>
      <c r="CN29" s="832"/>
      <c r="CO29" s="832"/>
      <c r="CP29" s="832"/>
      <c r="CQ29" s="832"/>
      <c r="CR29" s="832"/>
      <c r="CS29" s="832"/>
      <c r="CT29" s="832"/>
      <c r="CU29" s="832"/>
      <c r="CV29" s="832"/>
      <c r="CW29" s="832"/>
      <c r="CX29" s="832"/>
      <c r="CY29" s="832"/>
      <c r="CZ29" s="832"/>
      <c r="DA29" s="832"/>
      <c r="DB29" s="832"/>
      <c r="DC29" s="832"/>
      <c r="DD29" s="832"/>
      <c r="DE29" s="832"/>
      <c r="DF29" s="832"/>
      <c r="DG29" s="832"/>
      <c r="DH29" s="832"/>
      <c r="DI29" s="832"/>
      <c r="DJ29" s="832"/>
      <c r="DK29" s="832"/>
      <c r="DL29" s="832"/>
      <c r="DM29" s="832"/>
      <c r="DN29" s="832"/>
      <c r="DO29" s="832"/>
      <c r="DP29" s="832"/>
      <c r="DQ29" s="832"/>
      <c r="DR29" s="832"/>
      <c r="DS29" s="832"/>
      <c r="DT29" s="832"/>
      <c r="DU29" s="832"/>
      <c r="DV29" s="832"/>
      <c r="DW29" s="832"/>
      <c r="DX29" s="832"/>
      <c r="DY29" s="832"/>
      <c r="DZ29" s="832"/>
      <c r="EA29" s="832"/>
      <c r="EB29" s="832"/>
      <c r="EC29" s="832"/>
      <c r="ED29" s="832"/>
      <c r="EE29" s="832"/>
      <c r="EF29" s="832"/>
      <c r="EG29" s="832"/>
      <c r="EH29" s="832"/>
      <c r="EI29" s="832"/>
      <c r="EJ29" s="832"/>
      <c r="EK29" s="832"/>
      <c r="EL29" s="832"/>
      <c r="EM29" s="832"/>
      <c r="EN29" s="832"/>
      <c r="EO29" s="832"/>
      <c r="EP29" s="832"/>
      <c r="EQ29" s="832"/>
      <c r="ER29" s="832"/>
      <c r="ES29" s="832"/>
      <c r="ET29" s="832"/>
      <c r="EU29" s="832"/>
      <c r="EV29" s="832"/>
      <c r="EW29" s="832"/>
      <c r="EX29" s="832"/>
      <c r="EY29" s="832"/>
      <c r="EZ29" s="832"/>
      <c r="FA29" s="832"/>
      <c r="FB29" s="832"/>
      <c r="FC29" s="832"/>
      <c r="FD29" s="832"/>
      <c r="FE29" s="832"/>
      <c r="FF29" s="832"/>
      <c r="FG29" s="832"/>
      <c r="FH29" s="832"/>
      <c r="FI29" s="832"/>
      <c r="FJ29" s="832"/>
      <c r="FK29" s="832"/>
      <c r="FL29" s="832"/>
      <c r="FM29" s="832"/>
      <c r="FN29" s="832"/>
      <c r="FO29" s="832"/>
      <c r="FP29" s="832"/>
      <c r="FQ29" s="832"/>
      <c r="FR29" s="832"/>
      <c r="FS29" s="832"/>
      <c r="FT29" s="832"/>
      <c r="FU29" s="832"/>
      <c r="FV29" s="832"/>
      <c r="FW29" s="832"/>
      <c r="FX29" s="832"/>
      <c r="FY29" s="832"/>
      <c r="FZ29" s="832"/>
      <c r="GA29" s="832"/>
      <c r="GB29" s="832"/>
      <c r="GC29" s="832"/>
      <c r="GD29" s="832"/>
      <c r="GE29" s="832"/>
      <c r="GF29" s="832"/>
      <c r="GG29" s="832"/>
      <c r="GH29" s="832"/>
      <c r="GI29" s="832"/>
      <c r="GJ29" s="832"/>
      <c r="GK29" s="832"/>
      <c r="GL29" s="832"/>
      <c r="GM29" s="832"/>
      <c r="GN29" s="832"/>
      <c r="GO29" s="832"/>
      <c r="GP29" s="832"/>
      <c r="GQ29" s="832"/>
      <c r="GR29" s="832"/>
      <c r="GS29" s="832"/>
      <c r="GT29" s="832"/>
      <c r="GU29" s="832"/>
      <c r="GV29" s="832"/>
      <c r="GW29" s="832"/>
    </row>
    <row r="30" spans="1:205" s="3" customFormat="1" x14ac:dyDescent="0.25">
      <c r="A30" s="72" t="str">
        <f>IF(inputPrYr!$B28&gt;"  ",inputPrYr!$B28,"  ")</f>
        <v xml:space="preserve">  </v>
      </c>
      <c r="B30" s="238" t="str">
        <f>IF(inputPrYr!C28&gt;0,inputPrYr!C28,"  ")</f>
        <v xml:space="preserve">  </v>
      </c>
      <c r="C30" s="239" t="str">
        <f>IF(levypage11!C88&gt;0,levypage11!C88,"  ")</f>
        <v xml:space="preserve">  </v>
      </c>
      <c r="D30" s="654" t="str">
        <f>IF(levypage11!$E$75&lt;&gt;0,levypage11!$E$75,"  ")</f>
        <v xml:space="preserve">  </v>
      </c>
      <c r="E30" s="654" t="str">
        <f>IF(levypage11!$E$82&lt;&gt;0,levypage11!$E$82,"  ")</f>
        <v xml:space="preserve">  </v>
      </c>
      <c r="F30" s="655" t="str">
        <f>IF(AND(levypage11!$E$82=0,$B$40&gt;=0)," ",IF(AND(E30&gt;0,$B$40=0)," ",IF(AND(E30&gt;0,$B$40&gt;0),ROUND(E30/$B$40*1000,3))))</f>
        <v xml:space="preserve"> </v>
      </c>
      <c r="I30" s="832"/>
      <c r="J30" s="832"/>
      <c r="K30" s="832"/>
      <c r="L30" s="832"/>
      <c r="M30" s="832"/>
      <c r="N30" s="832"/>
      <c r="O30" s="832"/>
      <c r="P30" s="832"/>
      <c r="Q30" s="832"/>
      <c r="R30" s="832"/>
      <c r="S30" s="832"/>
      <c r="T30" s="832"/>
      <c r="U30" s="832"/>
      <c r="V30" s="832"/>
      <c r="W30" s="832"/>
      <c r="X30" s="832"/>
      <c r="Y30" s="832"/>
      <c r="Z30" s="832"/>
      <c r="AA30" s="832"/>
      <c r="AB30" s="832"/>
      <c r="AC30" s="832"/>
      <c r="AD30" s="832"/>
      <c r="AE30" s="832"/>
      <c r="AF30" s="832"/>
      <c r="AG30" s="832"/>
      <c r="AH30" s="832"/>
      <c r="AI30" s="832"/>
      <c r="AJ30" s="832"/>
      <c r="AK30" s="832"/>
      <c r="AL30" s="832"/>
      <c r="AM30" s="832"/>
      <c r="AN30" s="832"/>
      <c r="AO30" s="832"/>
      <c r="AP30" s="832"/>
      <c r="AQ30" s="832"/>
      <c r="AR30" s="832"/>
      <c r="AS30" s="832"/>
      <c r="AT30" s="832"/>
      <c r="AU30" s="832"/>
      <c r="AV30" s="832"/>
      <c r="AW30" s="832"/>
      <c r="AX30" s="832"/>
      <c r="AY30" s="832"/>
      <c r="AZ30" s="832"/>
      <c r="BA30" s="832"/>
      <c r="BB30" s="832"/>
      <c r="BC30" s="832"/>
      <c r="BD30" s="832"/>
      <c r="BE30" s="832"/>
      <c r="BF30" s="832"/>
      <c r="BG30" s="832"/>
      <c r="BH30" s="832"/>
      <c r="BI30" s="832"/>
      <c r="BJ30" s="832"/>
      <c r="BK30" s="832"/>
      <c r="BL30" s="832"/>
      <c r="BM30" s="832"/>
      <c r="BN30" s="832"/>
      <c r="BO30" s="832"/>
      <c r="BP30" s="832"/>
      <c r="BQ30" s="832"/>
      <c r="BR30" s="832"/>
      <c r="BS30" s="832"/>
      <c r="BT30" s="832"/>
      <c r="BU30" s="832"/>
      <c r="BV30" s="832"/>
      <c r="BW30" s="832"/>
      <c r="BX30" s="832"/>
      <c r="BY30" s="832"/>
      <c r="BZ30" s="832"/>
      <c r="CA30" s="832"/>
      <c r="CB30" s="832"/>
      <c r="CC30" s="832"/>
      <c r="CD30" s="832"/>
      <c r="CE30" s="832"/>
      <c r="CF30" s="832"/>
      <c r="CG30" s="832"/>
      <c r="CH30" s="832"/>
      <c r="CI30" s="832"/>
      <c r="CJ30" s="832"/>
      <c r="CK30" s="832"/>
      <c r="CL30" s="832"/>
      <c r="CM30" s="832"/>
      <c r="CN30" s="832"/>
      <c r="CO30" s="832"/>
      <c r="CP30" s="832"/>
      <c r="CQ30" s="832"/>
      <c r="CR30" s="832"/>
      <c r="CS30" s="832"/>
      <c r="CT30" s="832"/>
      <c r="CU30" s="832"/>
      <c r="CV30" s="832"/>
      <c r="CW30" s="832"/>
      <c r="CX30" s="832"/>
      <c r="CY30" s="832"/>
      <c r="CZ30" s="832"/>
      <c r="DA30" s="832"/>
      <c r="DB30" s="832"/>
      <c r="DC30" s="832"/>
      <c r="DD30" s="832"/>
      <c r="DE30" s="832"/>
      <c r="DF30" s="832"/>
      <c r="DG30" s="832"/>
      <c r="DH30" s="832"/>
      <c r="DI30" s="832"/>
      <c r="DJ30" s="832"/>
      <c r="DK30" s="832"/>
      <c r="DL30" s="832"/>
      <c r="DM30" s="832"/>
      <c r="DN30" s="832"/>
      <c r="DO30" s="832"/>
      <c r="DP30" s="832"/>
      <c r="DQ30" s="832"/>
      <c r="DR30" s="832"/>
      <c r="DS30" s="832"/>
      <c r="DT30" s="832"/>
      <c r="DU30" s="832"/>
      <c r="DV30" s="832"/>
      <c r="DW30" s="832"/>
      <c r="DX30" s="832"/>
      <c r="DY30" s="832"/>
      <c r="DZ30" s="832"/>
      <c r="EA30" s="832"/>
      <c r="EB30" s="832"/>
      <c r="EC30" s="832"/>
      <c r="ED30" s="832"/>
      <c r="EE30" s="832"/>
      <c r="EF30" s="832"/>
      <c r="EG30" s="832"/>
      <c r="EH30" s="832"/>
      <c r="EI30" s="832"/>
      <c r="EJ30" s="832"/>
      <c r="EK30" s="832"/>
      <c r="EL30" s="832"/>
      <c r="EM30" s="832"/>
      <c r="EN30" s="832"/>
      <c r="EO30" s="832"/>
      <c r="EP30" s="832"/>
      <c r="EQ30" s="832"/>
      <c r="ER30" s="832"/>
      <c r="ES30" s="832"/>
      <c r="ET30" s="832"/>
      <c r="EU30" s="832"/>
      <c r="EV30" s="832"/>
      <c r="EW30" s="832"/>
      <c r="EX30" s="832"/>
      <c r="EY30" s="832"/>
      <c r="EZ30" s="832"/>
      <c r="FA30" s="832"/>
      <c r="FB30" s="832"/>
      <c r="FC30" s="832"/>
      <c r="FD30" s="832"/>
      <c r="FE30" s="832"/>
      <c r="FF30" s="832"/>
      <c r="FG30" s="832"/>
      <c r="FH30" s="832"/>
      <c r="FI30" s="832"/>
      <c r="FJ30" s="832"/>
      <c r="FK30" s="832"/>
      <c r="FL30" s="832"/>
      <c r="FM30" s="832"/>
      <c r="FN30" s="832"/>
      <c r="FO30" s="832"/>
      <c r="FP30" s="832"/>
      <c r="FQ30" s="832"/>
      <c r="FR30" s="832"/>
      <c r="FS30" s="832"/>
      <c r="FT30" s="832"/>
      <c r="FU30" s="832"/>
      <c r="FV30" s="832"/>
      <c r="FW30" s="832"/>
      <c r="FX30" s="832"/>
      <c r="FY30" s="832"/>
      <c r="FZ30" s="832"/>
      <c r="GA30" s="832"/>
      <c r="GB30" s="832"/>
      <c r="GC30" s="832"/>
      <c r="GD30" s="832"/>
      <c r="GE30" s="832"/>
      <c r="GF30" s="832"/>
      <c r="GG30" s="832"/>
      <c r="GH30" s="832"/>
      <c r="GI30" s="832"/>
      <c r="GJ30" s="832"/>
      <c r="GK30" s="832"/>
      <c r="GL30" s="832"/>
      <c r="GM30" s="832"/>
      <c r="GN30" s="832"/>
      <c r="GO30" s="832"/>
      <c r="GP30" s="832"/>
      <c r="GQ30" s="832"/>
      <c r="GR30" s="832"/>
      <c r="GS30" s="832"/>
      <c r="GT30" s="832"/>
      <c r="GU30" s="832"/>
      <c r="GV30" s="832"/>
      <c r="GW30" s="832"/>
    </row>
    <row r="31" spans="1:205" s="3" customFormat="1" x14ac:dyDescent="0.25">
      <c r="A31" s="240" t="str">
        <f>IF(inputPrYr!$B32&gt;"  ",inputPrYr!$B32,"  ")</f>
        <v xml:space="preserve">  </v>
      </c>
      <c r="B31" s="241"/>
      <c r="C31" s="242" t="str">
        <f>IF(nolevypage12!$C$65&gt;0,nolevypage12!$C$65,"  ")</f>
        <v xml:space="preserve">  </v>
      </c>
      <c r="D31" s="654" t="str">
        <f>IF(nolevypage12!$E$27&lt;&gt;0,nolevypage12!$E$27,"  ")</f>
        <v xml:space="preserve">  </v>
      </c>
      <c r="E31" s="654"/>
      <c r="F31" s="655"/>
      <c r="I31" s="832"/>
      <c r="J31" s="832"/>
      <c r="K31" s="832"/>
      <c r="L31" s="832"/>
      <c r="M31" s="832"/>
      <c r="N31" s="832"/>
      <c r="O31" s="832"/>
      <c r="P31" s="832"/>
      <c r="Q31" s="832"/>
      <c r="R31" s="832"/>
      <c r="S31" s="832"/>
      <c r="T31" s="832"/>
      <c r="U31" s="832"/>
      <c r="V31" s="832"/>
      <c r="W31" s="832"/>
      <c r="X31" s="832"/>
      <c r="Y31" s="832"/>
      <c r="Z31" s="832"/>
      <c r="AA31" s="832"/>
      <c r="AB31" s="832"/>
      <c r="AC31" s="832"/>
      <c r="AD31" s="832"/>
      <c r="AE31" s="832"/>
      <c r="AF31" s="832"/>
      <c r="AG31" s="832"/>
      <c r="AH31" s="832"/>
      <c r="AI31" s="832"/>
      <c r="AJ31" s="832"/>
      <c r="AK31" s="832"/>
      <c r="AL31" s="832"/>
      <c r="AM31" s="832"/>
      <c r="AN31" s="832"/>
      <c r="AO31" s="832"/>
      <c r="AP31" s="832"/>
      <c r="AQ31" s="832"/>
      <c r="AR31" s="832"/>
      <c r="AS31" s="832"/>
      <c r="AT31" s="832"/>
      <c r="AU31" s="832"/>
      <c r="AV31" s="832"/>
      <c r="AW31" s="832"/>
      <c r="AX31" s="832"/>
      <c r="AY31" s="832"/>
      <c r="AZ31" s="832"/>
      <c r="BA31" s="832"/>
      <c r="BB31" s="832"/>
      <c r="BC31" s="832"/>
      <c r="BD31" s="832"/>
      <c r="BE31" s="832"/>
      <c r="BF31" s="832"/>
      <c r="BG31" s="832"/>
      <c r="BH31" s="832"/>
      <c r="BI31" s="832"/>
      <c r="BJ31" s="832"/>
      <c r="BK31" s="832"/>
      <c r="BL31" s="832"/>
      <c r="BM31" s="832"/>
      <c r="BN31" s="832"/>
      <c r="BO31" s="832"/>
      <c r="BP31" s="832"/>
      <c r="BQ31" s="832"/>
      <c r="BR31" s="832"/>
      <c r="BS31" s="832"/>
      <c r="BT31" s="832"/>
      <c r="BU31" s="832"/>
      <c r="BV31" s="832"/>
      <c r="BW31" s="832"/>
      <c r="BX31" s="832"/>
      <c r="BY31" s="832"/>
      <c r="BZ31" s="832"/>
      <c r="CA31" s="832"/>
      <c r="CB31" s="832"/>
      <c r="CC31" s="832"/>
      <c r="CD31" s="832"/>
      <c r="CE31" s="832"/>
      <c r="CF31" s="832"/>
      <c r="CG31" s="832"/>
      <c r="CH31" s="832"/>
      <c r="CI31" s="832"/>
      <c r="CJ31" s="832"/>
      <c r="CK31" s="832"/>
      <c r="CL31" s="832"/>
      <c r="CM31" s="832"/>
      <c r="CN31" s="832"/>
      <c r="CO31" s="832"/>
      <c r="CP31" s="832"/>
      <c r="CQ31" s="832"/>
      <c r="CR31" s="832"/>
      <c r="CS31" s="832"/>
      <c r="CT31" s="832"/>
      <c r="CU31" s="832"/>
      <c r="CV31" s="832"/>
      <c r="CW31" s="832"/>
      <c r="CX31" s="832"/>
      <c r="CY31" s="832"/>
      <c r="CZ31" s="832"/>
      <c r="DA31" s="832"/>
      <c r="DB31" s="832"/>
      <c r="DC31" s="832"/>
      <c r="DD31" s="832"/>
      <c r="DE31" s="832"/>
      <c r="DF31" s="832"/>
      <c r="DG31" s="832"/>
      <c r="DH31" s="832"/>
      <c r="DI31" s="832"/>
      <c r="DJ31" s="832"/>
      <c r="DK31" s="832"/>
      <c r="DL31" s="832"/>
      <c r="DM31" s="832"/>
      <c r="DN31" s="832"/>
      <c r="DO31" s="832"/>
      <c r="DP31" s="832"/>
      <c r="DQ31" s="832"/>
      <c r="DR31" s="832"/>
      <c r="DS31" s="832"/>
      <c r="DT31" s="832"/>
      <c r="DU31" s="832"/>
      <c r="DV31" s="832"/>
      <c r="DW31" s="832"/>
      <c r="DX31" s="832"/>
      <c r="DY31" s="832"/>
      <c r="DZ31" s="832"/>
      <c r="EA31" s="832"/>
      <c r="EB31" s="832"/>
      <c r="EC31" s="832"/>
      <c r="ED31" s="832"/>
      <c r="EE31" s="832"/>
      <c r="EF31" s="832"/>
      <c r="EG31" s="832"/>
      <c r="EH31" s="832"/>
      <c r="EI31" s="832"/>
      <c r="EJ31" s="832"/>
      <c r="EK31" s="832"/>
      <c r="EL31" s="832"/>
      <c r="EM31" s="832"/>
      <c r="EN31" s="832"/>
      <c r="EO31" s="832"/>
      <c r="EP31" s="832"/>
      <c r="EQ31" s="832"/>
      <c r="ER31" s="832"/>
      <c r="ES31" s="832"/>
      <c r="ET31" s="832"/>
      <c r="EU31" s="832"/>
      <c r="EV31" s="832"/>
      <c r="EW31" s="832"/>
      <c r="EX31" s="832"/>
      <c r="EY31" s="832"/>
      <c r="EZ31" s="832"/>
      <c r="FA31" s="832"/>
      <c r="FB31" s="832"/>
      <c r="FC31" s="832"/>
      <c r="FD31" s="832"/>
      <c r="FE31" s="832"/>
      <c r="FF31" s="832"/>
      <c r="FG31" s="832"/>
      <c r="FH31" s="832"/>
      <c r="FI31" s="832"/>
      <c r="FJ31" s="832"/>
      <c r="FK31" s="832"/>
      <c r="FL31" s="832"/>
      <c r="FM31" s="832"/>
      <c r="FN31" s="832"/>
      <c r="FO31" s="832"/>
      <c r="FP31" s="832"/>
      <c r="FQ31" s="832"/>
      <c r="FR31" s="832"/>
      <c r="FS31" s="832"/>
      <c r="FT31" s="832"/>
      <c r="FU31" s="832"/>
      <c r="FV31" s="832"/>
      <c r="FW31" s="832"/>
      <c r="FX31" s="832"/>
      <c r="FY31" s="832"/>
      <c r="FZ31" s="832"/>
      <c r="GA31" s="832"/>
      <c r="GB31" s="832"/>
      <c r="GC31" s="832"/>
      <c r="GD31" s="832"/>
      <c r="GE31" s="832"/>
      <c r="GF31" s="832"/>
      <c r="GG31" s="832"/>
      <c r="GH31" s="832"/>
      <c r="GI31" s="832"/>
      <c r="GJ31" s="832"/>
      <c r="GK31" s="832"/>
      <c r="GL31" s="832"/>
      <c r="GM31" s="832"/>
      <c r="GN31" s="832"/>
      <c r="GO31" s="832"/>
      <c r="GP31" s="832"/>
      <c r="GQ31" s="832"/>
      <c r="GR31" s="832"/>
      <c r="GS31" s="832"/>
      <c r="GT31" s="832"/>
      <c r="GU31" s="832"/>
      <c r="GV31" s="832"/>
      <c r="GW31" s="832"/>
    </row>
    <row r="32" spans="1:205" s="3" customFormat="1" x14ac:dyDescent="0.25">
      <c r="A32" s="243" t="str">
        <f>IF(inputPrYr!$B33&gt;"  ",inputPrYr!$B33,"  ")</f>
        <v xml:space="preserve">  </v>
      </c>
      <c r="B32" s="14"/>
      <c r="C32" s="242" t="str">
        <f>IF(nolevypage12!$C$65&gt;0,nolevypage12!$C$65,"  ")</f>
        <v xml:space="preserve">  </v>
      </c>
      <c r="D32" s="654" t="str">
        <f>IF(nolevypage12!$E$57&lt;&gt;0,nolevypage12!$E$57,"  ")</f>
        <v xml:space="preserve">  </v>
      </c>
      <c r="E32" s="654"/>
      <c r="F32" s="655"/>
      <c r="I32" s="832"/>
      <c r="J32" s="832"/>
      <c r="K32" s="832"/>
      <c r="L32" s="832"/>
      <c r="M32" s="832"/>
      <c r="N32" s="832"/>
      <c r="O32" s="832"/>
      <c r="P32" s="832"/>
      <c r="Q32" s="832"/>
      <c r="R32" s="832"/>
      <c r="S32" s="832"/>
      <c r="T32" s="832"/>
      <c r="U32" s="832"/>
      <c r="V32" s="832"/>
      <c r="W32" s="832"/>
      <c r="X32" s="832"/>
      <c r="Y32" s="832"/>
      <c r="Z32" s="832"/>
      <c r="AA32" s="832"/>
      <c r="AB32" s="832"/>
      <c r="AC32" s="832"/>
      <c r="AD32" s="832"/>
      <c r="AE32" s="832"/>
      <c r="AF32" s="832"/>
      <c r="AG32" s="832"/>
      <c r="AH32" s="832"/>
      <c r="AI32" s="832"/>
      <c r="AJ32" s="832"/>
      <c r="AK32" s="832"/>
      <c r="AL32" s="832"/>
      <c r="AM32" s="832"/>
      <c r="AN32" s="832"/>
      <c r="AO32" s="832"/>
      <c r="AP32" s="832"/>
      <c r="AQ32" s="832"/>
      <c r="AR32" s="832"/>
      <c r="AS32" s="832"/>
      <c r="AT32" s="832"/>
      <c r="AU32" s="832"/>
      <c r="AV32" s="832"/>
      <c r="AW32" s="832"/>
      <c r="AX32" s="832"/>
      <c r="AY32" s="832"/>
      <c r="AZ32" s="832"/>
      <c r="BA32" s="832"/>
      <c r="BB32" s="832"/>
      <c r="BC32" s="832"/>
      <c r="BD32" s="832"/>
      <c r="BE32" s="832"/>
      <c r="BF32" s="832"/>
      <c r="BG32" s="832"/>
      <c r="BH32" s="832"/>
      <c r="BI32" s="832"/>
      <c r="BJ32" s="832"/>
      <c r="BK32" s="832"/>
      <c r="BL32" s="832"/>
      <c r="BM32" s="832"/>
      <c r="BN32" s="832"/>
      <c r="BO32" s="832"/>
      <c r="BP32" s="832"/>
      <c r="BQ32" s="832"/>
      <c r="BR32" s="832"/>
      <c r="BS32" s="832"/>
      <c r="BT32" s="832"/>
      <c r="BU32" s="832"/>
      <c r="BV32" s="832"/>
      <c r="BW32" s="832"/>
      <c r="BX32" s="832"/>
      <c r="BY32" s="832"/>
      <c r="BZ32" s="832"/>
      <c r="CA32" s="832"/>
      <c r="CB32" s="832"/>
      <c r="CC32" s="832"/>
      <c r="CD32" s="832"/>
      <c r="CE32" s="832"/>
      <c r="CF32" s="832"/>
      <c r="CG32" s="832"/>
      <c r="CH32" s="832"/>
      <c r="CI32" s="832"/>
      <c r="CJ32" s="832"/>
      <c r="CK32" s="832"/>
      <c r="CL32" s="832"/>
      <c r="CM32" s="832"/>
      <c r="CN32" s="832"/>
      <c r="CO32" s="832"/>
      <c r="CP32" s="832"/>
      <c r="CQ32" s="832"/>
      <c r="CR32" s="832"/>
      <c r="CS32" s="832"/>
      <c r="CT32" s="832"/>
      <c r="CU32" s="832"/>
      <c r="CV32" s="832"/>
      <c r="CW32" s="832"/>
      <c r="CX32" s="832"/>
      <c r="CY32" s="832"/>
      <c r="CZ32" s="832"/>
      <c r="DA32" s="832"/>
      <c r="DB32" s="832"/>
      <c r="DC32" s="832"/>
      <c r="DD32" s="832"/>
      <c r="DE32" s="832"/>
      <c r="DF32" s="832"/>
      <c r="DG32" s="832"/>
      <c r="DH32" s="832"/>
      <c r="DI32" s="832"/>
      <c r="DJ32" s="832"/>
      <c r="DK32" s="832"/>
      <c r="DL32" s="832"/>
      <c r="DM32" s="832"/>
      <c r="DN32" s="832"/>
      <c r="DO32" s="832"/>
      <c r="DP32" s="832"/>
      <c r="DQ32" s="832"/>
      <c r="DR32" s="832"/>
      <c r="DS32" s="832"/>
      <c r="DT32" s="832"/>
      <c r="DU32" s="832"/>
      <c r="DV32" s="832"/>
      <c r="DW32" s="832"/>
      <c r="DX32" s="832"/>
      <c r="DY32" s="832"/>
      <c r="DZ32" s="832"/>
      <c r="EA32" s="832"/>
      <c r="EB32" s="832"/>
      <c r="EC32" s="832"/>
      <c r="ED32" s="832"/>
      <c r="EE32" s="832"/>
      <c r="EF32" s="832"/>
      <c r="EG32" s="832"/>
      <c r="EH32" s="832"/>
      <c r="EI32" s="832"/>
      <c r="EJ32" s="832"/>
      <c r="EK32" s="832"/>
      <c r="EL32" s="832"/>
      <c r="EM32" s="832"/>
      <c r="EN32" s="832"/>
      <c r="EO32" s="832"/>
      <c r="EP32" s="832"/>
      <c r="EQ32" s="832"/>
      <c r="ER32" s="832"/>
      <c r="ES32" s="832"/>
      <c r="ET32" s="832"/>
      <c r="EU32" s="832"/>
      <c r="EV32" s="832"/>
      <c r="EW32" s="832"/>
      <c r="EX32" s="832"/>
      <c r="EY32" s="832"/>
      <c r="EZ32" s="832"/>
      <c r="FA32" s="832"/>
      <c r="FB32" s="832"/>
      <c r="FC32" s="832"/>
      <c r="FD32" s="832"/>
      <c r="FE32" s="832"/>
      <c r="FF32" s="832"/>
      <c r="FG32" s="832"/>
      <c r="FH32" s="832"/>
      <c r="FI32" s="832"/>
      <c r="FJ32" s="832"/>
      <c r="FK32" s="832"/>
      <c r="FL32" s="832"/>
      <c r="FM32" s="832"/>
      <c r="FN32" s="832"/>
      <c r="FO32" s="832"/>
      <c r="FP32" s="832"/>
      <c r="FQ32" s="832"/>
      <c r="FR32" s="832"/>
      <c r="FS32" s="832"/>
      <c r="FT32" s="832"/>
      <c r="FU32" s="832"/>
      <c r="FV32" s="832"/>
      <c r="FW32" s="832"/>
      <c r="FX32" s="832"/>
      <c r="FY32" s="832"/>
      <c r="FZ32" s="832"/>
      <c r="GA32" s="832"/>
      <c r="GB32" s="832"/>
      <c r="GC32" s="832"/>
      <c r="GD32" s="832"/>
      <c r="GE32" s="832"/>
      <c r="GF32" s="832"/>
      <c r="GG32" s="832"/>
      <c r="GH32" s="832"/>
      <c r="GI32" s="832"/>
      <c r="GJ32" s="832"/>
      <c r="GK32" s="832"/>
      <c r="GL32" s="832"/>
      <c r="GM32" s="832"/>
      <c r="GN32" s="832"/>
      <c r="GO32" s="832"/>
      <c r="GP32" s="832"/>
      <c r="GQ32" s="832"/>
      <c r="GR32" s="832"/>
      <c r="GS32" s="832"/>
      <c r="GT32" s="832"/>
      <c r="GU32" s="832"/>
      <c r="GV32" s="832"/>
      <c r="GW32" s="832"/>
    </row>
    <row r="33" spans="1:205" s="3" customFormat="1" x14ac:dyDescent="0.25">
      <c r="A33" s="240" t="str">
        <f>IF((inputPrYr!$B37&gt;"  "),(nonbud!$A3),"  ")</f>
        <v xml:space="preserve">  </v>
      </c>
      <c r="B33" s="14"/>
      <c r="C33" s="242" t="str">
        <f>IF(nonbud!$F$36&gt;0,nonbud!$F$36,"  ")</f>
        <v xml:space="preserve">  </v>
      </c>
      <c r="D33" s="654"/>
      <c r="E33" s="654"/>
      <c r="F33" s="655"/>
      <c r="I33" s="832"/>
      <c r="J33" s="832"/>
      <c r="K33" s="832"/>
      <c r="L33" s="832"/>
      <c r="M33" s="832"/>
      <c r="N33" s="832"/>
      <c r="O33" s="832"/>
      <c r="P33" s="832"/>
      <c r="Q33" s="832"/>
      <c r="R33" s="832"/>
      <c r="S33" s="832"/>
      <c r="T33" s="832"/>
      <c r="U33" s="832"/>
      <c r="V33" s="832"/>
      <c r="W33" s="832"/>
      <c r="X33" s="832"/>
      <c r="Y33" s="832"/>
      <c r="Z33" s="832"/>
      <c r="AA33" s="832"/>
      <c r="AB33" s="832"/>
      <c r="AC33" s="832"/>
      <c r="AD33" s="832"/>
      <c r="AE33" s="832"/>
      <c r="AF33" s="832"/>
      <c r="AG33" s="832"/>
      <c r="AH33" s="832"/>
      <c r="AI33" s="832"/>
      <c r="AJ33" s="832"/>
      <c r="AK33" s="832"/>
      <c r="AL33" s="832"/>
      <c r="AM33" s="832"/>
      <c r="AN33" s="832"/>
      <c r="AO33" s="832"/>
      <c r="AP33" s="832"/>
      <c r="AQ33" s="832"/>
      <c r="AR33" s="832"/>
      <c r="AS33" s="832"/>
      <c r="AT33" s="832"/>
      <c r="AU33" s="832"/>
      <c r="AV33" s="832"/>
      <c r="AW33" s="832"/>
      <c r="AX33" s="832"/>
      <c r="AY33" s="832"/>
      <c r="AZ33" s="832"/>
      <c r="BA33" s="832"/>
      <c r="BB33" s="832"/>
      <c r="BC33" s="832"/>
      <c r="BD33" s="832"/>
      <c r="BE33" s="832"/>
      <c r="BF33" s="832"/>
      <c r="BG33" s="832"/>
      <c r="BH33" s="832"/>
      <c r="BI33" s="832"/>
      <c r="BJ33" s="832"/>
      <c r="BK33" s="832"/>
      <c r="BL33" s="832"/>
      <c r="BM33" s="832"/>
      <c r="BN33" s="832"/>
      <c r="BO33" s="832"/>
      <c r="BP33" s="832"/>
      <c r="BQ33" s="832"/>
      <c r="BR33" s="832"/>
      <c r="BS33" s="832"/>
      <c r="BT33" s="832"/>
      <c r="BU33" s="832"/>
      <c r="BV33" s="832"/>
      <c r="BW33" s="832"/>
      <c r="BX33" s="832"/>
      <c r="BY33" s="832"/>
      <c r="BZ33" s="832"/>
      <c r="CA33" s="832"/>
      <c r="CB33" s="832"/>
      <c r="CC33" s="832"/>
      <c r="CD33" s="832"/>
      <c r="CE33" s="832"/>
      <c r="CF33" s="832"/>
      <c r="CG33" s="832"/>
      <c r="CH33" s="832"/>
      <c r="CI33" s="832"/>
      <c r="CJ33" s="832"/>
      <c r="CK33" s="832"/>
      <c r="CL33" s="832"/>
      <c r="CM33" s="832"/>
      <c r="CN33" s="832"/>
      <c r="CO33" s="832"/>
      <c r="CP33" s="832"/>
      <c r="CQ33" s="832"/>
      <c r="CR33" s="832"/>
      <c r="CS33" s="832"/>
      <c r="CT33" s="832"/>
      <c r="CU33" s="832"/>
      <c r="CV33" s="832"/>
      <c r="CW33" s="832"/>
      <c r="CX33" s="832"/>
      <c r="CY33" s="832"/>
      <c r="CZ33" s="832"/>
      <c r="DA33" s="832"/>
      <c r="DB33" s="832"/>
      <c r="DC33" s="832"/>
      <c r="DD33" s="832"/>
      <c r="DE33" s="832"/>
      <c r="DF33" s="832"/>
      <c r="DG33" s="832"/>
      <c r="DH33" s="832"/>
      <c r="DI33" s="832"/>
      <c r="DJ33" s="832"/>
      <c r="DK33" s="832"/>
      <c r="DL33" s="832"/>
      <c r="DM33" s="832"/>
      <c r="DN33" s="832"/>
      <c r="DO33" s="832"/>
      <c r="DP33" s="832"/>
      <c r="DQ33" s="832"/>
      <c r="DR33" s="832"/>
      <c r="DS33" s="832"/>
      <c r="DT33" s="832"/>
      <c r="DU33" s="832"/>
      <c r="DV33" s="832"/>
      <c r="DW33" s="832"/>
      <c r="DX33" s="832"/>
      <c r="DY33" s="832"/>
      <c r="DZ33" s="832"/>
      <c r="EA33" s="832"/>
      <c r="EB33" s="832"/>
      <c r="EC33" s="832"/>
      <c r="ED33" s="832"/>
      <c r="EE33" s="832"/>
      <c r="EF33" s="832"/>
      <c r="EG33" s="832"/>
      <c r="EH33" s="832"/>
      <c r="EI33" s="832"/>
      <c r="EJ33" s="832"/>
      <c r="EK33" s="832"/>
      <c r="EL33" s="832"/>
      <c r="EM33" s="832"/>
      <c r="EN33" s="832"/>
      <c r="EO33" s="832"/>
      <c r="EP33" s="832"/>
      <c r="EQ33" s="832"/>
      <c r="ER33" s="832"/>
      <c r="ES33" s="832"/>
      <c r="ET33" s="832"/>
      <c r="EU33" s="832"/>
      <c r="EV33" s="832"/>
      <c r="EW33" s="832"/>
      <c r="EX33" s="832"/>
      <c r="EY33" s="832"/>
      <c r="EZ33" s="832"/>
      <c r="FA33" s="832"/>
      <c r="FB33" s="832"/>
      <c r="FC33" s="832"/>
      <c r="FD33" s="832"/>
      <c r="FE33" s="832"/>
      <c r="FF33" s="832"/>
      <c r="FG33" s="832"/>
      <c r="FH33" s="832"/>
      <c r="FI33" s="832"/>
      <c r="FJ33" s="832"/>
      <c r="FK33" s="832"/>
      <c r="FL33" s="832"/>
      <c r="FM33" s="832"/>
      <c r="FN33" s="832"/>
      <c r="FO33" s="832"/>
      <c r="FP33" s="832"/>
      <c r="FQ33" s="832"/>
      <c r="FR33" s="832"/>
      <c r="FS33" s="832"/>
      <c r="FT33" s="832"/>
      <c r="FU33" s="832"/>
      <c r="FV33" s="832"/>
      <c r="FW33" s="832"/>
      <c r="FX33" s="832"/>
      <c r="FY33" s="832"/>
      <c r="FZ33" s="832"/>
      <c r="GA33" s="832"/>
      <c r="GB33" s="832"/>
      <c r="GC33" s="832"/>
      <c r="GD33" s="832"/>
      <c r="GE33" s="832"/>
      <c r="GF33" s="832"/>
      <c r="GG33" s="832"/>
      <c r="GH33" s="832"/>
      <c r="GI33" s="832"/>
      <c r="GJ33" s="832"/>
      <c r="GK33" s="832"/>
      <c r="GL33" s="832"/>
      <c r="GM33" s="832"/>
      <c r="GN33" s="832"/>
      <c r="GO33" s="832"/>
      <c r="GP33" s="832"/>
      <c r="GQ33" s="832"/>
      <c r="GR33" s="832"/>
      <c r="GS33" s="832"/>
      <c r="GT33" s="832"/>
      <c r="GU33" s="832"/>
      <c r="GV33" s="832"/>
      <c r="GW33" s="832"/>
    </row>
    <row r="34" spans="1:205" s="3" customFormat="1" x14ac:dyDescent="0.25">
      <c r="A34" s="16" t="s">
        <v>247</v>
      </c>
      <c r="B34" s="241"/>
      <c r="C34" s="242" t="str">
        <f>IF(road!C70&gt;0,road!C70,"  ")</f>
        <v xml:space="preserve">  </v>
      </c>
      <c r="D34" s="221"/>
      <c r="E34" s="221"/>
      <c r="F34" s="655"/>
      <c r="I34" s="832"/>
      <c r="J34" s="832"/>
      <c r="K34" s="832"/>
      <c r="L34" s="832"/>
      <c r="M34" s="832"/>
      <c r="N34" s="832"/>
      <c r="O34" s="832"/>
      <c r="P34" s="832"/>
      <c r="Q34" s="832"/>
      <c r="R34" s="832"/>
      <c r="S34" s="832"/>
      <c r="T34" s="832"/>
      <c r="U34" s="832"/>
      <c r="V34" s="832"/>
      <c r="W34" s="832"/>
      <c r="X34" s="832"/>
      <c r="Y34" s="832"/>
      <c r="Z34" s="832"/>
      <c r="AA34" s="832"/>
      <c r="AB34" s="832"/>
      <c r="AC34" s="832"/>
      <c r="AD34" s="832"/>
      <c r="AE34" s="832"/>
      <c r="AF34" s="832"/>
      <c r="AG34" s="832"/>
      <c r="AH34" s="832"/>
      <c r="AI34" s="832"/>
      <c r="AJ34" s="832"/>
      <c r="AK34" s="832"/>
      <c r="AL34" s="832"/>
      <c r="AM34" s="832"/>
      <c r="AN34" s="832"/>
      <c r="AO34" s="832"/>
      <c r="AP34" s="832"/>
      <c r="AQ34" s="832"/>
      <c r="AR34" s="832"/>
      <c r="AS34" s="832"/>
      <c r="AT34" s="832"/>
      <c r="AU34" s="832"/>
      <c r="AV34" s="832"/>
      <c r="AW34" s="832"/>
      <c r="AX34" s="832"/>
      <c r="AY34" s="832"/>
      <c r="AZ34" s="832"/>
      <c r="BA34" s="832"/>
      <c r="BB34" s="832"/>
      <c r="BC34" s="832"/>
      <c r="BD34" s="832"/>
      <c r="BE34" s="832"/>
      <c r="BF34" s="832"/>
      <c r="BG34" s="832"/>
      <c r="BH34" s="832"/>
      <c r="BI34" s="832"/>
      <c r="BJ34" s="832"/>
      <c r="BK34" s="832"/>
      <c r="BL34" s="832"/>
      <c r="BM34" s="832"/>
      <c r="BN34" s="832"/>
      <c r="BO34" s="832"/>
      <c r="BP34" s="832"/>
      <c r="BQ34" s="832"/>
      <c r="BR34" s="832"/>
      <c r="BS34" s="832"/>
      <c r="BT34" s="832"/>
      <c r="BU34" s="832"/>
      <c r="BV34" s="832"/>
      <c r="BW34" s="832"/>
      <c r="BX34" s="832"/>
      <c r="BY34" s="832"/>
      <c r="BZ34" s="832"/>
      <c r="CA34" s="832"/>
      <c r="CB34" s="832"/>
      <c r="CC34" s="832"/>
      <c r="CD34" s="832"/>
      <c r="CE34" s="832"/>
      <c r="CF34" s="832"/>
      <c r="CG34" s="832"/>
      <c r="CH34" s="832"/>
      <c r="CI34" s="832"/>
      <c r="CJ34" s="832"/>
      <c r="CK34" s="832"/>
      <c r="CL34" s="832"/>
      <c r="CM34" s="832"/>
      <c r="CN34" s="832"/>
      <c r="CO34" s="832"/>
      <c r="CP34" s="832"/>
      <c r="CQ34" s="832"/>
      <c r="CR34" s="832"/>
      <c r="CS34" s="832"/>
      <c r="CT34" s="832"/>
      <c r="CU34" s="832"/>
      <c r="CV34" s="832"/>
      <c r="CW34" s="832"/>
      <c r="CX34" s="832"/>
      <c r="CY34" s="832"/>
      <c r="CZ34" s="832"/>
      <c r="DA34" s="832"/>
      <c r="DB34" s="832"/>
      <c r="DC34" s="832"/>
      <c r="DD34" s="832"/>
      <c r="DE34" s="832"/>
      <c r="DF34" s="832"/>
      <c r="DG34" s="832"/>
      <c r="DH34" s="832"/>
      <c r="DI34" s="832"/>
      <c r="DJ34" s="832"/>
      <c r="DK34" s="832"/>
      <c r="DL34" s="832"/>
      <c r="DM34" s="832"/>
      <c r="DN34" s="832"/>
      <c r="DO34" s="832"/>
      <c r="DP34" s="832"/>
      <c r="DQ34" s="832"/>
      <c r="DR34" s="832"/>
      <c r="DS34" s="832"/>
      <c r="DT34" s="832"/>
      <c r="DU34" s="832"/>
      <c r="DV34" s="832"/>
      <c r="DW34" s="832"/>
      <c r="DX34" s="832"/>
      <c r="DY34" s="832"/>
      <c r="DZ34" s="832"/>
      <c r="EA34" s="832"/>
      <c r="EB34" s="832"/>
      <c r="EC34" s="832"/>
      <c r="ED34" s="832"/>
      <c r="EE34" s="832"/>
      <c r="EF34" s="832"/>
      <c r="EG34" s="832"/>
      <c r="EH34" s="832"/>
      <c r="EI34" s="832"/>
      <c r="EJ34" s="832"/>
      <c r="EK34" s="832"/>
      <c r="EL34" s="832"/>
      <c r="EM34" s="832"/>
      <c r="EN34" s="832"/>
      <c r="EO34" s="832"/>
      <c r="EP34" s="832"/>
      <c r="EQ34" s="832"/>
      <c r="ER34" s="832"/>
      <c r="ES34" s="832"/>
      <c r="ET34" s="832"/>
      <c r="EU34" s="832"/>
      <c r="EV34" s="832"/>
      <c r="EW34" s="832"/>
      <c r="EX34" s="832"/>
      <c r="EY34" s="832"/>
      <c r="EZ34" s="832"/>
      <c r="FA34" s="832"/>
      <c r="FB34" s="832"/>
      <c r="FC34" s="832"/>
      <c r="FD34" s="832"/>
      <c r="FE34" s="832"/>
      <c r="FF34" s="832"/>
      <c r="FG34" s="832"/>
      <c r="FH34" s="832"/>
      <c r="FI34" s="832"/>
      <c r="FJ34" s="832"/>
      <c r="FK34" s="832"/>
      <c r="FL34" s="832"/>
      <c r="FM34" s="832"/>
      <c r="FN34" s="832"/>
      <c r="FO34" s="832"/>
      <c r="FP34" s="832"/>
      <c r="FQ34" s="832"/>
      <c r="FR34" s="832"/>
      <c r="FS34" s="832"/>
      <c r="FT34" s="832"/>
      <c r="FU34" s="832"/>
      <c r="FV34" s="832"/>
      <c r="FW34" s="832"/>
      <c r="FX34" s="832"/>
      <c r="FY34" s="832"/>
      <c r="FZ34" s="832"/>
      <c r="GA34" s="832"/>
      <c r="GB34" s="832"/>
      <c r="GC34" s="832"/>
      <c r="GD34" s="832"/>
      <c r="GE34" s="832"/>
      <c r="GF34" s="832"/>
      <c r="GG34" s="832"/>
      <c r="GH34" s="832"/>
      <c r="GI34" s="832"/>
      <c r="GJ34" s="832"/>
      <c r="GK34" s="832"/>
      <c r="GL34" s="832"/>
      <c r="GM34" s="832"/>
      <c r="GN34" s="832"/>
      <c r="GO34" s="832"/>
      <c r="GP34" s="832"/>
      <c r="GQ34" s="832"/>
      <c r="GR34" s="832"/>
      <c r="GS34" s="832"/>
      <c r="GT34" s="832"/>
      <c r="GU34" s="832"/>
      <c r="GV34" s="832"/>
      <c r="GW34" s="832"/>
    </row>
    <row r="35" spans="1:205" s="3" customFormat="1" ht="16.5" thickBot="1" x14ac:dyDescent="0.3">
      <c r="A35" s="244" t="s">
        <v>248</v>
      </c>
      <c r="B35" s="245"/>
      <c r="C35" s="146" t="s">
        <v>249</v>
      </c>
      <c r="D35" s="656">
        <f>SUM(D21:D34)</f>
        <v>213800</v>
      </c>
      <c r="E35" s="656">
        <f>SUM(E21:E34)</f>
        <v>176446</v>
      </c>
      <c r="F35" s="657">
        <f>IF(SUM(F21:F34)&gt;0,SUM(F21:F34),"")</f>
        <v>19.870999999999999</v>
      </c>
      <c r="I35" s="832"/>
      <c r="J35" s="832"/>
      <c r="K35" s="832"/>
      <c r="L35" s="832"/>
      <c r="M35" s="832"/>
      <c r="N35" s="832"/>
      <c r="O35" s="832"/>
      <c r="P35" s="832"/>
      <c r="Q35" s="832"/>
      <c r="R35" s="832"/>
      <c r="S35" s="832"/>
      <c r="T35" s="832"/>
      <c r="U35" s="832"/>
      <c r="V35" s="832"/>
      <c r="W35" s="832"/>
      <c r="X35" s="832"/>
      <c r="Y35" s="832"/>
      <c r="Z35" s="832"/>
      <c r="AA35" s="832"/>
      <c r="AB35" s="832"/>
      <c r="AC35" s="832"/>
      <c r="AD35" s="832"/>
      <c r="AE35" s="832"/>
      <c r="AF35" s="832"/>
      <c r="AG35" s="832"/>
      <c r="AH35" s="832"/>
      <c r="AI35" s="832"/>
      <c r="AJ35" s="832"/>
      <c r="AK35" s="832"/>
      <c r="AL35" s="832"/>
      <c r="AM35" s="832"/>
      <c r="AN35" s="832"/>
      <c r="AO35" s="832"/>
      <c r="AP35" s="832"/>
      <c r="AQ35" s="832"/>
      <c r="AR35" s="832"/>
      <c r="AS35" s="832"/>
      <c r="AT35" s="832"/>
      <c r="AU35" s="832"/>
      <c r="AV35" s="832"/>
      <c r="AW35" s="832"/>
      <c r="AX35" s="832"/>
      <c r="AY35" s="832"/>
      <c r="AZ35" s="832"/>
      <c r="BA35" s="832"/>
      <c r="BB35" s="832"/>
      <c r="BC35" s="832"/>
      <c r="BD35" s="832"/>
      <c r="BE35" s="832"/>
      <c r="BF35" s="832"/>
      <c r="BG35" s="832"/>
      <c r="BH35" s="832"/>
      <c r="BI35" s="832"/>
      <c r="BJ35" s="832"/>
      <c r="BK35" s="832"/>
      <c r="BL35" s="832"/>
      <c r="BM35" s="832"/>
      <c r="BN35" s="832"/>
      <c r="BO35" s="832"/>
      <c r="BP35" s="832"/>
      <c r="BQ35" s="832"/>
      <c r="BR35" s="832"/>
      <c r="BS35" s="832"/>
      <c r="BT35" s="832"/>
      <c r="BU35" s="832"/>
      <c r="BV35" s="832"/>
      <c r="BW35" s="832"/>
      <c r="BX35" s="832"/>
      <c r="BY35" s="832"/>
      <c r="BZ35" s="832"/>
      <c r="CA35" s="832"/>
      <c r="CB35" s="832"/>
      <c r="CC35" s="832"/>
      <c r="CD35" s="832"/>
      <c r="CE35" s="832"/>
      <c r="CF35" s="832"/>
      <c r="CG35" s="832"/>
      <c r="CH35" s="832"/>
      <c r="CI35" s="832"/>
      <c r="CJ35" s="832"/>
      <c r="CK35" s="832"/>
      <c r="CL35" s="832"/>
      <c r="CM35" s="832"/>
      <c r="CN35" s="832"/>
      <c r="CO35" s="832"/>
      <c r="CP35" s="832"/>
      <c r="CQ35" s="832"/>
      <c r="CR35" s="832"/>
      <c r="CS35" s="832"/>
      <c r="CT35" s="832"/>
      <c r="CU35" s="832"/>
      <c r="CV35" s="832"/>
      <c r="CW35" s="832"/>
      <c r="CX35" s="832"/>
      <c r="CY35" s="832"/>
      <c r="CZ35" s="832"/>
      <c r="DA35" s="832"/>
      <c r="DB35" s="832"/>
      <c r="DC35" s="832"/>
      <c r="DD35" s="832"/>
      <c r="DE35" s="832"/>
      <c r="DF35" s="832"/>
      <c r="DG35" s="832"/>
      <c r="DH35" s="832"/>
      <c r="DI35" s="832"/>
      <c r="DJ35" s="832"/>
      <c r="DK35" s="832"/>
      <c r="DL35" s="832"/>
      <c r="DM35" s="832"/>
      <c r="DN35" s="832"/>
      <c r="DO35" s="832"/>
      <c r="DP35" s="832"/>
      <c r="DQ35" s="832"/>
      <c r="DR35" s="832"/>
      <c r="DS35" s="832"/>
      <c r="DT35" s="832"/>
      <c r="DU35" s="832"/>
      <c r="DV35" s="832"/>
      <c r="DW35" s="832"/>
      <c r="DX35" s="832"/>
      <c r="DY35" s="832"/>
      <c r="DZ35" s="832"/>
      <c r="EA35" s="832"/>
      <c r="EB35" s="832"/>
      <c r="EC35" s="832"/>
      <c r="ED35" s="832"/>
      <c r="EE35" s="832"/>
      <c r="EF35" s="832"/>
      <c r="EG35" s="832"/>
      <c r="EH35" s="832"/>
      <c r="EI35" s="832"/>
      <c r="EJ35" s="832"/>
      <c r="EK35" s="832"/>
      <c r="EL35" s="832"/>
      <c r="EM35" s="832"/>
      <c r="EN35" s="832"/>
      <c r="EO35" s="832"/>
      <c r="EP35" s="832"/>
      <c r="EQ35" s="832"/>
      <c r="ER35" s="832"/>
      <c r="ES35" s="832"/>
      <c r="ET35" s="832"/>
      <c r="EU35" s="832"/>
      <c r="EV35" s="832"/>
      <c r="EW35" s="832"/>
      <c r="EX35" s="832"/>
      <c r="EY35" s="832"/>
      <c r="EZ35" s="832"/>
      <c r="FA35" s="832"/>
      <c r="FB35" s="832"/>
      <c r="FC35" s="832"/>
      <c r="FD35" s="832"/>
      <c r="FE35" s="832"/>
      <c r="FF35" s="832"/>
      <c r="FG35" s="832"/>
      <c r="FH35" s="832"/>
      <c r="FI35" s="832"/>
      <c r="FJ35" s="832"/>
      <c r="FK35" s="832"/>
      <c r="FL35" s="832"/>
      <c r="FM35" s="832"/>
      <c r="FN35" s="832"/>
      <c r="FO35" s="832"/>
      <c r="FP35" s="832"/>
      <c r="FQ35" s="832"/>
      <c r="FR35" s="832"/>
      <c r="FS35" s="832"/>
      <c r="FT35" s="832"/>
      <c r="FU35" s="832"/>
      <c r="FV35" s="832"/>
      <c r="FW35" s="832"/>
      <c r="FX35" s="832"/>
      <c r="FY35" s="832"/>
      <c r="FZ35" s="832"/>
      <c r="GA35" s="832"/>
      <c r="GB35" s="832"/>
      <c r="GC35" s="832"/>
      <c r="GD35" s="832"/>
      <c r="GE35" s="832"/>
      <c r="GF35" s="832"/>
      <c r="GG35" s="832"/>
      <c r="GH35" s="832"/>
      <c r="GI35" s="832"/>
      <c r="GJ35" s="832"/>
      <c r="GK35" s="832"/>
      <c r="GL35" s="832"/>
      <c r="GM35" s="832"/>
      <c r="GN35" s="832"/>
      <c r="GO35" s="832"/>
      <c r="GP35" s="832"/>
      <c r="GQ35" s="832"/>
      <c r="GR35" s="832"/>
      <c r="GS35" s="832"/>
      <c r="GT35" s="832"/>
      <c r="GU35" s="832"/>
      <c r="GV35" s="832"/>
      <c r="GW35" s="832"/>
    </row>
    <row r="36" spans="1:205" s="3" customFormat="1" ht="16.5" thickTop="1" x14ac:dyDescent="0.25">
      <c r="A36" s="16" t="s">
        <v>134</v>
      </c>
      <c r="B36" s="237"/>
      <c r="C36" s="242">
        <f>summ!D49</f>
        <v>0</v>
      </c>
      <c r="I36" s="832"/>
      <c r="J36" s="832"/>
      <c r="K36" s="832"/>
      <c r="L36" s="832"/>
      <c r="M36" s="832"/>
      <c r="N36" s="832"/>
      <c r="O36" s="832"/>
      <c r="P36" s="832"/>
      <c r="Q36" s="832"/>
      <c r="R36" s="832"/>
      <c r="S36" s="832"/>
      <c r="T36" s="832"/>
      <c r="U36" s="832"/>
      <c r="V36" s="832"/>
      <c r="W36" s="832"/>
      <c r="X36" s="832"/>
      <c r="Y36" s="832"/>
      <c r="Z36" s="832"/>
      <c r="AA36" s="832"/>
      <c r="AB36" s="832"/>
      <c r="AC36" s="832"/>
      <c r="AD36" s="832"/>
      <c r="AE36" s="832"/>
      <c r="AF36" s="832"/>
      <c r="AG36" s="832"/>
      <c r="AH36" s="832"/>
      <c r="AI36" s="832"/>
      <c r="AJ36" s="832"/>
      <c r="AK36" s="832"/>
      <c r="AL36" s="832"/>
      <c r="AM36" s="832"/>
      <c r="AN36" s="832"/>
      <c r="AO36" s="832"/>
      <c r="AP36" s="832"/>
      <c r="AQ36" s="832"/>
      <c r="AR36" s="832"/>
      <c r="AS36" s="832"/>
      <c r="AT36" s="832"/>
      <c r="AU36" s="832"/>
      <c r="AV36" s="832"/>
      <c r="AW36" s="832"/>
      <c r="AX36" s="832"/>
      <c r="AY36" s="832"/>
      <c r="AZ36" s="832"/>
      <c r="BA36" s="832"/>
      <c r="BB36" s="832"/>
      <c r="BC36" s="832"/>
      <c r="BD36" s="832"/>
      <c r="BE36" s="832"/>
      <c r="BF36" s="832"/>
      <c r="BG36" s="832"/>
      <c r="BH36" s="832"/>
      <c r="BI36" s="832"/>
      <c r="BJ36" s="832"/>
      <c r="BK36" s="832"/>
      <c r="BL36" s="832"/>
      <c r="BM36" s="832"/>
      <c r="BN36" s="832"/>
      <c r="BO36" s="832"/>
      <c r="BP36" s="832"/>
      <c r="BQ36" s="832"/>
      <c r="BR36" s="832"/>
      <c r="BS36" s="832"/>
      <c r="BT36" s="832"/>
      <c r="BU36" s="832"/>
      <c r="BV36" s="832"/>
      <c r="BW36" s="832"/>
      <c r="BX36" s="832"/>
      <c r="BY36" s="832"/>
      <c r="BZ36" s="832"/>
      <c r="CA36" s="832"/>
      <c r="CB36" s="832"/>
      <c r="CC36" s="832"/>
      <c r="CD36" s="832"/>
      <c r="CE36" s="832"/>
      <c r="CF36" s="832"/>
      <c r="CG36" s="832"/>
      <c r="CH36" s="832"/>
      <c r="CI36" s="832"/>
      <c r="CJ36" s="832"/>
      <c r="CK36" s="832"/>
      <c r="CL36" s="832"/>
      <c r="CM36" s="832"/>
      <c r="CN36" s="832"/>
      <c r="CO36" s="832"/>
      <c r="CP36" s="832"/>
      <c r="CQ36" s="832"/>
      <c r="CR36" s="832"/>
      <c r="CS36" s="832"/>
      <c r="CT36" s="832"/>
      <c r="CU36" s="832"/>
      <c r="CV36" s="832"/>
      <c r="CW36" s="832"/>
      <c r="CX36" s="832"/>
      <c r="CY36" s="832"/>
      <c r="CZ36" s="832"/>
      <c r="DA36" s="832"/>
      <c r="DB36" s="832"/>
      <c r="DC36" s="832"/>
      <c r="DD36" s="832"/>
      <c r="DE36" s="832"/>
      <c r="DF36" s="832"/>
      <c r="DG36" s="832"/>
      <c r="DH36" s="832"/>
      <c r="DI36" s="832"/>
      <c r="DJ36" s="832"/>
      <c r="DK36" s="832"/>
      <c r="DL36" s="832"/>
      <c r="DM36" s="832"/>
      <c r="DN36" s="832"/>
      <c r="DO36" s="832"/>
      <c r="DP36" s="832"/>
      <c r="DQ36" s="832"/>
      <c r="DR36" s="832"/>
      <c r="DS36" s="832"/>
      <c r="DT36" s="832"/>
      <c r="DU36" s="832"/>
      <c r="DV36" s="832"/>
      <c r="DW36" s="832"/>
      <c r="DX36" s="832"/>
      <c r="DY36" s="832"/>
      <c r="DZ36" s="832"/>
      <c r="EA36" s="832"/>
      <c r="EB36" s="832"/>
      <c r="EC36" s="832"/>
      <c r="ED36" s="832"/>
      <c r="EE36" s="832"/>
      <c r="EF36" s="832"/>
      <c r="EG36" s="832"/>
      <c r="EH36" s="832"/>
      <c r="EI36" s="832"/>
      <c r="EJ36" s="832"/>
      <c r="EK36" s="832"/>
      <c r="EL36" s="832"/>
      <c r="EM36" s="832"/>
      <c r="EN36" s="832"/>
      <c r="EO36" s="832"/>
      <c r="EP36" s="832"/>
      <c r="EQ36" s="832"/>
      <c r="ER36" s="832"/>
      <c r="ES36" s="832"/>
      <c r="ET36" s="832"/>
      <c r="EU36" s="832"/>
      <c r="EV36" s="832"/>
      <c r="EW36" s="832"/>
      <c r="EX36" s="832"/>
      <c r="EY36" s="832"/>
      <c r="EZ36" s="832"/>
      <c r="FA36" s="832"/>
      <c r="FB36" s="832"/>
      <c r="FC36" s="832"/>
      <c r="FD36" s="832"/>
      <c r="FE36" s="832"/>
      <c r="FF36" s="832"/>
      <c r="FG36" s="832"/>
      <c r="FH36" s="832"/>
      <c r="FI36" s="832"/>
      <c r="FJ36" s="832"/>
      <c r="FK36" s="832"/>
      <c r="FL36" s="832"/>
      <c r="FM36" s="832"/>
      <c r="FN36" s="832"/>
      <c r="FO36" s="832"/>
      <c r="FP36" s="832"/>
      <c r="FQ36" s="832"/>
      <c r="FR36" s="832"/>
      <c r="FS36" s="832"/>
      <c r="FT36" s="832"/>
      <c r="FU36" s="832"/>
      <c r="FV36" s="832"/>
      <c r="FW36" s="832"/>
      <c r="FX36" s="832"/>
      <c r="FY36" s="832"/>
      <c r="FZ36" s="832"/>
      <c r="GA36" s="832"/>
      <c r="GB36" s="832"/>
      <c r="GC36" s="832"/>
      <c r="GD36" s="832"/>
      <c r="GE36" s="832"/>
      <c r="GF36" s="832"/>
      <c r="GG36" s="832"/>
      <c r="GH36" s="832"/>
      <c r="GI36" s="832"/>
      <c r="GJ36" s="832"/>
      <c r="GK36" s="832"/>
      <c r="GL36" s="832"/>
      <c r="GM36" s="832"/>
      <c r="GN36" s="832"/>
      <c r="GO36" s="832"/>
      <c r="GP36" s="832"/>
      <c r="GQ36" s="832"/>
      <c r="GR36" s="832"/>
      <c r="GS36" s="832"/>
      <c r="GT36" s="832"/>
      <c r="GU36" s="832"/>
      <c r="GV36" s="832"/>
      <c r="GW36" s="832"/>
    </row>
    <row r="37" spans="1:205" s="3" customFormat="1" x14ac:dyDescent="0.25">
      <c r="A37" s="692" t="s">
        <v>178</v>
      </c>
      <c r="B37" s="234"/>
      <c r="C37" s="691" t="str">
        <f>IF(nhood!C38&gt;0,nhood!C38,"")</f>
        <v/>
      </c>
      <c r="D37" s="874" t="s">
        <v>822</v>
      </c>
      <c r="E37" s="875"/>
      <c r="F37" s="758" t="str">
        <f>IF(E35&gt;1000,IF(E35&gt;computation!J41,"Yes","No"),"No")</f>
        <v>Yes</v>
      </c>
      <c r="I37" s="832"/>
      <c r="J37" s="832"/>
      <c r="K37" s="832"/>
      <c r="L37" s="832"/>
      <c r="M37" s="832"/>
      <c r="N37" s="832"/>
      <c r="O37" s="832"/>
      <c r="P37" s="832"/>
      <c r="Q37" s="832"/>
      <c r="R37" s="832"/>
      <c r="S37" s="832"/>
      <c r="T37" s="832"/>
      <c r="U37" s="832"/>
      <c r="V37" s="832"/>
      <c r="W37" s="832"/>
      <c r="X37" s="832"/>
      <c r="Y37" s="832"/>
      <c r="Z37" s="832"/>
      <c r="AA37" s="832"/>
      <c r="AB37" s="832"/>
      <c r="AC37" s="832"/>
      <c r="AD37" s="832"/>
      <c r="AE37" s="832"/>
      <c r="AF37" s="832"/>
      <c r="AG37" s="832"/>
      <c r="AH37" s="832"/>
      <c r="AI37" s="832"/>
      <c r="AJ37" s="832"/>
      <c r="AK37" s="832"/>
      <c r="AL37" s="832"/>
      <c r="AM37" s="832"/>
      <c r="AN37" s="832"/>
      <c r="AO37" s="832"/>
      <c r="AP37" s="832"/>
      <c r="AQ37" s="832"/>
      <c r="AR37" s="832"/>
      <c r="AS37" s="832"/>
      <c r="AT37" s="832"/>
      <c r="AU37" s="832"/>
      <c r="AV37" s="832"/>
      <c r="AW37" s="832"/>
      <c r="AX37" s="832"/>
      <c r="AY37" s="832"/>
      <c r="AZ37" s="832"/>
      <c r="BA37" s="832"/>
      <c r="BB37" s="832"/>
      <c r="BC37" s="832"/>
      <c r="BD37" s="832"/>
      <c r="BE37" s="832"/>
      <c r="BF37" s="832"/>
      <c r="BG37" s="832"/>
      <c r="BH37" s="832"/>
      <c r="BI37" s="832"/>
      <c r="BJ37" s="832"/>
      <c r="BK37" s="832"/>
      <c r="BL37" s="832"/>
      <c r="BM37" s="832"/>
      <c r="BN37" s="832"/>
      <c r="BO37" s="832"/>
      <c r="BP37" s="832"/>
      <c r="BQ37" s="832"/>
      <c r="BR37" s="832"/>
      <c r="BS37" s="832"/>
      <c r="BT37" s="832"/>
      <c r="BU37" s="832"/>
      <c r="BV37" s="832"/>
      <c r="BW37" s="832"/>
      <c r="BX37" s="832"/>
      <c r="BY37" s="832"/>
      <c r="BZ37" s="832"/>
      <c r="CA37" s="832"/>
      <c r="CB37" s="832"/>
      <c r="CC37" s="832"/>
      <c r="CD37" s="832"/>
      <c r="CE37" s="832"/>
      <c r="CF37" s="832"/>
      <c r="CG37" s="832"/>
      <c r="CH37" s="832"/>
      <c r="CI37" s="832"/>
      <c r="CJ37" s="832"/>
      <c r="CK37" s="832"/>
      <c r="CL37" s="832"/>
      <c r="CM37" s="832"/>
      <c r="CN37" s="832"/>
      <c r="CO37" s="832"/>
      <c r="CP37" s="832"/>
      <c r="CQ37" s="832"/>
      <c r="CR37" s="832"/>
      <c r="CS37" s="832"/>
      <c r="CT37" s="832"/>
      <c r="CU37" s="832"/>
      <c r="CV37" s="832"/>
      <c r="CW37" s="832"/>
      <c r="CX37" s="832"/>
      <c r="CY37" s="832"/>
      <c r="CZ37" s="832"/>
      <c r="DA37" s="832"/>
      <c r="DB37" s="832"/>
      <c r="DC37" s="832"/>
      <c r="DD37" s="832"/>
      <c r="DE37" s="832"/>
      <c r="DF37" s="832"/>
      <c r="DG37" s="832"/>
      <c r="DH37" s="832"/>
      <c r="DI37" s="832"/>
      <c r="DJ37" s="832"/>
      <c r="DK37" s="832"/>
      <c r="DL37" s="832"/>
      <c r="DM37" s="832"/>
      <c r="DN37" s="832"/>
      <c r="DO37" s="832"/>
      <c r="DP37" s="832"/>
      <c r="DQ37" s="832"/>
      <c r="DR37" s="832"/>
      <c r="DS37" s="832"/>
      <c r="DT37" s="832"/>
      <c r="DU37" s="832"/>
      <c r="DV37" s="832"/>
      <c r="DW37" s="832"/>
      <c r="DX37" s="832"/>
      <c r="DY37" s="832"/>
      <c r="DZ37" s="832"/>
      <c r="EA37" s="832"/>
      <c r="EB37" s="832"/>
      <c r="EC37" s="832"/>
      <c r="ED37" s="832"/>
      <c r="EE37" s="832"/>
      <c r="EF37" s="832"/>
      <c r="EG37" s="832"/>
      <c r="EH37" s="832"/>
      <c r="EI37" s="832"/>
      <c r="EJ37" s="832"/>
      <c r="EK37" s="832"/>
      <c r="EL37" s="832"/>
      <c r="EM37" s="832"/>
      <c r="EN37" s="832"/>
      <c r="EO37" s="832"/>
      <c r="EP37" s="832"/>
      <c r="EQ37" s="832"/>
      <c r="ER37" s="832"/>
      <c r="ES37" s="832"/>
      <c r="ET37" s="832"/>
      <c r="EU37" s="832"/>
      <c r="EV37" s="832"/>
      <c r="EW37" s="832"/>
      <c r="EX37" s="832"/>
      <c r="EY37" s="832"/>
      <c r="EZ37" s="832"/>
      <c r="FA37" s="832"/>
      <c r="FB37" s="832"/>
      <c r="FC37" s="832"/>
      <c r="FD37" s="832"/>
      <c r="FE37" s="832"/>
      <c r="FF37" s="832"/>
      <c r="FG37" s="832"/>
      <c r="FH37" s="832"/>
      <c r="FI37" s="832"/>
      <c r="FJ37" s="832"/>
      <c r="FK37" s="832"/>
      <c r="FL37" s="832"/>
      <c r="FM37" s="832"/>
      <c r="FN37" s="832"/>
      <c r="FO37" s="832"/>
      <c r="FP37" s="832"/>
      <c r="FQ37" s="832"/>
      <c r="FR37" s="832"/>
      <c r="FS37" s="832"/>
      <c r="FT37" s="832"/>
      <c r="FU37" s="832"/>
      <c r="FV37" s="832"/>
      <c r="FW37" s="832"/>
      <c r="FX37" s="832"/>
      <c r="FY37" s="832"/>
      <c r="FZ37" s="832"/>
      <c r="GA37" s="832"/>
      <c r="GB37" s="832"/>
      <c r="GC37" s="832"/>
      <c r="GD37" s="832"/>
      <c r="GE37" s="832"/>
      <c r="GF37" s="832"/>
      <c r="GG37" s="832"/>
      <c r="GH37" s="832"/>
      <c r="GI37" s="832"/>
      <c r="GJ37" s="832"/>
      <c r="GK37" s="832"/>
      <c r="GL37" s="832"/>
      <c r="GM37" s="832"/>
      <c r="GN37" s="832"/>
      <c r="GO37" s="832"/>
      <c r="GP37" s="832"/>
      <c r="GQ37" s="832"/>
      <c r="GR37" s="832"/>
      <c r="GS37" s="832"/>
      <c r="GT37" s="832"/>
      <c r="GU37" s="832"/>
      <c r="GV37" s="832"/>
      <c r="GW37" s="832"/>
    </row>
    <row r="38" spans="1:205" s="3" customFormat="1" x14ac:dyDescent="0.25">
      <c r="A38" s="262"/>
      <c r="B38" s="245"/>
      <c r="C38" s="690"/>
      <c r="D38" s="246"/>
      <c r="E38" s="247"/>
      <c r="I38" s="832"/>
      <c r="J38" s="832"/>
      <c r="K38" s="832"/>
      <c r="L38" s="832"/>
      <c r="M38" s="832"/>
      <c r="N38" s="832"/>
      <c r="O38" s="832"/>
      <c r="P38" s="832"/>
      <c r="Q38" s="832"/>
      <c r="R38" s="832"/>
      <c r="S38" s="832"/>
      <c r="T38" s="832"/>
      <c r="U38" s="832"/>
      <c r="V38" s="832"/>
      <c r="W38" s="832"/>
      <c r="X38" s="832"/>
      <c r="Y38" s="832"/>
      <c r="Z38" s="832"/>
      <c r="AA38" s="832"/>
      <c r="AB38" s="832"/>
      <c r="AC38" s="832"/>
      <c r="AD38" s="832"/>
      <c r="AE38" s="832"/>
      <c r="AF38" s="832"/>
      <c r="AG38" s="832"/>
      <c r="AH38" s="832"/>
      <c r="AI38" s="832"/>
      <c r="AJ38" s="832"/>
      <c r="AK38" s="832"/>
      <c r="AL38" s="832"/>
      <c r="AM38" s="832"/>
      <c r="AN38" s="832"/>
      <c r="AO38" s="832"/>
      <c r="AP38" s="832"/>
      <c r="AQ38" s="832"/>
      <c r="AR38" s="832"/>
      <c r="AS38" s="832"/>
      <c r="AT38" s="832"/>
      <c r="AU38" s="832"/>
      <c r="AV38" s="832"/>
      <c r="AW38" s="832"/>
      <c r="AX38" s="832"/>
      <c r="AY38" s="832"/>
      <c r="AZ38" s="832"/>
      <c r="BA38" s="832"/>
      <c r="BB38" s="832"/>
      <c r="BC38" s="832"/>
      <c r="BD38" s="832"/>
      <c r="BE38" s="832"/>
      <c r="BF38" s="832"/>
      <c r="BG38" s="832"/>
      <c r="BH38" s="832"/>
      <c r="BI38" s="832"/>
      <c r="BJ38" s="832"/>
      <c r="BK38" s="832"/>
      <c r="BL38" s="832"/>
      <c r="BM38" s="832"/>
      <c r="BN38" s="832"/>
      <c r="BO38" s="832"/>
      <c r="BP38" s="832"/>
      <c r="BQ38" s="832"/>
      <c r="BR38" s="832"/>
      <c r="BS38" s="832"/>
      <c r="BT38" s="832"/>
      <c r="BU38" s="832"/>
      <c r="BV38" s="832"/>
      <c r="BW38" s="832"/>
      <c r="BX38" s="832"/>
      <c r="BY38" s="832"/>
      <c r="BZ38" s="832"/>
      <c r="CA38" s="832"/>
      <c r="CB38" s="832"/>
      <c r="CC38" s="832"/>
      <c r="CD38" s="832"/>
      <c r="CE38" s="832"/>
      <c r="CF38" s="832"/>
      <c r="CG38" s="832"/>
      <c r="CH38" s="832"/>
      <c r="CI38" s="832"/>
      <c r="CJ38" s="832"/>
      <c r="CK38" s="832"/>
      <c r="CL38" s="832"/>
      <c r="CM38" s="832"/>
      <c r="CN38" s="832"/>
      <c r="CO38" s="832"/>
      <c r="CP38" s="832"/>
      <c r="CQ38" s="832"/>
      <c r="CR38" s="832"/>
      <c r="CS38" s="832"/>
      <c r="CT38" s="832"/>
      <c r="CU38" s="832"/>
      <c r="CV38" s="832"/>
      <c r="CW38" s="832"/>
      <c r="CX38" s="832"/>
      <c r="CY38" s="832"/>
      <c r="CZ38" s="832"/>
      <c r="DA38" s="832"/>
      <c r="DB38" s="832"/>
      <c r="DC38" s="832"/>
      <c r="DD38" s="832"/>
      <c r="DE38" s="832"/>
      <c r="DF38" s="832"/>
      <c r="DG38" s="832"/>
      <c r="DH38" s="832"/>
      <c r="DI38" s="832"/>
      <c r="DJ38" s="832"/>
      <c r="DK38" s="832"/>
      <c r="DL38" s="832"/>
      <c r="DM38" s="832"/>
      <c r="DN38" s="832"/>
      <c r="DO38" s="832"/>
      <c r="DP38" s="832"/>
      <c r="DQ38" s="832"/>
      <c r="DR38" s="832"/>
      <c r="DS38" s="832"/>
      <c r="DT38" s="832"/>
      <c r="DU38" s="832"/>
      <c r="DV38" s="832"/>
      <c r="DW38" s="832"/>
      <c r="DX38" s="832"/>
      <c r="DY38" s="832"/>
      <c r="DZ38" s="832"/>
      <c r="EA38" s="832"/>
      <c r="EB38" s="832"/>
      <c r="EC38" s="832"/>
      <c r="ED38" s="832"/>
      <c r="EE38" s="832"/>
      <c r="EF38" s="832"/>
      <c r="EG38" s="832"/>
      <c r="EH38" s="832"/>
      <c r="EI38" s="832"/>
      <c r="EJ38" s="832"/>
      <c r="EK38" s="832"/>
      <c r="EL38" s="832"/>
      <c r="EM38" s="832"/>
      <c r="EN38" s="832"/>
      <c r="EO38" s="832"/>
      <c r="EP38" s="832"/>
      <c r="EQ38" s="832"/>
      <c r="ER38" s="832"/>
      <c r="ES38" s="832"/>
      <c r="ET38" s="832"/>
      <c r="EU38" s="832"/>
      <c r="EV38" s="832"/>
      <c r="EW38" s="832"/>
      <c r="EX38" s="832"/>
      <c r="EY38" s="832"/>
      <c r="EZ38" s="832"/>
      <c r="FA38" s="832"/>
      <c r="FB38" s="832"/>
      <c r="FC38" s="832"/>
      <c r="FD38" s="832"/>
      <c r="FE38" s="832"/>
      <c r="FF38" s="832"/>
      <c r="FG38" s="832"/>
      <c r="FH38" s="832"/>
      <c r="FI38" s="832"/>
      <c r="FJ38" s="832"/>
      <c r="FK38" s="832"/>
      <c r="FL38" s="832"/>
      <c r="FM38" s="832"/>
      <c r="FN38" s="832"/>
      <c r="FO38" s="832"/>
      <c r="FP38" s="832"/>
      <c r="FQ38" s="832"/>
      <c r="FR38" s="832"/>
      <c r="FS38" s="832"/>
      <c r="FT38" s="832"/>
      <c r="FU38" s="832"/>
      <c r="FV38" s="832"/>
      <c r="FW38" s="832"/>
      <c r="FX38" s="832"/>
      <c r="FY38" s="832"/>
      <c r="FZ38" s="832"/>
      <c r="GA38" s="832"/>
      <c r="GB38" s="832"/>
      <c r="GC38" s="832"/>
      <c r="GD38" s="832"/>
      <c r="GE38" s="832"/>
      <c r="GF38" s="832"/>
      <c r="GG38" s="832"/>
      <c r="GH38" s="832"/>
      <c r="GI38" s="832"/>
      <c r="GJ38" s="832"/>
      <c r="GK38" s="832"/>
      <c r="GL38" s="832"/>
      <c r="GM38" s="832"/>
      <c r="GN38" s="832"/>
      <c r="GO38" s="832"/>
      <c r="GP38" s="832"/>
      <c r="GQ38" s="832"/>
      <c r="GR38" s="832"/>
      <c r="GS38" s="832"/>
      <c r="GT38" s="832"/>
      <c r="GU38" s="832"/>
      <c r="GV38" s="832"/>
      <c r="GW38" s="832"/>
    </row>
    <row r="39" spans="1:205" s="3" customFormat="1" x14ac:dyDescent="0.25">
      <c r="A39" s="53" t="s">
        <v>90</v>
      </c>
      <c r="B39" s="859" t="s">
        <v>108</v>
      </c>
      <c r="C39" s="860"/>
      <c r="D39" s="248"/>
      <c r="F39" s="11" t="s">
        <v>250</v>
      </c>
      <c r="I39" s="832"/>
      <c r="J39" s="832"/>
      <c r="K39" s="832"/>
      <c r="L39" s="832"/>
      <c r="M39" s="832"/>
      <c r="N39" s="832"/>
      <c r="O39" s="832"/>
      <c r="P39" s="832"/>
      <c r="Q39" s="832"/>
      <c r="R39" s="832"/>
      <c r="S39" s="832"/>
      <c r="T39" s="832"/>
      <c r="U39" s="832"/>
      <c r="V39" s="832"/>
      <c r="W39" s="832"/>
      <c r="X39" s="832"/>
      <c r="Y39" s="832"/>
      <c r="Z39" s="832"/>
      <c r="AA39" s="832"/>
      <c r="AB39" s="832"/>
      <c r="AC39" s="832"/>
      <c r="AD39" s="832"/>
      <c r="AE39" s="832"/>
      <c r="AF39" s="832"/>
      <c r="AG39" s="832"/>
      <c r="AH39" s="832"/>
      <c r="AI39" s="832"/>
      <c r="AJ39" s="832"/>
      <c r="AK39" s="832"/>
      <c r="AL39" s="832"/>
      <c r="AM39" s="832"/>
      <c r="AN39" s="832"/>
      <c r="AO39" s="832"/>
      <c r="AP39" s="832"/>
      <c r="AQ39" s="832"/>
      <c r="AR39" s="832"/>
      <c r="AS39" s="832"/>
      <c r="AT39" s="832"/>
      <c r="AU39" s="832"/>
      <c r="AV39" s="832"/>
      <c r="AW39" s="832"/>
      <c r="AX39" s="832"/>
      <c r="AY39" s="832"/>
      <c r="AZ39" s="832"/>
      <c r="BA39" s="832"/>
      <c r="BB39" s="832"/>
      <c r="BC39" s="832"/>
      <c r="BD39" s="832"/>
      <c r="BE39" s="832"/>
      <c r="BF39" s="832"/>
      <c r="BG39" s="832"/>
      <c r="BH39" s="832"/>
      <c r="BI39" s="832"/>
      <c r="BJ39" s="832"/>
      <c r="BK39" s="832"/>
      <c r="BL39" s="832"/>
      <c r="BM39" s="832"/>
      <c r="BN39" s="832"/>
      <c r="BO39" s="832"/>
      <c r="BP39" s="832"/>
      <c r="BQ39" s="832"/>
      <c r="BR39" s="832"/>
      <c r="BS39" s="832"/>
      <c r="BT39" s="832"/>
      <c r="BU39" s="832"/>
      <c r="BV39" s="832"/>
      <c r="BW39" s="832"/>
      <c r="BX39" s="832"/>
      <c r="BY39" s="832"/>
      <c r="BZ39" s="832"/>
      <c r="CA39" s="832"/>
      <c r="CB39" s="832"/>
      <c r="CC39" s="832"/>
      <c r="CD39" s="832"/>
      <c r="CE39" s="832"/>
      <c r="CF39" s="832"/>
      <c r="CG39" s="832"/>
      <c r="CH39" s="832"/>
      <c r="CI39" s="832"/>
      <c r="CJ39" s="832"/>
      <c r="CK39" s="832"/>
      <c r="CL39" s="832"/>
      <c r="CM39" s="832"/>
      <c r="CN39" s="832"/>
      <c r="CO39" s="832"/>
      <c r="CP39" s="832"/>
      <c r="CQ39" s="832"/>
      <c r="CR39" s="832"/>
      <c r="CS39" s="832"/>
      <c r="CT39" s="832"/>
      <c r="CU39" s="832"/>
      <c r="CV39" s="832"/>
      <c r="CW39" s="832"/>
      <c r="CX39" s="832"/>
      <c r="CY39" s="832"/>
      <c r="CZ39" s="832"/>
      <c r="DA39" s="832"/>
      <c r="DB39" s="832"/>
      <c r="DC39" s="832"/>
      <c r="DD39" s="832"/>
      <c r="DE39" s="832"/>
      <c r="DF39" s="832"/>
      <c r="DG39" s="832"/>
      <c r="DH39" s="832"/>
      <c r="DI39" s="832"/>
      <c r="DJ39" s="832"/>
      <c r="DK39" s="832"/>
      <c r="DL39" s="832"/>
      <c r="DM39" s="832"/>
      <c r="DN39" s="832"/>
      <c r="DO39" s="832"/>
      <c r="DP39" s="832"/>
      <c r="DQ39" s="832"/>
      <c r="DR39" s="832"/>
      <c r="DS39" s="832"/>
      <c r="DT39" s="832"/>
      <c r="DU39" s="832"/>
      <c r="DV39" s="832"/>
      <c r="DW39" s="832"/>
      <c r="DX39" s="832"/>
      <c r="DY39" s="832"/>
      <c r="DZ39" s="832"/>
      <c r="EA39" s="832"/>
      <c r="EB39" s="832"/>
      <c r="EC39" s="832"/>
      <c r="ED39" s="832"/>
      <c r="EE39" s="832"/>
      <c r="EF39" s="832"/>
      <c r="EG39" s="832"/>
      <c r="EH39" s="832"/>
      <c r="EI39" s="832"/>
      <c r="EJ39" s="832"/>
      <c r="EK39" s="832"/>
      <c r="EL39" s="832"/>
      <c r="EM39" s="832"/>
      <c r="EN39" s="832"/>
      <c r="EO39" s="832"/>
      <c r="EP39" s="832"/>
      <c r="EQ39" s="832"/>
      <c r="ER39" s="832"/>
      <c r="ES39" s="832"/>
      <c r="ET39" s="832"/>
      <c r="EU39" s="832"/>
      <c r="EV39" s="832"/>
      <c r="EW39" s="832"/>
      <c r="EX39" s="832"/>
      <c r="EY39" s="832"/>
      <c r="EZ39" s="832"/>
      <c r="FA39" s="832"/>
      <c r="FB39" s="832"/>
      <c r="FC39" s="832"/>
      <c r="FD39" s="832"/>
      <c r="FE39" s="832"/>
      <c r="FF39" s="832"/>
      <c r="FG39" s="832"/>
      <c r="FH39" s="832"/>
      <c r="FI39" s="832"/>
      <c r="FJ39" s="832"/>
      <c r="FK39" s="832"/>
      <c r="FL39" s="832"/>
      <c r="FM39" s="832"/>
      <c r="FN39" s="832"/>
      <c r="FO39" s="832"/>
      <c r="FP39" s="832"/>
      <c r="FQ39" s="832"/>
      <c r="FR39" s="832"/>
      <c r="FS39" s="832"/>
      <c r="FT39" s="832"/>
      <c r="FU39" s="832"/>
      <c r="FV39" s="832"/>
      <c r="FW39" s="832"/>
      <c r="FX39" s="832"/>
      <c r="FY39" s="832"/>
      <c r="FZ39" s="832"/>
      <c r="GA39" s="832"/>
      <c r="GB39" s="832"/>
      <c r="GC39" s="832"/>
      <c r="GD39" s="832"/>
      <c r="GE39" s="832"/>
      <c r="GF39" s="832"/>
      <c r="GG39" s="832"/>
      <c r="GH39" s="832"/>
      <c r="GI39" s="832"/>
      <c r="GJ39" s="832"/>
      <c r="GK39" s="832"/>
      <c r="GL39" s="832"/>
      <c r="GM39" s="832"/>
      <c r="GN39" s="832"/>
      <c r="GO39" s="832"/>
      <c r="GP39" s="832"/>
      <c r="GQ39" s="832"/>
      <c r="GR39" s="832"/>
      <c r="GS39" s="832"/>
      <c r="GT39" s="832"/>
      <c r="GU39" s="832"/>
      <c r="GV39" s="832"/>
      <c r="GW39" s="832"/>
    </row>
    <row r="40" spans="1:205" s="3" customFormat="1" x14ac:dyDescent="0.25">
      <c r="A40" s="16" t="s">
        <v>91</v>
      </c>
      <c r="B40" s="861">
        <v>8879546</v>
      </c>
      <c r="C40" s="862"/>
      <c r="D40" s="249"/>
      <c r="F40" s="11"/>
      <c r="I40" s="832"/>
      <c r="J40" s="832"/>
      <c r="K40" s="832"/>
      <c r="L40" s="832"/>
      <c r="M40" s="832"/>
      <c r="N40" s="832"/>
      <c r="O40" s="832"/>
      <c r="P40" s="832"/>
      <c r="Q40" s="832"/>
      <c r="R40" s="832"/>
      <c r="S40" s="832"/>
      <c r="T40" s="832"/>
      <c r="U40" s="832"/>
      <c r="V40" s="832"/>
      <c r="W40" s="832"/>
      <c r="X40" s="832"/>
      <c r="Y40" s="832"/>
      <c r="Z40" s="832"/>
      <c r="AA40" s="832"/>
      <c r="AB40" s="832"/>
      <c r="AC40" s="832"/>
      <c r="AD40" s="832"/>
      <c r="AE40" s="832"/>
      <c r="AF40" s="832"/>
      <c r="AG40" s="832"/>
      <c r="AH40" s="832"/>
      <c r="AI40" s="832"/>
      <c r="AJ40" s="832"/>
      <c r="AK40" s="832"/>
      <c r="AL40" s="832"/>
      <c r="AM40" s="832"/>
      <c r="AN40" s="832"/>
      <c r="AO40" s="832"/>
      <c r="AP40" s="832"/>
      <c r="AQ40" s="832"/>
      <c r="AR40" s="832"/>
      <c r="AS40" s="832"/>
      <c r="AT40" s="832"/>
      <c r="AU40" s="832"/>
      <c r="AV40" s="832"/>
      <c r="AW40" s="832"/>
      <c r="AX40" s="832"/>
      <c r="AY40" s="832"/>
      <c r="AZ40" s="832"/>
      <c r="BA40" s="832"/>
      <c r="BB40" s="832"/>
      <c r="BC40" s="832"/>
      <c r="BD40" s="832"/>
      <c r="BE40" s="832"/>
      <c r="BF40" s="832"/>
      <c r="BG40" s="832"/>
      <c r="BH40" s="832"/>
      <c r="BI40" s="832"/>
      <c r="BJ40" s="832"/>
      <c r="BK40" s="832"/>
      <c r="BL40" s="832"/>
      <c r="BM40" s="832"/>
      <c r="BN40" s="832"/>
      <c r="BO40" s="832"/>
      <c r="BP40" s="832"/>
      <c r="BQ40" s="832"/>
      <c r="BR40" s="832"/>
      <c r="BS40" s="832"/>
      <c r="BT40" s="832"/>
      <c r="BU40" s="832"/>
      <c r="BV40" s="832"/>
      <c r="BW40" s="832"/>
      <c r="BX40" s="832"/>
      <c r="BY40" s="832"/>
      <c r="BZ40" s="832"/>
      <c r="CA40" s="832"/>
      <c r="CB40" s="832"/>
      <c r="CC40" s="832"/>
      <c r="CD40" s="832"/>
      <c r="CE40" s="832"/>
      <c r="CF40" s="832"/>
      <c r="CG40" s="832"/>
      <c r="CH40" s="832"/>
      <c r="CI40" s="832"/>
      <c r="CJ40" s="832"/>
      <c r="CK40" s="832"/>
      <c r="CL40" s="832"/>
      <c r="CM40" s="832"/>
      <c r="CN40" s="832"/>
      <c r="CO40" s="832"/>
      <c r="CP40" s="832"/>
      <c r="CQ40" s="832"/>
      <c r="CR40" s="832"/>
      <c r="CS40" s="832"/>
      <c r="CT40" s="832"/>
      <c r="CU40" s="832"/>
      <c r="CV40" s="832"/>
      <c r="CW40" s="832"/>
      <c r="CX40" s="832"/>
      <c r="CY40" s="832"/>
      <c r="CZ40" s="832"/>
      <c r="DA40" s="832"/>
      <c r="DB40" s="832"/>
      <c r="DC40" s="832"/>
      <c r="DD40" s="832"/>
      <c r="DE40" s="832"/>
      <c r="DF40" s="832"/>
      <c r="DG40" s="832"/>
      <c r="DH40" s="832"/>
      <c r="DI40" s="832"/>
      <c r="DJ40" s="832"/>
      <c r="DK40" s="832"/>
      <c r="DL40" s="832"/>
      <c r="DM40" s="832"/>
      <c r="DN40" s="832"/>
      <c r="DO40" s="832"/>
      <c r="DP40" s="832"/>
      <c r="DQ40" s="832"/>
      <c r="DR40" s="832"/>
      <c r="DS40" s="832"/>
      <c r="DT40" s="832"/>
      <c r="DU40" s="832"/>
      <c r="DV40" s="832"/>
      <c r="DW40" s="832"/>
      <c r="DX40" s="832"/>
      <c r="DY40" s="832"/>
      <c r="DZ40" s="832"/>
      <c r="EA40" s="832"/>
      <c r="EB40" s="832"/>
      <c r="EC40" s="832"/>
      <c r="ED40" s="832"/>
      <c r="EE40" s="832"/>
      <c r="EF40" s="832"/>
      <c r="EG40" s="832"/>
      <c r="EH40" s="832"/>
      <c r="EI40" s="832"/>
      <c r="EJ40" s="832"/>
      <c r="EK40" s="832"/>
      <c r="EL40" s="832"/>
      <c r="EM40" s="832"/>
      <c r="EN40" s="832"/>
      <c r="EO40" s="832"/>
      <c r="EP40" s="832"/>
      <c r="EQ40" s="832"/>
      <c r="ER40" s="832"/>
      <c r="ES40" s="832"/>
      <c r="ET40" s="832"/>
      <c r="EU40" s="832"/>
      <c r="EV40" s="832"/>
      <c r="EW40" s="832"/>
      <c r="EX40" s="832"/>
      <c r="EY40" s="832"/>
      <c r="EZ40" s="832"/>
      <c r="FA40" s="832"/>
      <c r="FB40" s="832"/>
      <c r="FC40" s="832"/>
      <c r="FD40" s="832"/>
      <c r="FE40" s="832"/>
      <c r="FF40" s="832"/>
      <c r="FG40" s="832"/>
      <c r="FH40" s="832"/>
      <c r="FI40" s="832"/>
      <c r="FJ40" s="832"/>
      <c r="FK40" s="832"/>
      <c r="FL40" s="832"/>
      <c r="FM40" s="832"/>
      <c r="FN40" s="832"/>
      <c r="FO40" s="832"/>
      <c r="FP40" s="832"/>
      <c r="FQ40" s="832"/>
      <c r="FR40" s="832"/>
      <c r="FS40" s="832"/>
      <c r="FT40" s="832"/>
      <c r="FU40" s="832"/>
      <c r="FV40" s="832"/>
      <c r="FW40" s="832"/>
      <c r="FX40" s="832"/>
      <c r="FY40" s="832"/>
      <c r="FZ40" s="832"/>
      <c r="GA40" s="832"/>
      <c r="GB40" s="832"/>
      <c r="GC40" s="832"/>
      <c r="GD40" s="832"/>
      <c r="GE40" s="832"/>
      <c r="GF40" s="832"/>
      <c r="GG40" s="832"/>
      <c r="GH40" s="832"/>
      <c r="GI40" s="832"/>
      <c r="GJ40" s="832"/>
      <c r="GK40" s="832"/>
      <c r="GL40" s="832"/>
      <c r="GM40" s="832"/>
      <c r="GN40" s="832"/>
      <c r="GO40" s="832"/>
      <c r="GP40" s="832"/>
      <c r="GQ40" s="832"/>
      <c r="GR40" s="832"/>
      <c r="GS40" s="832"/>
      <c r="GT40" s="832"/>
      <c r="GU40" s="832"/>
      <c r="GV40" s="832"/>
      <c r="GW40" s="832"/>
    </row>
    <row r="41" spans="1:205" s="3" customFormat="1" x14ac:dyDescent="0.25">
      <c r="A41" s="250"/>
      <c r="B41" s="876" t="str">
        <f>CONCATENATE("Nov. 1, ",G1-1," Valuation")</f>
        <v>Nov. 1, 2019 Valuation</v>
      </c>
      <c r="C41" s="877"/>
      <c r="D41" s="248"/>
      <c r="F41" s="11"/>
      <c r="I41" s="832"/>
      <c r="J41" s="832"/>
      <c r="K41" s="832"/>
      <c r="L41" s="832"/>
      <c r="M41" s="832"/>
      <c r="N41" s="832"/>
      <c r="O41" s="832"/>
      <c r="P41" s="832"/>
      <c r="Q41" s="832"/>
      <c r="R41" s="832"/>
      <c r="S41" s="832"/>
      <c r="T41" s="832"/>
      <c r="U41" s="832"/>
      <c r="V41" s="832"/>
      <c r="W41" s="832"/>
      <c r="X41" s="832"/>
      <c r="Y41" s="832"/>
      <c r="Z41" s="832"/>
      <c r="AA41" s="832"/>
      <c r="AB41" s="832"/>
      <c r="AC41" s="832"/>
      <c r="AD41" s="832"/>
      <c r="AE41" s="832"/>
      <c r="AF41" s="832"/>
      <c r="AG41" s="832"/>
      <c r="AH41" s="832"/>
      <c r="AI41" s="832"/>
      <c r="AJ41" s="832"/>
      <c r="AK41" s="832"/>
      <c r="AL41" s="832"/>
      <c r="AM41" s="832"/>
      <c r="AN41" s="832"/>
      <c r="AO41" s="832"/>
      <c r="AP41" s="832"/>
      <c r="AQ41" s="832"/>
      <c r="AR41" s="832"/>
      <c r="AS41" s="832"/>
      <c r="AT41" s="832"/>
      <c r="AU41" s="832"/>
      <c r="AV41" s="832"/>
      <c r="AW41" s="832"/>
      <c r="AX41" s="832"/>
      <c r="AY41" s="832"/>
      <c r="AZ41" s="832"/>
      <c r="BA41" s="832"/>
      <c r="BB41" s="832"/>
      <c r="BC41" s="832"/>
      <c r="BD41" s="832"/>
      <c r="BE41" s="832"/>
      <c r="BF41" s="832"/>
      <c r="BG41" s="832"/>
      <c r="BH41" s="832"/>
      <c r="BI41" s="832"/>
      <c r="BJ41" s="832"/>
      <c r="BK41" s="832"/>
      <c r="BL41" s="832"/>
      <c r="BM41" s="832"/>
      <c r="BN41" s="832"/>
      <c r="BO41" s="832"/>
      <c r="BP41" s="832"/>
      <c r="BQ41" s="832"/>
      <c r="BR41" s="832"/>
      <c r="BS41" s="832"/>
      <c r="BT41" s="832"/>
      <c r="BU41" s="832"/>
      <c r="BV41" s="832"/>
      <c r="BW41" s="832"/>
      <c r="BX41" s="832"/>
      <c r="BY41" s="832"/>
      <c r="BZ41" s="832"/>
      <c r="CA41" s="832"/>
      <c r="CB41" s="832"/>
      <c r="CC41" s="832"/>
      <c r="CD41" s="832"/>
      <c r="CE41" s="832"/>
      <c r="CF41" s="832"/>
      <c r="CG41" s="832"/>
      <c r="CH41" s="832"/>
      <c r="CI41" s="832"/>
      <c r="CJ41" s="832"/>
      <c r="CK41" s="832"/>
      <c r="CL41" s="832"/>
      <c r="CM41" s="832"/>
      <c r="CN41" s="832"/>
      <c r="CO41" s="832"/>
      <c r="CP41" s="832"/>
      <c r="CQ41" s="832"/>
      <c r="CR41" s="832"/>
      <c r="CS41" s="832"/>
      <c r="CT41" s="832"/>
      <c r="CU41" s="832"/>
      <c r="CV41" s="832"/>
      <c r="CW41" s="832"/>
      <c r="CX41" s="832"/>
      <c r="CY41" s="832"/>
      <c r="CZ41" s="832"/>
      <c r="DA41" s="832"/>
      <c r="DB41" s="832"/>
      <c r="DC41" s="832"/>
      <c r="DD41" s="832"/>
      <c r="DE41" s="832"/>
      <c r="DF41" s="832"/>
      <c r="DG41" s="832"/>
      <c r="DH41" s="832"/>
      <c r="DI41" s="832"/>
      <c r="DJ41" s="832"/>
      <c r="DK41" s="832"/>
      <c r="DL41" s="832"/>
      <c r="DM41" s="832"/>
      <c r="DN41" s="832"/>
      <c r="DO41" s="832"/>
      <c r="DP41" s="832"/>
      <c r="DQ41" s="832"/>
      <c r="DR41" s="832"/>
      <c r="DS41" s="832"/>
      <c r="DT41" s="832"/>
      <c r="DU41" s="832"/>
      <c r="DV41" s="832"/>
      <c r="DW41" s="832"/>
      <c r="DX41" s="832"/>
      <c r="DY41" s="832"/>
      <c r="DZ41" s="832"/>
      <c r="EA41" s="832"/>
      <c r="EB41" s="832"/>
      <c r="EC41" s="832"/>
      <c r="ED41" s="832"/>
      <c r="EE41" s="832"/>
      <c r="EF41" s="832"/>
      <c r="EG41" s="832"/>
      <c r="EH41" s="832"/>
      <c r="EI41" s="832"/>
      <c r="EJ41" s="832"/>
      <c r="EK41" s="832"/>
      <c r="EL41" s="832"/>
      <c r="EM41" s="832"/>
      <c r="EN41" s="832"/>
      <c r="EO41" s="832"/>
      <c r="EP41" s="832"/>
      <c r="EQ41" s="832"/>
      <c r="ER41" s="832"/>
      <c r="ES41" s="832"/>
      <c r="ET41" s="832"/>
      <c r="EU41" s="832"/>
      <c r="EV41" s="832"/>
      <c r="EW41" s="832"/>
      <c r="EX41" s="832"/>
      <c r="EY41" s="832"/>
      <c r="EZ41" s="832"/>
      <c r="FA41" s="832"/>
      <c r="FB41" s="832"/>
      <c r="FC41" s="832"/>
      <c r="FD41" s="832"/>
      <c r="FE41" s="832"/>
      <c r="FF41" s="832"/>
      <c r="FG41" s="832"/>
      <c r="FH41" s="832"/>
      <c r="FI41" s="832"/>
      <c r="FJ41" s="832"/>
      <c r="FK41" s="832"/>
      <c r="FL41" s="832"/>
      <c r="FM41" s="832"/>
      <c r="FN41" s="832"/>
      <c r="FO41" s="832"/>
      <c r="FP41" s="832"/>
      <c r="FQ41" s="832"/>
      <c r="FR41" s="832"/>
      <c r="FS41" s="832"/>
      <c r="FT41" s="832"/>
      <c r="FU41" s="832"/>
      <c r="FV41" s="832"/>
      <c r="FW41" s="832"/>
      <c r="FX41" s="832"/>
      <c r="FY41" s="832"/>
      <c r="FZ41" s="832"/>
      <c r="GA41" s="832"/>
      <c r="GB41" s="832"/>
      <c r="GC41" s="832"/>
      <c r="GD41" s="832"/>
      <c r="GE41" s="832"/>
      <c r="GF41" s="832"/>
      <c r="GG41" s="832"/>
      <c r="GH41" s="832"/>
      <c r="GI41" s="832"/>
      <c r="GJ41" s="832"/>
      <c r="GK41" s="832"/>
      <c r="GL41" s="832"/>
      <c r="GM41" s="832"/>
      <c r="GN41" s="832"/>
      <c r="GO41" s="832"/>
      <c r="GP41" s="832"/>
      <c r="GQ41" s="832"/>
      <c r="GR41" s="832"/>
      <c r="GS41" s="832"/>
      <c r="GT41" s="832"/>
      <c r="GU41" s="832"/>
      <c r="GV41" s="832"/>
      <c r="GW41" s="832"/>
    </row>
    <row r="42" spans="1:205" s="3" customFormat="1" x14ac:dyDescent="0.25">
      <c r="A42" s="250" t="s">
        <v>251</v>
      </c>
      <c r="D42" s="8"/>
      <c r="F42" s="11"/>
      <c r="I42" s="832"/>
      <c r="J42" s="832"/>
      <c r="K42" s="832"/>
      <c r="L42" s="832"/>
      <c r="M42" s="832"/>
      <c r="N42" s="832"/>
      <c r="O42" s="832"/>
      <c r="P42" s="832"/>
      <c r="Q42" s="832"/>
      <c r="R42" s="832"/>
      <c r="S42" s="832"/>
      <c r="T42" s="832"/>
      <c r="U42" s="832"/>
      <c r="V42" s="832"/>
      <c r="W42" s="832"/>
      <c r="X42" s="832"/>
      <c r="Y42" s="832"/>
      <c r="Z42" s="832"/>
      <c r="AA42" s="832"/>
      <c r="AB42" s="832"/>
      <c r="AC42" s="832"/>
      <c r="AD42" s="832"/>
      <c r="AE42" s="832"/>
      <c r="AF42" s="832"/>
      <c r="AG42" s="832"/>
      <c r="AH42" s="832"/>
      <c r="AI42" s="832"/>
      <c r="AJ42" s="832"/>
      <c r="AK42" s="832"/>
      <c r="AL42" s="832"/>
      <c r="AM42" s="832"/>
      <c r="AN42" s="832"/>
      <c r="AO42" s="832"/>
      <c r="AP42" s="832"/>
      <c r="AQ42" s="832"/>
      <c r="AR42" s="832"/>
      <c r="AS42" s="832"/>
      <c r="AT42" s="832"/>
      <c r="AU42" s="832"/>
      <c r="AV42" s="832"/>
      <c r="AW42" s="832"/>
      <c r="AX42" s="832"/>
      <c r="AY42" s="832"/>
      <c r="AZ42" s="832"/>
      <c r="BA42" s="832"/>
      <c r="BB42" s="832"/>
      <c r="BC42" s="832"/>
      <c r="BD42" s="832"/>
      <c r="BE42" s="832"/>
      <c r="BF42" s="832"/>
      <c r="BG42" s="832"/>
      <c r="BH42" s="832"/>
      <c r="BI42" s="832"/>
      <c r="BJ42" s="832"/>
      <c r="BK42" s="832"/>
      <c r="BL42" s="832"/>
      <c r="BM42" s="832"/>
      <c r="BN42" s="832"/>
      <c r="BO42" s="832"/>
      <c r="BP42" s="832"/>
      <c r="BQ42" s="832"/>
      <c r="BR42" s="832"/>
      <c r="BS42" s="832"/>
      <c r="BT42" s="832"/>
      <c r="BU42" s="832"/>
      <c r="BV42" s="832"/>
      <c r="BW42" s="832"/>
      <c r="BX42" s="832"/>
      <c r="BY42" s="832"/>
      <c r="BZ42" s="832"/>
      <c r="CA42" s="832"/>
      <c r="CB42" s="832"/>
      <c r="CC42" s="832"/>
      <c r="CD42" s="832"/>
      <c r="CE42" s="832"/>
      <c r="CF42" s="832"/>
      <c r="CG42" s="832"/>
      <c r="CH42" s="832"/>
      <c r="CI42" s="832"/>
      <c r="CJ42" s="832"/>
      <c r="CK42" s="832"/>
      <c r="CL42" s="832"/>
      <c r="CM42" s="832"/>
      <c r="CN42" s="832"/>
      <c r="CO42" s="832"/>
      <c r="CP42" s="832"/>
      <c r="CQ42" s="832"/>
      <c r="CR42" s="832"/>
      <c r="CS42" s="832"/>
      <c r="CT42" s="832"/>
      <c r="CU42" s="832"/>
      <c r="CV42" s="832"/>
      <c r="CW42" s="832"/>
      <c r="CX42" s="832"/>
      <c r="CY42" s="832"/>
      <c r="CZ42" s="832"/>
      <c r="DA42" s="832"/>
      <c r="DB42" s="832"/>
      <c r="DC42" s="832"/>
      <c r="DD42" s="832"/>
      <c r="DE42" s="832"/>
      <c r="DF42" s="832"/>
      <c r="DG42" s="832"/>
      <c r="DH42" s="832"/>
      <c r="DI42" s="832"/>
      <c r="DJ42" s="832"/>
      <c r="DK42" s="832"/>
      <c r="DL42" s="832"/>
      <c r="DM42" s="832"/>
      <c r="DN42" s="832"/>
      <c r="DO42" s="832"/>
      <c r="DP42" s="832"/>
      <c r="DQ42" s="832"/>
      <c r="DR42" s="832"/>
      <c r="DS42" s="832"/>
      <c r="DT42" s="832"/>
      <c r="DU42" s="832"/>
      <c r="DV42" s="832"/>
      <c r="DW42" s="832"/>
      <c r="DX42" s="832"/>
      <c r="DY42" s="832"/>
      <c r="DZ42" s="832"/>
      <c r="EA42" s="832"/>
      <c r="EB42" s="832"/>
      <c r="EC42" s="832"/>
      <c r="ED42" s="832"/>
      <c r="EE42" s="832"/>
      <c r="EF42" s="832"/>
      <c r="EG42" s="832"/>
      <c r="EH42" s="832"/>
      <c r="EI42" s="832"/>
      <c r="EJ42" s="832"/>
      <c r="EK42" s="832"/>
      <c r="EL42" s="832"/>
      <c r="EM42" s="832"/>
      <c r="EN42" s="832"/>
      <c r="EO42" s="832"/>
      <c r="EP42" s="832"/>
      <c r="EQ42" s="832"/>
      <c r="ER42" s="832"/>
      <c r="ES42" s="832"/>
      <c r="ET42" s="832"/>
      <c r="EU42" s="832"/>
      <c r="EV42" s="832"/>
      <c r="EW42" s="832"/>
      <c r="EX42" s="832"/>
      <c r="EY42" s="832"/>
      <c r="EZ42" s="832"/>
      <c r="FA42" s="832"/>
      <c r="FB42" s="832"/>
      <c r="FC42" s="832"/>
      <c r="FD42" s="832"/>
      <c r="FE42" s="832"/>
      <c r="FF42" s="832"/>
      <c r="FG42" s="832"/>
      <c r="FH42" s="832"/>
      <c r="FI42" s="832"/>
      <c r="FJ42" s="832"/>
      <c r="FK42" s="832"/>
      <c r="FL42" s="832"/>
      <c r="FM42" s="832"/>
      <c r="FN42" s="832"/>
      <c r="FO42" s="832"/>
      <c r="FP42" s="832"/>
      <c r="FQ42" s="832"/>
      <c r="FR42" s="832"/>
      <c r="FS42" s="832"/>
      <c r="FT42" s="832"/>
      <c r="FU42" s="832"/>
      <c r="FV42" s="832"/>
      <c r="FW42" s="832"/>
      <c r="FX42" s="832"/>
      <c r="FY42" s="832"/>
      <c r="FZ42" s="832"/>
      <c r="GA42" s="832"/>
      <c r="GB42" s="832"/>
      <c r="GC42" s="832"/>
      <c r="GD42" s="832"/>
      <c r="GE42" s="832"/>
      <c r="GF42" s="832"/>
      <c r="GG42" s="832"/>
      <c r="GH42" s="832"/>
      <c r="GI42" s="832"/>
      <c r="GJ42" s="832"/>
      <c r="GK42" s="832"/>
      <c r="GL42" s="832"/>
      <c r="GM42" s="832"/>
      <c r="GN42" s="832"/>
      <c r="GO42" s="832"/>
      <c r="GP42" s="832"/>
      <c r="GQ42" s="832"/>
      <c r="GR42" s="832"/>
      <c r="GS42" s="832"/>
      <c r="GT42" s="832"/>
      <c r="GU42" s="832"/>
      <c r="GV42" s="832"/>
      <c r="GW42" s="832"/>
    </row>
    <row r="43" spans="1:205" s="3" customFormat="1" x14ac:dyDescent="0.25">
      <c r="A43" s="251" t="s">
        <v>996</v>
      </c>
      <c r="B43" s="251"/>
      <c r="D43" s="658" t="s">
        <v>726</v>
      </c>
      <c r="E43" s="658"/>
      <c r="F43" s="658"/>
      <c r="I43" s="832"/>
      <c r="J43" s="832"/>
      <c r="K43" s="832"/>
      <c r="L43" s="832"/>
      <c r="M43" s="832"/>
      <c r="N43" s="832"/>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2"/>
      <c r="AO43" s="832"/>
      <c r="AP43" s="832"/>
      <c r="AQ43" s="832"/>
      <c r="AR43" s="832"/>
      <c r="AS43" s="832"/>
      <c r="AT43" s="832"/>
      <c r="AU43" s="832"/>
      <c r="AV43" s="832"/>
      <c r="AW43" s="832"/>
      <c r="AX43" s="832"/>
      <c r="AY43" s="832"/>
      <c r="AZ43" s="832"/>
      <c r="BA43" s="832"/>
      <c r="BB43" s="832"/>
      <c r="BC43" s="832"/>
      <c r="BD43" s="832"/>
      <c r="BE43" s="832"/>
      <c r="BF43" s="832"/>
      <c r="BG43" s="832"/>
      <c r="BH43" s="832"/>
      <c r="BI43" s="832"/>
      <c r="BJ43" s="832"/>
      <c r="BK43" s="832"/>
      <c r="BL43" s="832"/>
      <c r="BM43" s="832"/>
      <c r="BN43" s="832"/>
      <c r="BO43" s="832"/>
      <c r="BP43" s="832"/>
      <c r="BQ43" s="832"/>
      <c r="BR43" s="832"/>
      <c r="BS43" s="832"/>
      <c r="BT43" s="832"/>
      <c r="BU43" s="832"/>
      <c r="BV43" s="832"/>
      <c r="BW43" s="832"/>
      <c r="BX43" s="832"/>
      <c r="BY43" s="832"/>
      <c r="BZ43" s="832"/>
      <c r="CA43" s="832"/>
      <c r="CB43" s="832"/>
      <c r="CC43" s="832"/>
      <c r="CD43" s="832"/>
      <c r="CE43" s="832"/>
      <c r="CF43" s="832"/>
      <c r="CG43" s="832"/>
      <c r="CH43" s="832"/>
      <c r="CI43" s="832"/>
      <c r="CJ43" s="832"/>
      <c r="CK43" s="832"/>
      <c r="CL43" s="832"/>
      <c r="CM43" s="832"/>
      <c r="CN43" s="832"/>
      <c r="CO43" s="832"/>
      <c r="CP43" s="832"/>
      <c r="CQ43" s="832"/>
      <c r="CR43" s="832"/>
      <c r="CS43" s="832"/>
      <c r="CT43" s="832"/>
      <c r="CU43" s="832"/>
      <c r="CV43" s="832"/>
      <c r="CW43" s="832"/>
      <c r="CX43" s="832"/>
      <c r="CY43" s="832"/>
      <c r="CZ43" s="832"/>
      <c r="DA43" s="832"/>
      <c r="DB43" s="832"/>
      <c r="DC43" s="832"/>
      <c r="DD43" s="832"/>
      <c r="DE43" s="832"/>
      <c r="DF43" s="832"/>
      <c r="DG43" s="832"/>
      <c r="DH43" s="832"/>
      <c r="DI43" s="832"/>
      <c r="DJ43" s="832"/>
      <c r="DK43" s="832"/>
      <c r="DL43" s="832"/>
      <c r="DM43" s="832"/>
      <c r="DN43" s="832"/>
      <c r="DO43" s="832"/>
      <c r="DP43" s="832"/>
      <c r="DQ43" s="832"/>
      <c r="DR43" s="832"/>
      <c r="DS43" s="832"/>
      <c r="DT43" s="832"/>
      <c r="DU43" s="832"/>
      <c r="DV43" s="832"/>
      <c r="DW43" s="832"/>
      <c r="DX43" s="832"/>
      <c r="DY43" s="832"/>
      <c r="DZ43" s="832"/>
      <c r="EA43" s="832"/>
      <c r="EB43" s="832"/>
      <c r="EC43" s="832"/>
      <c r="ED43" s="832"/>
      <c r="EE43" s="832"/>
      <c r="EF43" s="832"/>
      <c r="EG43" s="832"/>
      <c r="EH43" s="832"/>
      <c r="EI43" s="832"/>
      <c r="EJ43" s="832"/>
      <c r="EK43" s="832"/>
      <c r="EL43" s="832"/>
      <c r="EM43" s="832"/>
      <c r="EN43" s="832"/>
      <c r="EO43" s="832"/>
      <c r="EP43" s="832"/>
      <c r="EQ43" s="832"/>
      <c r="ER43" s="832"/>
      <c r="ES43" s="832"/>
      <c r="ET43" s="832"/>
      <c r="EU43" s="832"/>
      <c r="EV43" s="832"/>
      <c r="EW43" s="832"/>
      <c r="EX43" s="832"/>
      <c r="EY43" s="832"/>
      <c r="EZ43" s="832"/>
      <c r="FA43" s="832"/>
      <c r="FB43" s="832"/>
      <c r="FC43" s="832"/>
      <c r="FD43" s="832"/>
      <c r="FE43" s="832"/>
      <c r="FF43" s="832"/>
      <c r="FG43" s="832"/>
      <c r="FH43" s="832"/>
      <c r="FI43" s="832"/>
      <c r="FJ43" s="832"/>
      <c r="FK43" s="832"/>
      <c r="FL43" s="832"/>
      <c r="FM43" s="832"/>
      <c r="FN43" s="832"/>
      <c r="FO43" s="832"/>
      <c r="FP43" s="832"/>
      <c r="FQ43" s="832"/>
      <c r="FR43" s="832"/>
      <c r="FS43" s="832"/>
      <c r="FT43" s="832"/>
      <c r="FU43" s="832"/>
      <c r="FV43" s="832"/>
      <c r="FW43" s="832"/>
      <c r="FX43" s="832"/>
      <c r="FY43" s="832"/>
      <c r="FZ43" s="832"/>
      <c r="GA43" s="832"/>
      <c r="GB43" s="832"/>
      <c r="GC43" s="832"/>
      <c r="GD43" s="832"/>
      <c r="GE43" s="832"/>
      <c r="GF43" s="832"/>
      <c r="GG43" s="832"/>
      <c r="GH43" s="832"/>
      <c r="GI43" s="832"/>
      <c r="GJ43" s="832"/>
      <c r="GK43" s="832"/>
      <c r="GL43" s="832"/>
      <c r="GM43" s="832"/>
      <c r="GN43" s="832"/>
      <c r="GO43" s="832"/>
      <c r="GP43" s="832"/>
      <c r="GQ43" s="832"/>
      <c r="GR43" s="832"/>
      <c r="GS43" s="832"/>
      <c r="GT43" s="832"/>
      <c r="GU43" s="832"/>
      <c r="GV43" s="832"/>
      <c r="GW43" s="832"/>
    </row>
    <row r="44" spans="1:205" s="3" customFormat="1" x14ac:dyDescent="0.25">
      <c r="A44" s="252"/>
      <c r="B44" s="252"/>
      <c r="D44" s="659"/>
      <c r="E44" s="659"/>
      <c r="F44" s="659"/>
      <c r="I44" s="832"/>
      <c r="J44" s="832"/>
      <c r="K44" s="832"/>
      <c r="L44" s="832"/>
      <c r="M44" s="832"/>
      <c r="N44" s="832"/>
      <c r="O44" s="832"/>
      <c r="P44" s="832"/>
      <c r="Q44" s="832"/>
      <c r="R44" s="832"/>
      <c r="S44" s="832"/>
      <c r="T44" s="832"/>
      <c r="U44" s="832"/>
      <c r="V44" s="832"/>
      <c r="W44" s="832"/>
      <c r="X44" s="832"/>
      <c r="Y44" s="832"/>
      <c r="Z44" s="832"/>
      <c r="AA44" s="832"/>
      <c r="AB44" s="832"/>
      <c r="AC44" s="832"/>
      <c r="AD44" s="832"/>
      <c r="AE44" s="832"/>
      <c r="AF44" s="832"/>
      <c r="AG44" s="832"/>
      <c r="AH44" s="832"/>
      <c r="AI44" s="832"/>
      <c r="AJ44" s="832"/>
      <c r="AK44" s="832"/>
      <c r="AL44" s="832"/>
      <c r="AM44" s="832"/>
      <c r="AN44" s="832"/>
      <c r="AO44" s="832"/>
      <c r="AP44" s="832"/>
      <c r="AQ44" s="832"/>
      <c r="AR44" s="832"/>
      <c r="AS44" s="832"/>
      <c r="AT44" s="832"/>
      <c r="AU44" s="832"/>
      <c r="AV44" s="832"/>
      <c r="AW44" s="832"/>
      <c r="AX44" s="832"/>
      <c r="AY44" s="832"/>
      <c r="AZ44" s="832"/>
      <c r="BA44" s="832"/>
      <c r="BB44" s="832"/>
      <c r="BC44" s="832"/>
      <c r="BD44" s="832"/>
      <c r="BE44" s="832"/>
      <c r="BF44" s="832"/>
      <c r="BG44" s="832"/>
      <c r="BH44" s="832"/>
      <c r="BI44" s="832"/>
      <c r="BJ44" s="832"/>
      <c r="BK44" s="832"/>
      <c r="BL44" s="832"/>
      <c r="BM44" s="832"/>
      <c r="BN44" s="832"/>
      <c r="BO44" s="832"/>
      <c r="BP44" s="832"/>
      <c r="BQ44" s="832"/>
      <c r="BR44" s="832"/>
      <c r="BS44" s="832"/>
      <c r="BT44" s="832"/>
      <c r="BU44" s="832"/>
      <c r="BV44" s="832"/>
      <c r="BW44" s="832"/>
      <c r="BX44" s="832"/>
      <c r="BY44" s="832"/>
      <c r="BZ44" s="832"/>
      <c r="CA44" s="832"/>
      <c r="CB44" s="832"/>
      <c r="CC44" s="832"/>
      <c r="CD44" s="832"/>
      <c r="CE44" s="832"/>
      <c r="CF44" s="832"/>
      <c r="CG44" s="832"/>
      <c r="CH44" s="832"/>
      <c r="CI44" s="832"/>
      <c r="CJ44" s="832"/>
      <c r="CK44" s="832"/>
      <c r="CL44" s="832"/>
      <c r="CM44" s="832"/>
      <c r="CN44" s="832"/>
      <c r="CO44" s="832"/>
      <c r="CP44" s="832"/>
      <c r="CQ44" s="832"/>
      <c r="CR44" s="832"/>
      <c r="CS44" s="832"/>
      <c r="CT44" s="832"/>
      <c r="CU44" s="832"/>
      <c r="CV44" s="832"/>
      <c r="CW44" s="832"/>
      <c r="CX44" s="832"/>
      <c r="CY44" s="832"/>
      <c r="CZ44" s="832"/>
      <c r="DA44" s="832"/>
      <c r="DB44" s="832"/>
      <c r="DC44" s="832"/>
      <c r="DD44" s="832"/>
      <c r="DE44" s="832"/>
      <c r="DF44" s="832"/>
      <c r="DG44" s="832"/>
      <c r="DH44" s="832"/>
      <c r="DI44" s="832"/>
      <c r="DJ44" s="832"/>
      <c r="DK44" s="832"/>
      <c r="DL44" s="832"/>
      <c r="DM44" s="832"/>
      <c r="DN44" s="832"/>
      <c r="DO44" s="832"/>
      <c r="DP44" s="832"/>
      <c r="DQ44" s="832"/>
      <c r="DR44" s="832"/>
      <c r="DS44" s="832"/>
      <c r="DT44" s="832"/>
      <c r="DU44" s="832"/>
      <c r="DV44" s="832"/>
      <c r="DW44" s="832"/>
      <c r="DX44" s="832"/>
      <c r="DY44" s="832"/>
      <c r="DZ44" s="832"/>
      <c r="EA44" s="832"/>
      <c r="EB44" s="832"/>
      <c r="EC44" s="832"/>
      <c r="ED44" s="832"/>
      <c r="EE44" s="832"/>
      <c r="EF44" s="832"/>
      <c r="EG44" s="832"/>
      <c r="EH44" s="832"/>
      <c r="EI44" s="832"/>
      <c r="EJ44" s="832"/>
      <c r="EK44" s="832"/>
      <c r="EL44" s="832"/>
      <c r="EM44" s="832"/>
      <c r="EN44" s="832"/>
      <c r="EO44" s="832"/>
      <c r="EP44" s="832"/>
      <c r="EQ44" s="832"/>
      <c r="ER44" s="832"/>
      <c r="ES44" s="832"/>
      <c r="ET44" s="832"/>
      <c r="EU44" s="832"/>
      <c r="EV44" s="832"/>
      <c r="EW44" s="832"/>
      <c r="EX44" s="832"/>
      <c r="EY44" s="832"/>
      <c r="EZ44" s="832"/>
      <c r="FA44" s="832"/>
      <c r="FB44" s="832"/>
      <c r="FC44" s="832"/>
      <c r="FD44" s="832"/>
      <c r="FE44" s="832"/>
      <c r="FF44" s="832"/>
      <c r="FG44" s="832"/>
      <c r="FH44" s="832"/>
      <c r="FI44" s="832"/>
      <c r="FJ44" s="832"/>
      <c r="FK44" s="832"/>
      <c r="FL44" s="832"/>
      <c r="FM44" s="832"/>
      <c r="FN44" s="832"/>
      <c r="FO44" s="832"/>
      <c r="FP44" s="832"/>
      <c r="FQ44" s="832"/>
      <c r="FR44" s="832"/>
      <c r="FS44" s="832"/>
      <c r="FT44" s="832"/>
      <c r="FU44" s="832"/>
      <c r="FV44" s="832"/>
      <c r="FW44" s="832"/>
      <c r="FX44" s="832"/>
      <c r="FY44" s="832"/>
      <c r="FZ44" s="832"/>
      <c r="GA44" s="832"/>
      <c r="GB44" s="832"/>
      <c r="GC44" s="832"/>
      <c r="GD44" s="832"/>
      <c r="GE44" s="832"/>
      <c r="GF44" s="832"/>
      <c r="GG44" s="832"/>
      <c r="GH44" s="832"/>
      <c r="GI44" s="832"/>
      <c r="GJ44" s="832"/>
      <c r="GK44" s="832"/>
      <c r="GL44" s="832"/>
      <c r="GM44" s="832"/>
      <c r="GN44" s="832"/>
      <c r="GO44" s="832"/>
      <c r="GP44" s="832"/>
      <c r="GQ44" s="832"/>
      <c r="GR44" s="832"/>
      <c r="GS44" s="832"/>
      <c r="GT44" s="832"/>
      <c r="GU44" s="832"/>
      <c r="GV44" s="832"/>
      <c r="GW44" s="832"/>
    </row>
    <row r="45" spans="1:205" s="3" customFormat="1" x14ac:dyDescent="0.25">
      <c r="A45" s="250" t="s">
        <v>116</v>
      </c>
      <c r="D45" s="658" t="s">
        <v>726</v>
      </c>
      <c r="E45" s="658"/>
      <c r="F45" s="658"/>
      <c r="I45" s="832"/>
      <c r="J45" s="832"/>
      <c r="K45" s="832"/>
      <c r="L45" s="832"/>
      <c r="M45" s="832"/>
      <c r="N45" s="832"/>
      <c r="O45" s="832"/>
      <c r="P45" s="832"/>
      <c r="Q45" s="832"/>
      <c r="R45" s="832"/>
      <c r="S45" s="832"/>
      <c r="T45" s="832"/>
      <c r="U45" s="832"/>
      <c r="V45" s="832"/>
      <c r="W45" s="832"/>
      <c r="X45" s="832"/>
      <c r="Y45" s="832"/>
      <c r="Z45" s="832"/>
      <c r="AA45" s="832"/>
      <c r="AB45" s="832"/>
      <c r="AC45" s="832"/>
      <c r="AD45" s="832"/>
      <c r="AE45" s="832"/>
      <c r="AF45" s="832"/>
      <c r="AG45" s="832"/>
      <c r="AH45" s="832"/>
      <c r="AI45" s="832"/>
      <c r="AJ45" s="832"/>
      <c r="AK45" s="832"/>
      <c r="AL45" s="832"/>
      <c r="AM45" s="832"/>
      <c r="AN45" s="832"/>
      <c r="AO45" s="832"/>
      <c r="AP45" s="832"/>
      <c r="AQ45" s="832"/>
      <c r="AR45" s="832"/>
      <c r="AS45" s="832"/>
      <c r="AT45" s="832"/>
      <c r="AU45" s="832"/>
      <c r="AV45" s="832"/>
      <c r="AW45" s="832"/>
      <c r="AX45" s="832"/>
      <c r="AY45" s="832"/>
      <c r="AZ45" s="832"/>
      <c r="BA45" s="832"/>
      <c r="BB45" s="832"/>
      <c r="BC45" s="832"/>
      <c r="BD45" s="832"/>
      <c r="BE45" s="832"/>
      <c r="BF45" s="832"/>
      <c r="BG45" s="832"/>
      <c r="BH45" s="832"/>
      <c r="BI45" s="832"/>
      <c r="BJ45" s="832"/>
      <c r="BK45" s="832"/>
      <c r="BL45" s="832"/>
      <c r="BM45" s="832"/>
      <c r="BN45" s="832"/>
      <c r="BO45" s="832"/>
      <c r="BP45" s="832"/>
      <c r="BQ45" s="832"/>
      <c r="BR45" s="832"/>
      <c r="BS45" s="832"/>
      <c r="BT45" s="832"/>
      <c r="BU45" s="832"/>
      <c r="BV45" s="832"/>
      <c r="BW45" s="832"/>
      <c r="BX45" s="832"/>
      <c r="BY45" s="832"/>
      <c r="BZ45" s="832"/>
      <c r="CA45" s="832"/>
      <c r="CB45" s="832"/>
      <c r="CC45" s="832"/>
      <c r="CD45" s="832"/>
      <c r="CE45" s="832"/>
      <c r="CF45" s="832"/>
      <c r="CG45" s="832"/>
      <c r="CH45" s="832"/>
      <c r="CI45" s="832"/>
      <c r="CJ45" s="832"/>
      <c r="CK45" s="832"/>
      <c r="CL45" s="832"/>
      <c r="CM45" s="832"/>
      <c r="CN45" s="832"/>
      <c r="CO45" s="832"/>
      <c r="CP45" s="832"/>
      <c r="CQ45" s="832"/>
      <c r="CR45" s="832"/>
      <c r="CS45" s="832"/>
      <c r="CT45" s="832"/>
      <c r="CU45" s="832"/>
      <c r="CV45" s="832"/>
      <c r="CW45" s="832"/>
      <c r="CX45" s="832"/>
      <c r="CY45" s="832"/>
      <c r="CZ45" s="832"/>
      <c r="DA45" s="832"/>
      <c r="DB45" s="832"/>
      <c r="DC45" s="832"/>
      <c r="DD45" s="832"/>
      <c r="DE45" s="832"/>
      <c r="DF45" s="832"/>
      <c r="DG45" s="832"/>
      <c r="DH45" s="832"/>
      <c r="DI45" s="832"/>
      <c r="DJ45" s="832"/>
      <c r="DK45" s="832"/>
      <c r="DL45" s="832"/>
      <c r="DM45" s="832"/>
      <c r="DN45" s="832"/>
      <c r="DO45" s="832"/>
      <c r="DP45" s="832"/>
      <c r="DQ45" s="832"/>
      <c r="DR45" s="832"/>
      <c r="DS45" s="832"/>
      <c r="DT45" s="832"/>
      <c r="DU45" s="832"/>
      <c r="DV45" s="832"/>
      <c r="DW45" s="832"/>
      <c r="DX45" s="832"/>
      <c r="DY45" s="832"/>
      <c r="DZ45" s="832"/>
      <c r="EA45" s="832"/>
      <c r="EB45" s="832"/>
      <c r="EC45" s="832"/>
      <c r="ED45" s="832"/>
      <c r="EE45" s="832"/>
      <c r="EF45" s="832"/>
      <c r="EG45" s="832"/>
      <c r="EH45" s="832"/>
      <c r="EI45" s="832"/>
      <c r="EJ45" s="832"/>
      <c r="EK45" s="832"/>
      <c r="EL45" s="832"/>
      <c r="EM45" s="832"/>
      <c r="EN45" s="832"/>
      <c r="EO45" s="832"/>
      <c r="EP45" s="832"/>
      <c r="EQ45" s="832"/>
      <c r="ER45" s="832"/>
      <c r="ES45" s="832"/>
      <c r="ET45" s="832"/>
      <c r="EU45" s="832"/>
      <c r="EV45" s="832"/>
      <c r="EW45" s="832"/>
      <c r="EX45" s="832"/>
      <c r="EY45" s="832"/>
      <c r="EZ45" s="832"/>
      <c r="FA45" s="832"/>
      <c r="FB45" s="832"/>
      <c r="FC45" s="832"/>
      <c r="FD45" s="832"/>
      <c r="FE45" s="832"/>
      <c r="FF45" s="832"/>
      <c r="FG45" s="832"/>
      <c r="FH45" s="832"/>
      <c r="FI45" s="832"/>
      <c r="FJ45" s="832"/>
      <c r="FK45" s="832"/>
      <c r="FL45" s="832"/>
      <c r="FM45" s="832"/>
      <c r="FN45" s="832"/>
      <c r="FO45" s="832"/>
      <c r="FP45" s="832"/>
      <c r="FQ45" s="832"/>
      <c r="FR45" s="832"/>
      <c r="FS45" s="832"/>
      <c r="FT45" s="832"/>
      <c r="FU45" s="832"/>
      <c r="FV45" s="832"/>
      <c r="FW45" s="832"/>
      <c r="FX45" s="832"/>
      <c r="FY45" s="832"/>
      <c r="FZ45" s="832"/>
      <c r="GA45" s="832"/>
      <c r="GB45" s="832"/>
      <c r="GC45" s="832"/>
      <c r="GD45" s="832"/>
      <c r="GE45" s="832"/>
      <c r="GF45" s="832"/>
      <c r="GG45" s="832"/>
      <c r="GH45" s="832"/>
      <c r="GI45" s="832"/>
      <c r="GJ45" s="832"/>
      <c r="GK45" s="832"/>
      <c r="GL45" s="832"/>
      <c r="GM45" s="832"/>
      <c r="GN45" s="832"/>
      <c r="GO45" s="832"/>
      <c r="GP45" s="832"/>
      <c r="GQ45" s="832"/>
      <c r="GR45" s="832"/>
      <c r="GS45" s="832"/>
      <c r="GT45" s="832"/>
      <c r="GU45" s="832"/>
      <c r="GV45" s="832"/>
      <c r="GW45" s="832"/>
    </row>
    <row r="46" spans="1:205" s="3" customFormat="1" x14ac:dyDescent="0.25">
      <c r="A46" s="251" t="s">
        <v>997</v>
      </c>
      <c r="B46" s="251"/>
      <c r="C46" s="11"/>
      <c r="D46" s="658"/>
      <c r="E46" s="658"/>
      <c r="F46" s="658"/>
      <c r="I46" s="832"/>
      <c r="J46" s="832"/>
      <c r="K46" s="832"/>
      <c r="L46" s="832"/>
      <c r="M46" s="832"/>
      <c r="N46" s="832"/>
      <c r="O46" s="832"/>
      <c r="P46" s="832"/>
      <c r="Q46" s="832"/>
      <c r="R46" s="832"/>
      <c r="S46" s="832"/>
      <c r="T46" s="832"/>
      <c r="U46" s="832"/>
      <c r="V46" s="832"/>
      <c r="W46" s="832"/>
      <c r="X46" s="832"/>
      <c r="Y46" s="832"/>
      <c r="Z46" s="832"/>
      <c r="AA46" s="832"/>
      <c r="AB46" s="832"/>
      <c r="AC46" s="832"/>
      <c r="AD46" s="832"/>
      <c r="AE46" s="832"/>
      <c r="AF46" s="832"/>
      <c r="AG46" s="832"/>
      <c r="AH46" s="832"/>
      <c r="AI46" s="832"/>
      <c r="AJ46" s="832"/>
      <c r="AK46" s="832"/>
      <c r="AL46" s="832"/>
      <c r="AM46" s="832"/>
      <c r="AN46" s="832"/>
      <c r="AO46" s="832"/>
      <c r="AP46" s="832"/>
      <c r="AQ46" s="832"/>
      <c r="AR46" s="832"/>
      <c r="AS46" s="832"/>
      <c r="AT46" s="832"/>
      <c r="AU46" s="832"/>
      <c r="AV46" s="832"/>
      <c r="AW46" s="832"/>
      <c r="AX46" s="832"/>
      <c r="AY46" s="832"/>
      <c r="AZ46" s="832"/>
      <c r="BA46" s="832"/>
      <c r="BB46" s="832"/>
      <c r="BC46" s="832"/>
      <c r="BD46" s="832"/>
      <c r="BE46" s="832"/>
      <c r="BF46" s="832"/>
      <c r="BG46" s="832"/>
      <c r="BH46" s="832"/>
      <c r="BI46" s="832"/>
      <c r="BJ46" s="832"/>
      <c r="BK46" s="832"/>
      <c r="BL46" s="832"/>
      <c r="BM46" s="832"/>
      <c r="BN46" s="832"/>
      <c r="BO46" s="832"/>
      <c r="BP46" s="832"/>
      <c r="BQ46" s="832"/>
      <c r="BR46" s="832"/>
      <c r="BS46" s="832"/>
      <c r="BT46" s="832"/>
      <c r="BU46" s="832"/>
      <c r="BV46" s="832"/>
      <c r="BW46" s="832"/>
      <c r="BX46" s="832"/>
      <c r="BY46" s="832"/>
      <c r="BZ46" s="832"/>
      <c r="CA46" s="832"/>
      <c r="CB46" s="832"/>
      <c r="CC46" s="832"/>
      <c r="CD46" s="832"/>
      <c r="CE46" s="832"/>
      <c r="CF46" s="832"/>
      <c r="CG46" s="832"/>
      <c r="CH46" s="832"/>
      <c r="CI46" s="832"/>
      <c r="CJ46" s="832"/>
      <c r="CK46" s="832"/>
      <c r="CL46" s="832"/>
      <c r="CM46" s="832"/>
      <c r="CN46" s="832"/>
      <c r="CO46" s="832"/>
      <c r="CP46" s="832"/>
      <c r="CQ46" s="832"/>
      <c r="CR46" s="832"/>
      <c r="CS46" s="832"/>
      <c r="CT46" s="832"/>
      <c r="CU46" s="832"/>
      <c r="CV46" s="832"/>
      <c r="CW46" s="832"/>
      <c r="CX46" s="832"/>
      <c r="CY46" s="832"/>
      <c r="CZ46" s="832"/>
      <c r="DA46" s="832"/>
      <c r="DB46" s="832"/>
      <c r="DC46" s="832"/>
      <c r="DD46" s="832"/>
      <c r="DE46" s="832"/>
      <c r="DF46" s="832"/>
      <c r="DG46" s="832"/>
      <c r="DH46" s="832"/>
      <c r="DI46" s="832"/>
      <c r="DJ46" s="832"/>
      <c r="DK46" s="832"/>
      <c r="DL46" s="832"/>
      <c r="DM46" s="832"/>
      <c r="DN46" s="832"/>
      <c r="DO46" s="832"/>
      <c r="DP46" s="832"/>
      <c r="DQ46" s="832"/>
      <c r="DR46" s="832"/>
      <c r="DS46" s="832"/>
      <c r="DT46" s="832"/>
      <c r="DU46" s="832"/>
      <c r="DV46" s="832"/>
      <c r="DW46" s="832"/>
      <c r="DX46" s="832"/>
      <c r="DY46" s="832"/>
      <c r="DZ46" s="832"/>
      <c r="EA46" s="832"/>
      <c r="EB46" s="832"/>
      <c r="EC46" s="832"/>
      <c r="ED46" s="832"/>
      <c r="EE46" s="832"/>
      <c r="EF46" s="832"/>
      <c r="EG46" s="832"/>
      <c r="EH46" s="832"/>
      <c r="EI46" s="832"/>
      <c r="EJ46" s="832"/>
      <c r="EK46" s="832"/>
      <c r="EL46" s="832"/>
      <c r="EM46" s="832"/>
      <c r="EN46" s="832"/>
      <c r="EO46" s="832"/>
      <c r="EP46" s="832"/>
      <c r="EQ46" s="832"/>
      <c r="ER46" s="832"/>
      <c r="ES46" s="832"/>
      <c r="ET46" s="832"/>
      <c r="EU46" s="832"/>
      <c r="EV46" s="832"/>
      <c r="EW46" s="832"/>
      <c r="EX46" s="832"/>
      <c r="EY46" s="832"/>
      <c r="EZ46" s="832"/>
      <c r="FA46" s="832"/>
      <c r="FB46" s="832"/>
      <c r="FC46" s="832"/>
      <c r="FD46" s="832"/>
      <c r="FE46" s="832"/>
      <c r="FF46" s="832"/>
      <c r="FG46" s="832"/>
      <c r="FH46" s="832"/>
      <c r="FI46" s="832"/>
      <c r="FJ46" s="832"/>
      <c r="FK46" s="832"/>
      <c r="FL46" s="832"/>
      <c r="FM46" s="832"/>
      <c r="FN46" s="832"/>
      <c r="FO46" s="832"/>
      <c r="FP46" s="832"/>
      <c r="FQ46" s="832"/>
      <c r="FR46" s="832"/>
      <c r="FS46" s="832"/>
      <c r="FT46" s="832"/>
      <c r="FU46" s="832"/>
      <c r="FV46" s="832"/>
      <c r="FW46" s="832"/>
      <c r="FX46" s="832"/>
      <c r="FY46" s="832"/>
      <c r="FZ46" s="832"/>
      <c r="GA46" s="832"/>
      <c r="GB46" s="832"/>
      <c r="GC46" s="832"/>
      <c r="GD46" s="832"/>
      <c r="GE46" s="832"/>
      <c r="GF46" s="832"/>
      <c r="GG46" s="832"/>
      <c r="GH46" s="832"/>
      <c r="GI46" s="832"/>
      <c r="GJ46" s="832"/>
      <c r="GK46" s="832"/>
      <c r="GL46" s="832"/>
      <c r="GM46" s="832"/>
      <c r="GN46" s="832"/>
      <c r="GO46" s="832"/>
      <c r="GP46" s="832"/>
      <c r="GQ46" s="832"/>
      <c r="GR46" s="832"/>
      <c r="GS46" s="832"/>
      <c r="GT46" s="832"/>
      <c r="GU46" s="832"/>
      <c r="GV46" s="832"/>
      <c r="GW46" s="832"/>
    </row>
    <row r="47" spans="1:205" s="3" customFormat="1" x14ac:dyDescent="0.25">
      <c r="A47" s="252" t="s">
        <v>998</v>
      </c>
      <c r="B47" s="252"/>
      <c r="C47" s="11"/>
      <c r="D47" s="658" t="s">
        <v>726</v>
      </c>
      <c r="E47" s="660"/>
      <c r="F47" s="660"/>
      <c r="I47" s="832"/>
      <c r="J47" s="832"/>
      <c r="K47" s="832"/>
      <c r="L47" s="832"/>
      <c r="M47" s="832"/>
      <c r="N47" s="832"/>
      <c r="O47" s="832"/>
      <c r="P47" s="832"/>
      <c r="Q47" s="832"/>
      <c r="R47" s="832"/>
      <c r="S47" s="832"/>
      <c r="T47" s="832"/>
      <c r="U47" s="832"/>
      <c r="V47" s="832"/>
      <c r="W47" s="832"/>
      <c r="X47" s="832"/>
      <c r="Y47" s="832"/>
      <c r="Z47" s="832"/>
      <c r="AA47" s="832"/>
      <c r="AB47" s="832"/>
      <c r="AC47" s="832"/>
      <c r="AD47" s="832"/>
      <c r="AE47" s="832"/>
      <c r="AF47" s="832"/>
      <c r="AG47" s="832"/>
      <c r="AH47" s="832"/>
      <c r="AI47" s="832"/>
      <c r="AJ47" s="832"/>
      <c r="AK47" s="832"/>
      <c r="AL47" s="832"/>
      <c r="AM47" s="832"/>
      <c r="AN47" s="832"/>
      <c r="AO47" s="832"/>
      <c r="AP47" s="832"/>
      <c r="AQ47" s="832"/>
      <c r="AR47" s="832"/>
      <c r="AS47" s="832"/>
      <c r="AT47" s="832"/>
      <c r="AU47" s="832"/>
      <c r="AV47" s="832"/>
      <c r="AW47" s="832"/>
      <c r="AX47" s="832"/>
      <c r="AY47" s="832"/>
      <c r="AZ47" s="832"/>
      <c r="BA47" s="832"/>
      <c r="BB47" s="832"/>
      <c r="BC47" s="832"/>
      <c r="BD47" s="832"/>
      <c r="BE47" s="832"/>
      <c r="BF47" s="832"/>
      <c r="BG47" s="832"/>
      <c r="BH47" s="832"/>
      <c r="BI47" s="832"/>
      <c r="BJ47" s="832"/>
      <c r="BK47" s="832"/>
      <c r="BL47" s="832"/>
      <c r="BM47" s="832"/>
      <c r="BN47" s="832"/>
      <c r="BO47" s="832"/>
      <c r="BP47" s="832"/>
      <c r="BQ47" s="832"/>
      <c r="BR47" s="832"/>
      <c r="BS47" s="832"/>
      <c r="BT47" s="832"/>
      <c r="BU47" s="832"/>
      <c r="BV47" s="832"/>
      <c r="BW47" s="832"/>
      <c r="BX47" s="832"/>
      <c r="BY47" s="832"/>
      <c r="BZ47" s="832"/>
      <c r="CA47" s="832"/>
      <c r="CB47" s="832"/>
      <c r="CC47" s="832"/>
      <c r="CD47" s="832"/>
      <c r="CE47" s="832"/>
      <c r="CF47" s="832"/>
      <c r="CG47" s="832"/>
      <c r="CH47" s="832"/>
      <c r="CI47" s="832"/>
      <c r="CJ47" s="832"/>
      <c r="CK47" s="832"/>
      <c r="CL47" s="832"/>
      <c r="CM47" s="832"/>
      <c r="CN47" s="832"/>
      <c r="CO47" s="832"/>
      <c r="CP47" s="832"/>
      <c r="CQ47" s="832"/>
      <c r="CR47" s="832"/>
      <c r="CS47" s="832"/>
      <c r="CT47" s="832"/>
      <c r="CU47" s="832"/>
      <c r="CV47" s="832"/>
      <c r="CW47" s="832"/>
      <c r="CX47" s="832"/>
      <c r="CY47" s="832"/>
      <c r="CZ47" s="832"/>
      <c r="DA47" s="832"/>
      <c r="DB47" s="832"/>
      <c r="DC47" s="832"/>
      <c r="DD47" s="832"/>
      <c r="DE47" s="832"/>
      <c r="DF47" s="832"/>
      <c r="DG47" s="832"/>
      <c r="DH47" s="832"/>
      <c r="DI47" s="832"/>
      <c r="DJ47" s="832"/>
      <c r="DK47" s="832"/>
      <c r="DL47" s="832"/>
      <c r="DM47" s="832"/>
      <c r="DN47" s="832"/>
      <c r="DO47" s="832"/>
      <c r="DP47" s="832"/>
      <c r="DQ47" s="832"/>
      <c r="DR47" s="832"/>
      <c r="DS47" s="832"/>
      <c r="DT47" s="832"/>
      <c r="DU47" s="832"/>
      <c r="DV47" s="832"/>
      <c r="DW47" s="832"/>
      <c r="DX47" s="832"/>
      <c r="DY47" s="832"/>
      <c r="DZ47" s="832"/>
      <c r="EA47" s="832"/>
      <c r="EB47" s="832"/>
      <c r="EC47" s="832"/>
      <c r="ED47" s="832"/>
      <c r="EE47" s="832"/>
      <c r="EF47" s="832"/>
      <c r="EG47" s="832"/>
      <c r="EH47" s="832"/>
      <c r="EI47" s="832"/>
      <c r="EJ47" s="832"/>
      <c r="EK47" s="832"/>
      <c r="EL47" s="832"/>
      <c r="EM47" s="832"/>
      <c r="EN47" s="832"/>
      <c r="EO47" s="832"/>
      <c r="EP47" s="832"/>
      <c r="EQ47" s="832"/>
      <c r="ER47" s="832"/>
      <c r="ES47" s="832"/>
      <c r="ET47" s="832"/>
      <c r="EU47" s="832"/>
      <c r="EV47" s="832"/>
      <c r="EW47" s="832"/>
      <c r="EX47" s="832"/>
      <c r="EY47" s="832"/>
      <c r="EZ47" s="832"/>
      <c r="FA47" s="832"/>
      <c r="FB47" s="832"/>
      <c r="FC47" s="832"/>
      <c r="FD47" s="832"/>
      <c r="FE47" s="832"/>
      <c r="FF47" s="832"/>
      <c r="FG47" s="832"/>
      <c r="FH47" s="832"/>
      <c r="FI47" s="832"/>
      <c r="FJ47" s="832"/>
      <c r="FK47" s="832"/>
      <c r="FL47" s="832"/>
      <c r="FM47" s="832"/>
      <c r="FN47" s="832"/>
      <c r="FO47" s="832"/>
      <c r="FP47" s="832"/>
      <c r="FQ47" s="832"/>
      <c r="FR47" s="832"/>
      <c r="FS47" s="832"/>
      <c r="FT47" s="832"/>
      <c r="FU47" s="832"/>
      <c r="FV47" s="832"/>
      <c r="FW47" s="832"/>
      <c r="FX47" s="832"/>
      <c r="FY47" s="832"/>
      <c r="FZ47" s="832"/>
      <c r="GA47" s="832"/>
      <c r="GB47" s="832"/>
      <c r="GC47" s="832"/>
      <c r="GD47" s="832"/>
      <c r="GE47" s="832"/>
      <c r="GF47" s="832"/>
      <c r="GG47" s="832"/>
      <c r="GH47" s="832"/>
      <c r="GI47" s="832"/>
      <c r="GJ47" s="832"/>
      <c r="GK47" s="832"/>
      <c r="GL47" s="832"/>
      <c r="GM47" s="832"/>
      <c r="GN47" s="832"/>
      <c r="GO47" s="832"/>
      <c r="GP47" s="832"/>
      <c r="GQ47" s="832"/>
      <c r="GR47" s="832"/>
      <c r="GS47" s="832"/>
      <c r="GT47" s="832"/>
      <c r="GU47" s="832"/>
      <c r="GV47" s="832"/>
      <c r="GW47" s="832"/>
    </row>
    <row r="48" spans="1:205" x14ac:dyDescent="0.25">
      <c r="A48" s="250" t="s">
        <v>710</v>
      </c>
      <c r="B48" s="3"/>
      <c r="C48" s="11"/>
      <c r="D48" s="661"/>
      <c r="E48" s="658"/>
      <c r="F48" s="658"/>
      <c r="G48" s="77"/>
      <c r="H48" s="77"/>
      <c r="I48" s="710"/>
      <c r="J48" s="710"/>
      <c r="K48" s="710"/>
      <c r="L48" s="710"/>
      <c r="M48" s="710"/>
      <c r="N48" s="710"/>
      <c r="O48" s="710"/>
      <c r="P48" s="710"/>
      <c r="Q48" s="710"/>
      <c r="R48" s="710"/>
      <c r="S48" s="710"/>
      <c r="T48" s="710"/>
      <c r="U48" s="710"/>
      <c r="V48" s="710"/>
      <c r="W48" s="710"/>
      <c r="X48" s="710"/>
      <c r="Y48" s="710"/>
      <c r="Z48" s="710"/>
      <c r="AA48" s="710"/>
      <c r="AB48" s="710"/>
      <c r="AC48" s="710"/>
      <c r="AD48" s="710"/>
      <c r="AE48" s="710"/>
      <c r="AF48" s="710"/>
      <c r="AG48" s="710"/>
      <c r="AH48" s="710"/>
      <c r="AI48" s="710"/>
      <c r="AJ48" s="710"/>
      <c r="AK48" s="710"/>
      <c r="AL48" s="710"/>
      <c r="AM48" s="710"/>
      <c r="AN48" s="710"/>
      <c r="AO48" s="710"/>
      <c r="AP48" s="710"/>
      <c r="AQ48" s="710"/>
      <c r="AR48" s="710"/>
      <c r="AS48" s="710"/>
      <c r="AT48" s="710"/>
      <c r="AU48" s="710"/>
      <c r="AV48" s="710"/>
      <c r="AW48" s="710"/>
      <c r="AX48" s="710"/>
      <c r="AY48" s="710"/>
      <c r="AZ48" s="710"/>
      <c r="BA48" s="710"/>
      <c r="BB48" s="710"/>
      <c r="BC48" s="710"/>
      <c r="BD48" s="710"/>
      <c r="BE48" s="710"/>
      <c r="BF48" s="710"/>
      <c r="BG48" s="710"/>
      <c r="BH48" s="710"/>
      <c r="BI48" s="710"/>
      <c r="BJ48" s="710"/>
      <c r="BK48" s="710"/>
      <c r="BL48" s="710"/>
      <c r="BM48" s="710"/>
      <c r="BN48" s="710"/>
      <c r="BO48" s="710"/>
      <c r="BP48" s="710"/>
      <c r="BQ48" s="710"/>
      <c r="BR48" s="710"/>
      <c r="BS48" s="710"/>
      <c r="BT48" s="710"/>
      <c r="BU48" s="710"/>
      <c r="BV48" s="710"/>
      <c r="BW48" s="710"/>
      <c r="BX48" s="710"/>
      <c r="BY48" s="710"/>
      <c r="BZ48" s="710"/>
      <c r="CA48" s="710"/>
      <c r="CB48" s="710"/>
      <c r="CC48" s="710"/>
      <c r="CD48" s="710"/>
      <c r="CE48" s="710"/>
      <c r="CF48" s="710"/>
      <c r="CG48" s="710"/>
      <c r="CH48" s="710"/>
      <c r="CI48" s="710"/>
      <c r="CJ48" s="710"/>
      <c r="CK48" s="710"/>
      <c r="CL48" s="710"/>
      <c r="CM48" s="710"/>
      <c r="CN48" s="710"/>
      <c r="CO48" s="710"/>
      <c r="CP48" s="710"/>
      <c r="CQ48" s="710"/>
      <c r="CR48" s="710"/>
      <c r="CS48" s="710"/>
      <c r="CT48" s="710"/>
      <c r="CU48" s="710"/>
      <c r="CV48" s="710"/>
      <c r="CW48" s="710"/>
      <c r="CX48" s="710"/>
      <c r="CY48" s="710"/>
      <c r="CZ48" s="710"/>
      <c r="DA48" s="710"/>
      <c r="DB48" s="710"/>
      <c r="DC48" s="710"/>
      <c r="DD48" s="710"/>
      <c r="DE48" s="710"/>
      <c r="DF48" s="710"/>
      <c r="DG48" s="710"/>
      <c r="DH48" s="710"/>
      <c r="DI48" s="710"/>
      <c r="DJ48" s="710"/>
      <c r="DK48" s="710"/>
      <c r="DL48" s="710"/>
      <c r="DM48" s="710"/>
      <c r="DN48" s="710"/>
      <c r="DO48" s="710"/>
      <c r="DP48" s="710"/>
      <c r="DQ48" s="710"/>
      <c r="DR48" s="710"/>
      <c r="DS48" s="710"/>
      <c r="DT48" s="710"/>
      <c r="DU48" s="710"/>
      <c r="DV48" s="710"/>
      <c r="DW48" s="710"/>
      <c r="DX48" s="710"/>
      <c r="DY48" s="710"/>
      <c r="DZ48" s="710"/>
      <c r="EA48" s="710"/>
      <c r="EB48" s="710"/>
      <c r="EC48" s="710"/>
      <c r="ED48" s="710"/>
      <c r="EE48" s="710"/>
      <c r="EF48" s="710"/>
      <c r="EG48" s="710"/>
      <c r="EH48" s="710"/>
      <c r="EI48" s="710"/>
      <c r="EJ48" s="710"/>
      <c r="EK48" s="710"/>
      <c r="EL48" s="710"/>
      <c r="EM48" s="710"/>
      <c r="EN48" s="710"/>
      <c r="EO48" s="710"/>
      <c r="EP48" s="710"/>
      <c r="EQ48" s="710"/>
      <c r="ER48" s="710"/>
      <c r="ES48" s="710"/>
      <c r="ET48" s="710"/>
      <c r="EU48" s="710"/>
      <c r="EV48" s="710"/>
      <c r="EW48" s="710"/>
      <c r="EX48" s="710"/>
      <c r="EY48" s="710"/>
      <c r="EZ48" s="710"/>
      <c r="FA48" s="710"/>
      <c r="FB48" s="710"/>
      <c r="FC48" s="710"/>
      <c r="FD48" s="710"/>
      <c r="FE48" s="710"/>
      <c r="FF48" s="710"/>
      <c r="FG48" s="710"/>
      <c r="FH48" s="710"/>
      <c r="FI48" s="710"/>
      <c r="FJ48" s="710"/>
      <c r="FK48" s="710"/>
      <c r="FL48" s="710"/>
      <c r="FM48" s="710"/>
      <c r="FN48" s="710"/>
      <c r="FO48" s="710"/>
      <c r="FP48" s="710"/>
      <c r="FQ48" s="710"/>
      <c r="FR48" s="710"/>
      <c r="FS48" s="710"/>
      <c r="FT48" s="710"/>
      <c r="FU48" s="710"/>
      <c r="FV48" s="710"/>
      <c r="FW48" s="710"/>
      <c r="FX48" s="710"/>
      <c r="FY48" s="710"/>
      <c r="FZ48" s="710"/>
      <c r="GA48" s="710"/>
      <c r="GB48" s="710"/>
      <c r="GC48" s="710"/>
      <c r="GD48" s="710"/>
      <c r="GE48" s="710"/>
      <c r="GF48" s="710"/>
      <c r="GG48" s="710"/>
      <c r="GH48" s="710"/>
      <c r="GI48" s="710"/>
      <c r="GJ48" s="710"/>
      <c r="GK48" s="710"/>
      <c r="GL48" s="710"/>
      <c r="GM48" s="710"/>
      <c r="GN48" s="710"/>
      <c r="GO48" s="710"/>
      <c r="GP48" s="710"/>
      <c r="GQ48" s="710"/>
      <c r="GR48" s="710"/>
      <c r="GS48" s="710"/>
      <c r="GT48" s="710"/>
      <c r="GU48" s="710"/>
      <c r="GV48" s="710"/>
      <c r="GW48" s="710"/>
    </row>
    <row r="49" spans="1:205" x14ac:dyDescent="0.25">
      <c r="A49" s="834" t="s">
        <v>999</v>
      </c>
      <c r="B49" s="251"/>
      <c r="C49" s="11"/>
      <c r="D49" s="658" t="s">
        <v>726</v>
      </c>
      <c r="E49" s="660"/>
      <c r="F49" s="660"/>
      <c r="G49" s="77"/>
      <c r="H49" s="77"/>
      <c r="I49" s="710"/>
      <c r="J49" s="710"/>
      <c r="K49" s="710"/>
      <c r="L49" s="710"/>
      <c r="M49" s="710"/>
      <c r="N49" s="710"/>
      <c r="O49" s="710"/>
      <c r="P49" s="710"/>
      <c r="Q49" s="710"/>
      <c r="R49" s="710"/>
      <c r="S49" s="710"/>
      <c r="T49" s="710"/>
      <c r="U49" s="710"/>
      <c r="V49" s="710"/>
      <c r="W49" s="710"/>
      <c r="X49" s="710"/>
      <c r="Y49" s="710"/>
      <c r="Z49" s="710"/>
      <c r="AA49" s="710"/>
      <c r="AB49" s="710"/>
      <c r="AC49" s="710"/>
      <c r="AD49" s="710"/>
      <c r="AE49" s="710"/>
      <c r="AF49" s="710"/>
      <c r="AG49" s="710"/>
      <c r="AH49" s="710"/>
      <c r="AI49" s="710"/>
      <c r="AJ49" s="710"/>
      <c r="AK49" s="710"/>
      <c r="AL49" s="710"/>
      <c r="AM49" s="710"/>
      <c r="AN49" s="710"/>
      <c r="AO49" s="710"/>
      <c r="AP49" s="710"/>
      <c r="AQ49" s="710"/>
      <c r="AR49" s="710"/>
      <c r="AS49" s="710"/>
      <c r="AT49" s="710"/>
      <c r="AU49" s="710"/>
      <c r="AV49" s="710"/>
      <c r="AW49" s="710"/>
      <c r="AX49" s="710"/>
      <c r="AY49" s="710"/>
      <c r="AZ49" s="710"/>
      <c r="BA49" s="710"/>
      <c r="BB49" s="710"/>
      <c r="BC49" s="710"/>
      <c r="BD49" s="710"/>
      <c r="BE49" s="710"/>
      <c r="BF49" s="710"/>
      <c r="BG49" s="710"/>
      <c r="BH49" s="710"/>
      <c r="BI49" s="710"/>
      <c r="BJ49" s="710"/>
      <c r="BK49" s="710"/>
      <c r="BL49" s="710"/>
      <c r="BM49" s="710"/>
      <c r="BN49" s="710"/>
      <c r="BO49" s="710"/>
      <c r="BP49" s="710"/>
      <c r="BQ49" s="710"/>
      <c r="BR49" s="710"/>
      <c r="BS49" s="710"/>
      <c r="BT49" s="710"/>
      <c r="BU49" s="710"/>
      <c r="BV49" s="710"/>
      <c r="BW49" s="710"/>
      <c r="BX49" s="710"/>
      <c r="BY49" s="710"/>
      <c r="BZ49" s="710"/>
      <c r="CA49" s="710"/>
      <c r="CB49" s="710"/>
      <c r="CC49" s="710"/>
      <c r="CD49" s="710"/>
      <c r="CE49" s="710"/>
      <c r="CF49" s="710"/>
      <c r="CG49" s="710"/>
      <c r="CH49" s="710"/>
      <c r="CI49" s="710"/>
      <c r="CJ49" s="710"/>
      <c r="CK49" s="710"/>
      <c r="CL49" s="710"/>
      <c r="CM49" s="710"/>
      <c r="CN49" s="710"/>
      <c r="CO49" s="710"/>
      <c r="CP49" s="710"/>
      <c r="CQ49" s="710"/>
      <c r="CR49" s="710"/>
      <c r="CS49" s="710"/>
      <c r="CT49" s="710"/>
      <c r="CU49" s="710"/>
      <c r="CV49" s="710"/>
      <c r="CW49" s="710"/>
      <c r="CX49" s="710"/>
      <c r="CY49" s="710"/>
      <c r="CZ49" s="710"/>
      <c r="DA49" s="710"/>
      <c r="DB49" s="710"/>
      <c r="DC49" s="710"/>
      <c r="DD49" s="710"/>
      <c r="DE49" s="710"/>
      <c r="DF49" s="710"/>
      <c r="DG49" s="710"/>
      <c r="DH49" s="710"/>
      <c r="DI49" s="710"/>
      <c r="DJ49" s="710"/>
      <c r="DK49" s="710"/>
      <c r="DL49" s="710"/>
      <c r="DM49" s="710"/>
      <c r="DN49" s="710"/>
      <c r="DO49" s="710"/>
      <c r="DP49" s="710"/>
      <c r="DQ49" s="710"/>
      <c r="DR49" s="710"/>
      <c r="DS49" s="710"/>
      <c r="DT49" s="710"/>
      <c r="DU49" s="710"/>
      <c r="DV49" s="710"/>
      <c r="DW49" s="710"/>
      <c r="DX49" s="710"/>
      <c r="DY49" s="710"/>
      <c r="DZ49" s="710"/>
      <c r="EA49" s="710"/>
      <c r="EB49" s="710"/>
      <c r="EC49" s="710"/>
      <c r="ED49" s="710"/>
      <c r="EE49" s="710"/>
      <c r="EF49" s="710"/>
      <c r="EG49" s="710"/>
      <c r="EH49" s="710"/>
      <c r="EI49" s="710"/>
      <c r="EJ49" s="710"/>
      <c r="EK49" s="710"/>
      <c r="EL49" s="710"/>
      <c r="EM49" s="710"/>
      <c r="EN49" s="710"/>
      <c r="EO49" s="710"/>
      <c r="EP49" s="710"/>
      <c r="EQ49" s="710"/>
      <c r="ER49" s="710"/>
      <c r="ES49" s="710"/>
      <c r="ET49" s="710"/>
      <c r="EU49" s="710"/>
      <c r="EV49" s="710"/>
      <c r="EW49" s="710"/>
      <c r="EX49" s="710"/>
      <c r="EY49" s="710"/>
      <c r="EZ49" s="710"/>
      <c r="FA49" s="710"/>
      <c r="FB49" s="710"/>
      <c r="FC49" s="710"/>
      <c r="FD49" s="710"/>
      <c r="FE49" s="710"/>
      <c r="FF49" s="710"/>
      <c r="FG49" s="710"/>
      <c r="FH49" s="710"/>
      <c r="FI49" s="710"/>
      <c r="FJ49" s="710"/>
      <c r="FK49" s="710"/>
      <c r="FL49" s="710"/>
      <c r="FM49" s="710"/>
      <c r="FN49" s="710"/>
      <c r="FO49" s="710"/>
      <c r="FP49" s="710"/>
      <c r="FQ49" s="710"/>
      <c r="FR49" s="710"/>
      <c r="FS49" s="710"/>
      <c r="FT49" s="710"/>
      <c r="FU49" s="710"/>
      <c r="FV49" s="710"/>
      <c r="FW49" s="710"/>
      <c r="FX49" s="710"/>
      <c r="FY49" s="710"/>
      <c r="FZ49" s="710"/>
      <c r="GA49" s="710"/>
      <c r="GB49" s="710"/>
      <c r="GC49" s="710"/>
      <c r="GD49" s="710"/>
      <c r="GE49" s="710"/>
      <c r="GF49" s="710"/>
      <c r="GG49" s="710"/>
      <c r="GH49" s="710"/>
      <c r="GI49" s="710"/>
      <c r="GJ49" s="710"/>
      <c r="GK49" s="710"/>
      <c r="GL49" s="710"/>
      <c r="GM49" s="710"/>
      <c r="GN49" s="710"/>
      <c r="GO49" s="710"/>
      <c r="GP49" s="710"/>
      <c r="GQ49" s="710"/>
      <c r="GR49" s="710"/>
      <c r="GS49" s="710"/>
      <c r="GT49" s="710"/>
      <c r="GU49" s="710"/>
      <c r="GV49" s="710"/>
      <c r="GW49" s="710"/>
    </row>
    <row r="50" spans="1:205" x14ac:dyDescent="0.25">
      <c r="A50" s="54"/>
      <c r="B50" s="3"/>
      <c r="C50" s="11"/>
      <c r="D50" s="661"/>
      <c r="E50" s="658"/>
      <c r="F50" s="658"/>
      <c r="G50" s="77"/>
      <c r="H50" s="77"/>
      <c r="I50" s="710"/>
      <c r="J50" s="710"/>
      <c r="K50" s="710"/>
      <c r="L50" s="710"/>
      <c r="M50" s="710"/>
      <c r="N50" s="710"/>
      <c r="O50" s="710"/>
      <c r="P50" s="710"/>
      <c r="Q50" s="710"/>
      <c r="R50" s="710"/>
      <c r="S50" s="710"/>
      <c r="T50" s="710"/>
      <c r="U50" s="710"/>
      <c r="V50" s="710"/>
      <c r="W50" s="710"/>
      <c r="X50" s="710"/>
      <c r="Y50" s="710"/>
      <c r="Z50" s="710"/>
      <c r="AA50" s="710"/>
      <c r="AB50" s="710"/>
      <c r="AC50" s="710"/>
      <c r="AD50" s="710"/>
      <c r="AE50" s="710"/>
      <c r="AF50" s="710"/>
      <c r="AG50" s="710"/>
      <c r="AH50" s="710"/>
      <c r="AI50" s="710"/>
      <c r="AJ50" s="710"/>
      <c r="AK50" s="710"/>
      <c r="AL50" s="710"/>
      <c r="AM50" s="710"/>
      <c r="AN50" s="710"/>
      <c r="AO50" s="710"/>
      <c r="AP50" s="710"/>
      <c r="AQ50" s="710"/>
      <c r="AR50" s="710"/>
      <c r="AS50" s="710"/>
      <c r="AT50" s="710"/>
      <c r="AU50" s="710"/>
      <c r="AV50" s="710"/>
      <c r="AW50" s="710"/>
      <c r="AX50" s="710"/>
      <c r="AY50" s="710"/>
      <c r="AZ50" s="710"/>
      <c r="BA50" s="710"/>
      <c r="BB50" s="710"/>
      <c r="BC50" s="710"/>
      <c r="BD50" s="710"/>
      <c r="BE50" s="710"/>
      <c r="BF50" s="710"/>
      <c r="BG50" s="710"/>
      <c r="BH50" s="710"/>
      <c r="BI50" s="710"/>
      <c r="BJ50" s="710"/>
      <c r="BK50" s="710"/>
      <c r="BL50" s="710"/>
      <c r="BM50" s="710"/>
      <c r="BN50" s="710"/>
      <c r="BO50" s="710"/>
      <c r="BP50" s="710"/>
      <c r="BQ50" s="710"/>
      <c r="BR50" s="710"/>
      <c r="BS50" s="710"/>
      <c r="BT50" s="710"/>
      <c r="BU50" s="710"/>
      <c r="BV50" s="710"/>
      <c r="BW50" s="710"/>
      <c r="BX50" s="710"/>
      <c r="BY50" s="710"/>
      <c r="BZ50" s="710"/>
      <c r="CA50" s="710"/>
      <c r="CB50" s="710"/>
      <c r="CC50" s="710"/>
      <c r="CD50" s="710"/>
      <c r="CE50" s="710"/>
      <c r="CF50" s="710"/>
      <c r="CG50" s="710"/>
      <c r="CH50" s="710"/>
      <c r="CI50" s="710"/>
      <c r="CJ50" s="710"/>
      <c r="CK50" s="710"/>
      <c r="CL50" s="710"/>
      <c r="CM50" s="710"/>
      <c r="CN50" s="710"/>
      <c r="CO50" s="710"/>
      <c r="CP50" s="710"/>
      <c r="CQ50" s="710"/>
      <c r="CR50" s="710"/>
      <c r="CS50" s="710"/>
      <c r="CT50" s="710"/>
      <c r="CU50" s="710"/>
      <c r="CV50" s="710"/>
      <c r="CW50" s="710"/>
      <c r="CX50" s="710"/>
      <c r="CY50" s="710"/>
      <c r="CZ50" s="710"/>
      <c r="DA50" s="710"/>
      <c r="DB50" s="710"/>
      <c r="DC50" s="710"/>
      <c r="DD50" s="710"/>
      <c r="DE50" s="710"/>
      <c r="DF50" s="710"/>
      <c r="DG50" s="710"/>
      <c r="DH50" s="710"/>
      <c r="DI50" s="710"/>
      <c r="DJ50" s="710"/>
      <c r="DK50" s="710"/>
      <c r="DL50" s="710"/>
      <c r="DM50" s="710"/>
      <c r="DN50" s="710"/>
      <c r="DO50" s="710"/>
      <c r="DP50" s="710"/>
      <c r="DQ50" s="710"/>
      <c r="DR50" s="710"/>
      <c r="DS50" s="710"/>
      <c r="DT50" s="710"/>
      <c r="DU50" s="710"/>
      <c r="DV50" s="710"/>
      <c r="DW50" s="710"/>
      <c r="DX50" s="710"/>
      <c r="DY50" s="710"/>
      <c r="DZ50" s="710"/>
      <c r="EA50" s="710"/>
      <c r="EB50" s="710"/>
      <c r="EC50" s="710"/>
      <c r="ED50" s="710"/>
      <c r="EE50" s="710"/>
      <c r="EF50" s="710"/>
      <c r="EG50" s="710"/>
      <c r="EH50" s="710"/>
      <c r="EI50" s="710"/>
      <c r="EJ50" s="710"/>
      <c r="EK50" s="710"/>
      <c r="EL50" s="710"/>
      <c r="EM50" s="710"/>
      <c r="EN50" s="710"/>
      <c r="EO50" s="710"/>
      <c r="EP50" s="710"/>
      <c r="EQ50" s="710"/>
      <c r="ER50" s="710"/>
      <c r="ES50" s="710"/>
      <c r="ET50" s="710"/>
      <c r="EU50" s="710"/>
      <c r="EV50" s="710"/>
      <c r="EW50" s="710"/>
      <c r="EX50" s="710"/>
      <c r="EY50" s="710"/>
      <c r="EZ50" s="710"/>
      <c r="FA50" s="710"/>
      <c r="FB50" s="710"/>
      <c r="FC50" s="710"/>
      <c r="FD50" s="710"/>
      <c r="FE50" s="710"/>
      <c r="FF50" s="710"/>
      <c r="FG50" s="710"/>
      <c r="FH50" s="710"/>
      <c r="FI50" s="710"/>
      <c r="FJ50" s="710"/>
      <c r="FK50" s="710"/>
      <c r="FL50" s="710"/>
      <c r="FM50" s="710"/>
      <c r="FN50" s="710"/>
      <c r="FO50" s="710"/>
      <c r="FP50" s="710"/>
      <c r="FQ50" s="710"/>
      <c r="FR50" s="710"/>
      <c r="FS50" s="710"/>
      <c r="FT50" s="710"/>
      <c r="FU50" s="710"/>
      <c r="FV50" s="710"/>
      <c r="FW50" s="710"/>
      <c r="FX50" s="710"/>
      <c r="FY50" s="710"/>
      <c r="FZ50" s="710"/>
      <c r="GA50" s="710"/>
      <c r="GB50" s="710"/>
      <c r="GC50" s="710"/>
      <c r="GD50" s="710"/>
      <c r="GE50" s="710"/>
      <c r="GF50" s="710"/>
      <c r="GG50" s="710"/>
      <c r="GH50" s="710"/>
      <c r="GI50" s="710"/>
      <c r="GJ50" s="710"/>
      <c r="GK50" s="710"/>
      <c r="GL50" s="710"/>
      <c r="GM50" s="710"/>
      <c r="GN50" s="710"/>
      <c r="GO50" s="710"/>
      <c r="GP50" s="710"/>
      <c r="GQ50" s="710"/>
      <c r="GR50" s="710"/>
      <c r="GS50" s="710"/>
      <c r="GT50" s="710"/>
      <c r="GU50" s="710"/>
      <c r="GV50" s="710"/>
      <c r="GW50" s="710"/>
    </row>
    <row r="51" spans="1:205" x14ac:dyDescent="0.25">
      <c r="A51" s="479" t="s">
        <v>118</v>
      </c>
      <c r="B51" s="255">
        <f>G1-1</f>
        <v>2019</v>
      </c>
      <c r="C51" s="11"/>
      <c r="D51" s="658" t="s">
        <v>726</v>
      </c>
      <c r="E51" s="660"/>
      <c r="F51" s="660"/>
      <c r="G51" s="77"/>
      <c r="H51" s="77"/>
      <c r="I51" s="710"/>
      <c r="J51" s="710"/>
      <c r="K51" s="710"/>
      <c r="L51" s="710"/>
      <c r="M51" s="710"/>
      <c r="N51" s="710"/>
      <c r="O51" s="710"/>
      <c r="P51" s="710"/>
      <c r="Q51" s="710"/>
      <c r="R51" s="710"/>
      <c r="S51" s="710"/>
      <c r="T51" s="710"/>
      <c r="U51" s="710"/>
      <c r="V51" s="710"/>
      <c r="W51" s="710"/>
      <c r="X51" s="710"/>
      <c r="Y51" s="710"/>
      <c r="Z51" s="710"/>
      <c r="AA51" s="710"/>
      <c r="AB51" s="710"/>
      <c r="AC51" s="710"/>
      <c r="AD51" s="710"/>
      <c r="AE51" s="710"/>
      <c r="AF51" s="710"/>
      <c r="AG51" s="710"/>
      <c r="AH51" s="710"/>
      <c r="AI51" s="710"/>
      <c r="AJ51" s="710"/>
      <c r="AK51" s="710"/>
      <c r="AL51" s="710"/>
      <c r="AM51" s="710"/>
      <c r="AN51" s="710"/>
      <c r="AO51" s="710"/>
      <c r="AP51" s="710"/>
      <c r="AQ51" s="710"/>
      <c r="AR51" s="710"/>
      <c r="AS51" s="710"/>
      <c r="AT51" s="710"/>
      <c r="AU51" s="710"/>
      <c r="AV51" s="710"/>
      <c r="AW51" s="710"/>
      <c r="AX51" s="710"/>
      <c r="AY51" s="710"/>
      <c r="AZ51" s="710"/>
      <c r="BA51" s="710"/>
      <c r="BB51" s="710"/>
      <c r="BC51" s="710"/>
      <c r="BD51" s="710"/>
      <c r="BE51" s="710"/>
      <c r="BF51" s="710"/>
      <c r="BG51" s="710"/>
      <c r="BH51" s="710"/>
      <c r="BI51" s="710"/>
      <c r="BJ51" s="710"/>
      <c r="BK51" s="710"/>
      <c r="BL51" s="710"/>
      <c r="BM51" s="710"/>
      <c r="BN51" s="710"/>
      <c r="BO51" s="710"/>
      <c r="BP51" s="710"/>
      <c r="BQ51" s="710"/>
      <c r="BR51" s="710"/>
      <c r="BS51" s="710"/>
      <c r="BT51" s="710"/>
      <c r="BU51" s="710"/>
      <c r="BV51" s="710"/>
      <c r="BW51" s="710"/>
      <c r="BX51" s="710"/>
      <c r="BY51" s="710"/>
      <c r="BZ51" s="710"/>
      <c r="CA51" s="710"/>
      <c r="CB51" s="710"/>
      <c r="CC51" s="710"/>
      <c r="CD51" s="710"/>
      <c r="CE51" s="710"/>
      <c r="CF51" s="710"/>
      <c r="CG51" s="710"/>
      <c r="CH51" s="710"/>
      <c r="CI51" s="710"/>
      <c r="CJ51" s="710"/>
      <c r="CK51" s="710"/>
      <c r="CL51" s="710"/>
      <c r="CM51" s="710"/>
      <c r="CN51" s="710"/>
      <c r="CO51" s="710"/>
      <c r="CP51" s="710"/>
      <c r="CQ51" s="710"/>
      <c r="CR51" s="710"/>
      <c r="CS51" s="710"/>
      <c r="CT51" s="710"/>
      <c r="CU51" s="710"/>
      <c r="CV51" s="710"/>
      <c r="CW51" s="710"/>
      <c r="CX51" s="710"/>
      <c r="CY51" s="710"/>
      <c r="CZ51" s="710"/>
      <c r="DA51" s="710"/>
      <c r="DB51" s="710"/>
      <c r="DC51" s="710"/>
      <c r="DD51" s="710"/>
      <c r="DE51" s="710"/>
      <c r="DF51" s="710"/>
      <c r="DG51" s="710"/>
      <c r="DH51" s="710"/>
      <c r="DI51" s="710"/>
      <c r="DJ51" s="710"/>
      <c r="DK51" s="710"/>
      <c r="DL51" s="710"/>
      <c r="DM51" s="710"/>
      <c r="DN51" s="710"/>
      <c r="DO51" s="710"/>
      <c r="DP51" s="710"/>
      <c r="DQ51" s="710"/>
      <c r="DR51" s="710"/>
      <c r="DS51" s="710"/>
      <c r="DT51" s="710"/>
      <c r="DU51" s="710"/>
      <c r="DV51" s="710"/>
      <c r="DW51" s="710"/>
      <c r="DX51" s="710"/>
      <c r="DY51" s="710"/>
      <c r="DZ51" s="710"/>
      <c r="EA51" s="710"/>
      <c r="EB51" s="710"/>
      <c r="EC51" s="710"/>
      <c r="ED51" s="710"/>
      <c r="EE51" s="710"/>
      <c r="EF51" s="710"/>
      <c r="EG51" s="710"/>
      <c r="EH51" s="710"/>
      <c r="EI51" s="710"/>
      <c r="EJ51" s="710"/>
      <c r="EK51" s="710"/>
      <c r="EL51" s="710"/>
      <c r="EM51" s="710"/>
      <c r="EN51" s="710"/>
      <c r="EO51" s="710"/>
      <c r="EP51" s="710"/>
      <c r="EQ51" s="710"/>
      <c r="ER51" s="710"/>
      <c r="ES51" s="710"/>
      <c r="ET51" s="710"/>
      <c r="EU51" s="710"/>
      <c r="EV51" s="710"/>
      <c r="EW51" s="710"/>
      <c r="EX51" s="710"/>
      <c r="EY51" s="710"/>
      <c r="EZ51" s="710"/>
      <c r="FA51" s="710"/>
      <c r="FB51" s="710"/>
      <c r="FC51" s="710"/>
      <c r="FD51" s="710"/>
      <c r="FE51" s="710"/>
      <c r="FF51" s="710"/>
      <c r="FG51" s="710"/>
      <c r="FH51" s="710"/>
      <c r="FI51" s="710"/>
      <c r="FJ51" s="710"/>
      <c r="FK51" s="710"/>
      <c r="FL51" s="710"/>
      <c r="FM51" s="710"/>
      <c r="FN51" s="710"/>
      <c r="FO51" s="710"/>
      <c r="FP51" s="710"/>
      <c r="FQ51" s="710"/>
      <c r="FR51" s="710"/>
      <c r="FS51" s="710"/>
      <c r="FT51" s="710"/>
      <c r="FU51" s="710"/>
      <c r="FV51" s="710"/>
      <c r="FW51" s="710"/>
      <c r="FX51" s="710"/>
      <c r="FY51" s="710"/>
      <c r="FZ51" s="710"/>
      <c r="GA51" s="710"/>
      <c r="GB51" s="710"/>
      <c r="GC51" s="710"/>
      <c r="GD51" s="710"/>
      <c r="GE51" s="710"/>
      <c r="GF51" s="710"/>
      <c r="GG51" s="710"/>
      <c r="GH51" s="710"/>
      <c r="GI51" s="710"/>
      <c r="GJ51" s="710"/>
      <c r="GK51" s="710"/>
      <c r="GL51" s="710"/>
      <c r="GM51" s="710"/>
      <c r="GN51" s="710"/>
      <c r="GO51" s="710"/>
      <c r="GP51" s="710"/>
      <c r="GQ51" s="710"/>
      <c r="GR51" s="710"/>
      <c r="GS51" s="710"/>
      <c r="GT51" s="710"/>
      <c r="GU51" s="710"/>
      <c r="GV51" s="710"/>
      <c r="GW51" s="710"/>
    </row>
    <row r="52" spans="1:205" x14ac:dyDescent="0.25">
      <c r="A52" s="3"/>
      <c r="B52" s="3"/>
      <c r="C52" s="3"/>
      <c r="D52" s="658"/>
      <c r="E52" s="661"/>
      <c r="F52" s="658"/>
      <c r="G52" s="77"/>
      <c r="H52" s="77"/>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710"/>
      <c r="AP52" s="710"/>
      <c r="AQ52" s="710"/>
      <c r="AR52" s="710"/>
      <c r="AS52" s="710"/>
      <c r="AT52" s="710"/>
      <c r="AU52" s="710"/>
      <c r="AV52" s="710"/>
      <c r="AW52" s="710"/>
      <c r="AX52" s="710"/>
      <c r="AY52" s="710"/>
      <c r="AZ52" s="710"/>
      <c r="BA52" s="710"/>
      <c r="BB52" s="710"/>
      <c r="BC52" s="710"/>
      <c r="BD52" s="710"/>
      <c r="BE52" s="710"/>
      <c r="BF52" s="710"/>
      <c r="BG52" s="710"/>
      <c r="BH52" s="710"/>
      <c r="BI52" s="710"/>
      <c r="BJ52" s="710"/>
      <c r="BK52" s="710"/>
      <c r="BL52" s="710"/>
      <c r="BM52" s="710"/>
      <c r="BN52" s="710"/>
      <c r="BO52" s="710"/>
      <c r="BP52" s="710"/>
      <c r="BQ52" s="710"/>
      <c r="BR52" s="710"/>
      <c r="BS52" s="710"/>
      <c r="BT52" s="710"/>
      <c r="BU52" s="710"/>
      <c r="BV52" s="710"/>
      <c r="BW52" s="710"/>
      <c r="BX52" s="710"/>
      <c r="BY52" s="710"/>
      <c r="BZ52" s="710"/>
      <c r="CA52" s="710"/>
      <c r="CB52" s="710"/>
      <c r="CC52" s="710"/>
      <c r="CD52" s="710"/>
      <c r="CE52" s="710"/>
      <c r="CF52" s="710"/>
      <c r="CG52" s="710"/>
      <c r="CH52" s="710"/>
      <c r="CI52" s="710"/>
      <c r="CJ52" s="710"/>
      <c r="CK52" s="710"/>
      <c r="CL52" s="710"/>
      <c r="CM52" s="710"/>
      <c r="CN52" s="710"/>
      <c r="CO52" s="710"/>
      <c r="CP52" s="710"/>
      <c r="CQ52" s="710"/>
      <c r="CR52" s="710"/>
      <c r="CS52" s="710"/>
      <c r="CT52" s="710"/>
      <c r="CU52" s="710"/>
      <c r="CV52" s="710"/>
      <c r="CW52" s="710"/>
      <c r="CX52" s="710"/>
      <c r="CY52" s="710"/>
      <c r="CZ52" s="710"/>
      <c r="DA52" s="710"/>
      <c r="DB52" s="710"/>
      <c r="DC52" s="710"/>
      <c r="DD52" s="710"/>
      <c r="DE52" s="710"/>
      <c r="DF52" s="710"/>
      <c r="DG52" s="710"/>
      <c r="DH52" s="710"/>
      <c r="DI52" s="710"/>
      <c r="DJ52" s="710"/>
      <c r="DK52" s="710"/>
      <c r="DL52" s="710"/>
      <c r="DM52" s="710"/>
      <c r="DN52" s="710"/>
      <c r="DO52" s="710"/>
      <c r="DP52" s="710"/>
      <c r="DQ52" s="710"/>
      <c r="DR52" s="710"/>
      <c r="DS52" s="710"/>
      <c r="DT52" s="710"/>
      <c r="DU52" s="710"/>
      <c r="DV52" s="710"/>
      <c r="DW52" s="710"/>
      <c r="DX52" s="710"/>
      <c r="DY52" s="710"/>
      <c r="DZ52" s="710"/>
      <c r="EA52" s="710"/>
      <c r="EB52" s="710"/>
      <c r="EC52" s="710"/>
      <c r="ED52" s="710"/>
      <c r="EE52" s="710"/>
      <c r="EF52" s="710"/>
      <c r="EG52" s="710"/>
      <c r="EH52" s="710"/>
      <c r="EI52" s="710"/>
      <c r="EJ52" s="710"/>
      <c r="EK52" s="710"/>
      <c r="EL52" s="710"/>
      <c r="EM52" s="710"/>
      <c r="EN52" s="710"/>
      <c r="EO52" s="710"/>
      <c r="EP52" s="710"/>
      <c r="EQ52" s="710"/>
      <c r="ER52" s="710"/>
      <c r="ES52" s="710"/>
      <c r="ET52" s="710"/>
      <c r="EU52" s="710"/>
      <c r="EV52" s="710"/>
      <c r="EW52" s="710"/>
      <c r="EX52" s="710"/>
      <c r="EY52" s="710"/>
      <c r="EZ52" s="710"/>
      <c r="FA52" s="710"/>
      <c r="FB52" s="710"/>
      <c r="FC52" s="710"/>
      <c r="FD52" s="710"/>
      <c r="FE52" s="710"/>
      <c r="FF52" s="710"/>
      <c r="FG52" s="710"/>
      <c r="FH52" s="710"/>
      <c r="FI52" s="710"/>
      <c r="FJ52" s="710"/>
      <c r="FK52" s="710"/>
      <c r="FL52" s="710"/>
      <c r="FM52" s="710"/>
      <c r="FN52" s="710"/>
      <c r="FO52" s="710"/>
      <c r="FP52" s="710"/>
      <c r="FQ52" s="710"/>
      <c r="FR52" s="710"/>
      <c r="FS52" s="710"/>
      <c r="FT52" s="710"/>
      <c r="FU52" s="710"/>
      <c r="FV52" s="710"/>
      <c r="FW52" s="710"/>
      <c r="FX52" s="710"/>
      <c r="FY52" s="710"/>
      <c r="FZ52" s="710"/>
      <c r="GA52" s="710"/>
      <c r="GB52" s="710"/>
      <c r="GC52" s="710"/>
      <c r="GD52" s="710"/>
      <c r="GE52" s="710"/>
      <c r="GF52" s="710"/>
      <c r="GG52" s="710"/>
      <c r="GH52" s="710"/>
      <c r="GI52" s="710"/>
      <c r="GJ52" s="710"/>
      <c r="GK52" s="710"/>
      <c r="GL52" s="710"/>
      <c r="GM52" s="710"/>
      <c r="GN52" s="710"/>
      <c r="GO52" s="710"/>
      <c r="GP52" s="710"/>
      <c r="GQ52" s="710"/>
      <c r="GR52" s="710"/>
      <c r="GS52" s="710"/>
      <c r="GT52" s="710"/>
      <c r="GU52" s="710"/>
      <c r="GV52" s="710"/>
      <c r="GW52" s="710"/>
    </row>
    <row r="53" spans="1:205" x14ac:dyDescent="0.25">
      <c r="A53" s="469"/>
      <c r="B53" s="3"/>
      <c r="C53" s="3"/>
      <c r="D53" s="658" t="s">
        <v>726</v>
      </c>
      <c r="E53" s="658"/>
      <c r="F53" s="658"/>
      <c r="G53" s="77"/>
      <c r="H53" s="77"/>
      <c r="I53" s="710"/>
      <c r="J53" s="710"/>
      <c r="K53" s="710"/>
      <c r="L53" s="710"/>
      <c r="M53" s="710"/>
      <c r="N53" s="710"/>
      <c r="O53" s="710"/>
      <c r="P53" s="710"/>
      <c r="Q53" s="710"/>
      <c r="R53" s="710"/>
      <c r="S53" s="710"/>
      <c r="T53" s="710"/>
      <c r="U53" s="710"/>
      <c r="V53" s="710"/>
      <c r="W53" s="710"/>
      <c r="X53" s="710"/>
      <c r="Y53" s="710"/>
      <c r="Z53" s="710"/>
      <c r="AA53" s="710"/>
      <c r="AB53" s="710"/>
      <c r="AC53" s="710"/>
      <c r="AD53" s="710"/>
      <c r="AE53" s="710"/>
      <c r="AF53" s="710"/>
      <c r="AG53" s="710"/>
      <c r="AH53" s="710"/>
      <c r="AI53" s="710"/>
      <c r="AJ53" s="710"/>
      <c r="AK53" s="710"/>
      <c r="AL53" s="710"/>
      <c r="AM53" s="710"/>
      <c r="AN53" s="710"/>
      <c r="AO53" s="710"/>
      <c r="AP53" s="710"/>
      <c r="AQ53" s="710"/>
      <c r="AR53" s="710"/>
      <c r="AS53" s="710"/>
      <c r="AT53" s="710"/>
      <c r="AU53" s="710"/>
      <c r="AV53" s="710"/>
      <c r="AW53" s="710"/>
      <c r="AX53" s="710"/>
      <c r="AY53" s="710"/>
      <c r="AZ53" s="710"/>
      <c r="BA53" s="710"/>
      <c r="BB53" s="710"/>
      <c r="BC53" s="710"/>
      <c r="BD53" s="710"/>
      <c r="BE53" s="710"/>
      <c r="BF53" s="710"/>
      <c r="BG53" s="710"/>
      <c r="BH53" s="710"/>
      <c r="BI53" s="710"/>
      <c r="BJ53" s="710"/>
      <c r="BK53" s="710"/>
      <c r="BL53" s="710"/>
      <c r="BM53" s="710"/>
      <c r="BN53" s="710"/>
      <c r="BO53" s="710"/>
      <c r="BP53" s="710"/>
      <c r="BQ53" s="710"/>
      <c r="BR53" s="710"/>
      <c r="BS53" s="710"/>
      <c r="BT53" s="710"/>
      <c r="BU53" s="710"/>
      <c r="BV53" s="710"/>
      <c r="BW53" s="710"/>
      <c r="BX53" s="710"/>
      <c r="BY53" s="710"/>
      <c r="BZ53" s="710"/>
      <c r="CA53" s="710"/>
      <c r="CB53" s="710"/>
      <c r="CC53" s="710"/>
      <c r="CD53" s="710"/>
      <c r="CE53" s="710"/>
      <c r="CF53" s="710"/>
      <c r="CG53" s="710"/>
      <c r="CH53" s="710"/>
      <c r="CI53" s="710"/>
      <c r="CJ53" s="710"/>
      <c r="CK53" s="710"/>
      <c r="CL53" s="710"/>
      <c r="CM53" s="710"/>
      <c r="CN53" s="710"/>
      <c r="CO53" s="710"/>
      <c r="CP53" s="710"/>
      <c r="CQ53" s="710"/>
      <c r="CR53" s="710"/>
      <c r="CS53" s="710"/>
      <c r="CT53" s="710"/>
      <c r="CU53" s="710"/>
      <c r="CV53" s="710"/>
      <c r="CW53" s="710"/>
      <c r="CX53" s="710"/>
      <c r="CY53" s="710"/>
      <c r="CZ53" s="710"/>
      <c r="DA53" s="710"/>
      <c r="DB53" s="710"/>
      <c r="DC53" s="710"/>
      <c r="DD53" s="710"/>
      <c r="DE53" s="710"/>
      <c r="DF53" s="710"/>
      <c r="DG53" s="710"/>
      <c r="DH53" s="710"/>
      <c r="DI53" s="710"/>
      <c r="DJ53" s="710"/>
      <c r="DK53" s="710"/>
      <c r="DL53" s="710"/>
      <c r="DM53" s="710"/>
      <c r="DN53" s="710"/>
      <c r="DO53" s="710"/>
      <c r="DP53" s="710"/>
      <c r="DQ53" s="710"/>
      <c r="DR53" s="710"/>
      <c r="DS53" s="710"/>
      <c r="DT53" s="710"/>
      <c r="DU53" s="710"/>
      <c r="DV53" s="710"/>
      <c r="DW53" s="710"/>
      <c r="DX53" s="710"/>
      <c r="DY53" s="710"/>
      <c r="DZ53" s="710"/>
      <c r="EA53" s="710"/>
      <c r="EB53" s="710"/>
      <c r="EC53" s="710"/>
      <c r="ED53" s="710"/>
      <c r="EE53" s="710"/>
      <c r="EF53" s="710"/>
      <c r="EG53" s="710"/>
      <c r="EH53" s="710"/>
      <c r="EI53" s="710"/>
      <c r="EJ53" s="710"/>
      <c r="EK53" s="710"/>
      <c r="EL53" s="710"/>
      <c r="EM53" s="710"/>
      <c r="EN53" s="710"/>
      <c r="EO53" s="710"/>
      <c r="EP53" s="710"/>
      <c r="EQ53" s="710"/>
      <c r="ER53" s="710"/>
      <c r="ES53" s="710"/>
      <c r="ET53" s="710"/>
      <c r="EU53" s="710"/>
      <c r="EV53" s="710"/>
      <c r="EW53" s="710"/>
      <c r="EX53" s="710"/>
      <c r="EY53" s="710"/>
      <c r="EZ53" s="710"/>
      <c r="FA53" s="710"/>
      <c r="FB53" s="710"/>
      <c r="FC53" s="710"/>
      <c r="FD53" s="710"/>
      <c r="FE53" s="710"/>
      <c r="FF53" s="710"/>
      <c r="FG53" s="710"/>
      <c r="FH53" s="710"/>
      <c r="FI53" s="710"/>
      <c r="FJ53" s="710"/>
      <c r="FK53" s="710"/>
      <c r="FL53" s="710"/>
      <c r="FM53" s="710"/>
      <c r="FN53" s="710"/>
      <c r="FO53" s="710"/>
      <c r="FP53" s="710"/>
      <c r="FQ53" s="710"/>
      <c r="FR53" s="710"/>
      <c r="FS53" s="710"/>
      <c r="FT53" s="710"/>
      <c r="FU53" s="710"/>
      <c r="FV53" s="710"/>
      <c r="FW53" s="710"/>
      <c r="FX53" s="710"/>
      <c r="FY53" s="710"/>
      <c r="FZ53" s="710"/>
      <c r="GA53" s="710"/>
      <c r="GB53" s="710"/>
      <c r="GC53" s="710"/>
      <c r="GD53" s="710"/>
      <c r="GE53" s="710"/>
      <c r="GF53" s="710"/>
      <c r="GG53" s="710"/>
      <c r="GH53" s="710"/>
      <c r="GI53" s="710"/>
      <c r="GJ53" s="710"/>
      <c r="GK53" s="710"/>
      <c r="GL53" s="710"/>
      <c r="GM53" s="710"/>
      <c r="GN53" s="710"/>
      <c r="GO53" s="710"/>
      <c r="GP53" s="710"/>
      <c r="GQ53" s="710"/>
      <c r="GR53" s="710"/>
      <c r="GS53" s="710"/>
      <c r="GT53" s="710"/>
      <c r="GU53" s="710"/>
      <c r="GV53" s="710"/>
      <c r="GW53" s="710"/>
    </row>
    <row r="54" spans="1:205" x14ac:dyDescent="0.25">
      <c r="A54" s="38" t="s">
        <v>253</v>
      </c>
      <c r="B54" s="3"/>
      <c r="C54" s="3"/>
      <c r="D54" s="857" t="s">
        <v>252</v>
      </c>
      <c r="E54" s="858"/>
      <c r="F54" s="858"/>
      <c r="G54" s="77"/>
      <c r="H54" s="77"/>
      <c r="I54" s="710"/>
      <c r="J54" s="710"/>
      <c r="K54" s="710"/>
      <c r="L54" s="710"/>
      <c r="M54" s="710"/>
      <c r="N54" s="710"/>
      <c r="O54" s="710"/>
      <c r="P54" s="710"/>
      <c r="Q54" s="710"/>
      <c r="R54" s="710"/>
      <c r="S54" s="710"/>
      <c r="T54" s="710"/>
      <c r="U54" s="710"/>
      <c r="V54" s="710"/>
      <c r="W54" s="710"/>
      <c r="X54" s="710"/>
      <c r="Y54" s="710"/>
      <c r="Z54" s="710"/>
      <c r="AA54" s="710"/>
      <c r="AB54" s="710"/>
      <c r="AC54" s="710"/>
      <c r="AD54" s="710"/>
      <c r="AE54" s="710"/>
      <c r="AF54" s="710"/>
      <c r="AG54" s="710"/>
      <c r="AH54" s="710"/>
      <c r="AI54" s="710"/>
      <c r="AJ54" s="710"/>
      <c r="AK54" s="710"/>
      <c r="AL54" s="710"/>
      <c r="AM54" s="710"/>
      <c r="AN54" s="710"/>
      <c r="AO54" s="710"/>
      <c r="AP54" s="710"/>
      <c r="AQ54" s="710"/>
      <c r="AR54" s="710"/>
      <c r="AS54" s="710"/>
      <c r="AT54" s="710"/>
      <c r="AU54" s="710"/>
      <c r="AV54" s="710"/>
      <c r="AW54" s="710"/>
      <c r="AX54" s="710"/>
      <c r="AY54" s="710"/>
      <c r="AZ54" s="710"/>
      <c r="BA54" s="710"/>
      <c r="BB54" s="710"/>
      <c r="BC54" s="710"/>
      <c r="BD54" s="710"/>
      <c r="BE54" s="710"/>
      <c r="BF54" s="710"/>
      <c r="BG54" s="710"/>
      <c r="BH54" s="710"/>
      <c r="BI54" s="710"/>
      <c r="BJ54" s="710"/>
      <c r="BK54" s="710"/>
      <c r="BL54" s="710"/>
      <c r="BM54" s="710"/>
      <c r="BN54" s="710"/>
      <c r="BO54" s="710"/>
      <c r="BP54" s="710"/>
      <c r="BQ54" s="710"/>
      <c r="BR54" s="710"/>
      <c r="BS54" s="710"/>
      <c r="BT54" s="710"/>
      <c r="BU54" s="710"/>
      <c r="BV54" s="710"/>
      <c r="BW54" s="710"/>
      <c r="BX54" s="710"/>
      <c r="BY54" s="710"/>
      <c r="BZ54" s="710"/>
      <c r="CA54" s="710"/>
      <c r="CB54" s="710"/>
      <c r="CC54" s="710"/>
      <c r="CD54" s="710"/>
      <c r="CE54" s="710"/>
      <c r="CF54" s="710"/>
      <c r="CG54" s="710"/>
      <c r="CH54" s="710"/>
      <c r="CI54" s="710"/>
      <c r="CJ54" s="710"/>
      <c r="CK54" s="710"/>
      <c r="CL54" s="710"/>
      <c r="CM54" s="710"/>
      <c r="CN54" s="710"/>
      <c r="CO54" s="710"/>
      <c r="CP54" s="710"/>
      <c r="CQ54" s="710"/>
      <c r="CR54" s="710"/>
      <c r="CS54" s="710"/>
      <c r="CT54" s="710"/>
      <c r="CU54" s="710"/>
      <c r="CV54" s="710"/>
      <c r="CW54" s="710"/>
      <c r="CX54" s="710"/>
      <c r="CY54" s="710"/>
      <c r="CZ54" s="710"/>
      <c r="DA54" s="710"/>
      <c r="DB54" s="710"/>
      <c r="DC54" s="710"/>
      <c r="DD54" s="710"/>
      <c r="DE54" s="710"/>
      <c r="DF54" s="710"/>
      <c r="DG54" s="710"/>
      <c r="DH54" s="710"/>
      <c r="DI54" s="710"/>
      <c r="DJ54" s="710"/>
      <c r="DK54" s="710"/>
      <c r="DL54" s="710"/>
      <c r="DM54" s="710"/>
      <c r="DN54" s="710"/>
      <c r="DO54" s="710"/>
      <c r="DP54" s="710"/>
      <c r="DQ54" s="710"/>
      <c r="DR54" s="710"/>
      <c r="DS54" s="710"/>
      <c r="DT54" s="710"/>
      <c r="DU54" s="710"/>
      <c r="DV54" s="710"/>
      <c r="DW54" s="710"/>
      <c r="DX54" s="710"/>
      <c r="DY54" s="710"/>
      <c r="DZ54" s="710"/>
      <c r="EA54" s="710"/>
      <c r="EB54" s="710"/>
      <c r="EC54" s="710"/>
      <c r="ED54" s="710"/>
      <c r="EE54" s="710"/>
      <c r="EF54" s="710"/>
      <c r="EG54" s="710"/>
      <c r="EH54" s="710"/>
      <c r="EI54" s="710"/>
      <c r="EJ54" s="710"/>
      <c r="EK54" s="710"/>
      <c r="EL54" s="710"/>
      <c r="EM54" s="710"/>
      <c r="EN54" s="710"/>
      <c r="EO54" s="710"/>
      <c r="EP54" s="710"/>
      <c r="EQ54" s="710"/>
      <c r="ER54" s="710"/>
      <c r="ES54" s="710"/>
      <c r="ET54" s="710"/>
      <c r="EU54" s="710"/>
      <c r="EV54" s="710"/>
      <c r="EW54" s="710"/>
      <c r="EX54" s="710"/>
      <c r="EY54" s="710"/>
      <c r="EZ54" s="710"/>
      <c r="FA54" s="710"/>
      <c r="FB54" s="710"/>
      <c r="FC54" s="710"/>
      <c r="FD54" s="710"/>
      <c r="FE54" s="710"/>
      <c r="FF54" s="710"/>
      <c r="FG54" s="710"/>
      <c r="FH54" s="710"/>
      <c r="FI54" s="710"/>
      <c r="FJ54" s="710"/>
      <c r="FK54" s="710"/>
      <c r="FL54" s="710"/>
      <c r="FM54" s="710"/>
      <c r="FN54" s="710"/>
      <c r="FO54" s="710"/>
      <c r="FP54" s="710"/>
      <c r="FQ54" s="710"/>
      <c r="FR54" s="710"/>
      <c r="FS54" s="710"/>
      <c r="FT54" s="710"/>
      <c r="FU54" s="710"/>
      <c r="FV54" s="710"/>
      <c r="FW54" s="710"/>
      <c r="FX54" s="710"/>
      <c r="FY54" s="710"/>
      <c r="FZ54" s="710"/>
      <c r="GA54" s="710"/>
      <c r="GB54" s="710"/>
      <c r="GC54" s="710"/>
      <c r="GD54" s="710"/>
      <c r="GE54" s="710"/>
      <c r="GF54" s="710"/>
      <c r="GG54" s="710"/>
      <c r="GH54" s="710"/>
      <c r="GI54" s="710"/>
      <c r="GJ54" s="710"/>
      <c r="GK54" s="710"/>
      <c r="GL54" s="710"/>
      <c r="GM54" s="710"/>
      <c r="GN54" s="710"/>
      <c r="GO54" s="710"/>
      <c r="GP54" s="710"/>
      <c r="GQ54" s="710"/>
      <c r="GR54" s="710"/>
      <c r="GS54" s="710"/>
      <c r="GT54" s="710"/>
      <c r="GU54" s="710"/>
      <c r="GV54" s="710"/>
      <c r="GW54" s="710"/>
    </row>
    <row r="55" spans="1:205" x14ac:dyDescent="0.25">
      <c r="A55" s="3"/>
      <c r="B55" s="3"/>
      <c r="C55" s="3"/>
      <c r="D55" s="3"/>
      <c r="E55" s="3"/>
      <c r="F55" s="3"/>
      <c r="G55" s="77"/>
      <c r="H55" s="77"/>
      <c r="I55" s="710"/>
      <c r="J55" s="710"/>
      <c r="K55" s="710"/>
      <c r="L55" s="710"/>
      <c r="M55" s="710"/>
      <c r="N55" s="710"/>
      <c r="O55" s="710"/>
      <c r="P55" s="710"/>
      <c r="Q55" s="710"/>
      <c r="R55" s="710"/>
      <c r="S55" s="710"/>
      <c r="T55" s="710"/>
      <c r="U55" s="710"/>
      <c r="V55" s="710"/>
      <c r="W55" s="710"/>
      <c r="X55" s="710"/>
      <c r="Y55" s="710"/>
      <c r="Z55" s="710"/>
      <c r="AA55" s="710"/>
      <c r="AB55" s="710"/>
      <c r="AC55" s="710"/>
      <c r="AD55" s="710"/>
      <c r="AE55" s="710"/>
      <c r="AF55" s="710"/>
      <c r="AG55" s="710"/>
      <c r="AH55" s="710"/>
      <c r="AI55" s="710"/>
      <c r="AJ55" s="710"/>
      <c r="AK55" s="710"/>
      <c r="AL55" s="710"/>
      <c r="AM55" s="710"/>
      <c r="AN55" s="710"/>
      <c r="AO55" s="710"/>
      <c r="AP55" s="710"/>
      <c r="AQ55" s="710"/>
      <c r="AR55" s="710"/>
      <c r="AS55" s="710"/>
      <c r="AT55" s="710"/>
      <c r="AU55" s="710"/>
      <c r="AV55" s="710"/>
      <c r="AW55" s="710"/>
      <c r="AX55" s="710"/>
      <c r="AY55" s="710"/>
      <c r="AZ55" s="710"/>
      <c r="BA55" s="710"/>
      <c r="BB55" s="710"/>
      <c r="BC55" s="710"/>
      <c r="BD55" s="710"/>
      <c r="BE55" s="710"/>
      <c r="BF55" s="710"/>
      <c r="BG55" s="710"/>
      <c r="BH55" s="710"/>
      <c r="BI55" s="710"/>
      <c r="BJ55" s="710"/>
      <c r="BK55" s="710"/>
      <c r="BL55" s="710"/>
      <c r="BM55" s="710"/>
      <c r="BN55" s="710"/>
      <c r="BO55" s="710"/>
      <c r="BP55" s="710"/>
      <c r="BQ55" s="710"/>
      <c r="BR55" s="710"/>
      <c r="BS55" s="710"/>
      <c r="BT55" s="710"/>
      <c r="BU55" s="710"/>
      <c r="BV55" s="710"/>
      <c r="BW55" s="710"/>
      <c r="BX55" s="710"/>
      <c r="BY55" s="710"/>
      <c r="BZ55" s="710"/>
      <c r="CA55" s="710"/>
      <c r="CB55" s="710"/>
      <c r="CC55" s="710"/>
      <c r="CD55" s="710"/>
      <c r="CE55" s="710"/>
      <c r="CF55" s="710"/>
      <c r="CG55" s="710"/>
      <c r="CH55" s="710"/>
      <c r="CI55" s="710"/>
      <c r="CJ55" s="710"/>
      <c r="CK55" s="710"/>
      <c r="CL55" s="710"/>
      <c r="CM55" s="710"/>
      <c r="CN55" s="710"/>
      <c r="CO55" s="710"/>
      <c r="CP55" s="710"/>
      <c r="CQ55" s="710"/>
      <c r="CR55" s="710"/>
      <c r="CS55" s="710"/>
      <c r="CT55" s="710"/>
      <c r="CU55" s="710"/>
      <c r="CV55" s="710"/>
      <c r="CW55" s="710"/>
      <c r="CX55" s="710"/>
      <c r="CY55" s="710"/>
      <c r="CZ55" s="710"/>
      <c r="DA55" s="710"/>
      <c r="DB55" s="710"/>
      <c r="DC55" s="710"/>
      <c r="DD55" s="710"/>
      <c r="DE55" s="710"/>
      <c r="DF55" s="710"/>
      <c r="DG55" s="710"/>
      <c r="DH55" s="710"/>
      <c r="DI55" s="710"/>
      <c r="DJ55" s="710"/>
      <c r="DK55" s="710"/>
      <c r="DL55" s="710"/>
      <c r="DM55" s="710"/>
      <c r="DN55" s="710"/>
      <c r="DO55" s="710"/>
      <c r="DP55" s="710"/>
      <c r="DQ55" s="710"/>
      <c r="DR55" s="710"/>
      <c r="DS55" s="710"/>
      <c r="DT55" s="710"/>
      <c r="DU55" s="710"/>
      <c r="DV55" s="710"/>
      <c r="DW55" s="710"/>
      <c r="DX55" s="710"/>
      <c r="DY55" s="710"/>
      <c r="DZ55" s="710"/>
      <c r="EA55" s="710"/>
      <c r="EB55" s="710"/>
      <c r="EC55" s="710"/>
      <c r="ED55" s="710"/>
      <c r="EE55" s="710"/>
      <c r="EF55" s="710"/>
      <c r="EG55" s="710"/>
      <c r="EH55" s="710"/>
      <c r="EI55" s="710"/>
      <c r="EJ55" s="710"/>
      <c r="EK55" s="710"/>
      <c r="EL55" s="710"/>
      <c r="EM55" s="710"/>
      <c r="EN55" s="710"/>
      <c r="EO55" s="710"/>
      <c r="EP55" s="710"/>
      <c r="EQ55" s="710"/>
      <c r="ER55" s="710"/>
      <c r="ES55" s="710"/>
      <c r="ET55" s="710"/>
      <c r="EU55" s="710"/>
      <c r="EV55" s="710"/>
      <c r="EW55" s="710"/>
      <c r="EX55" s="710"/>
      <c r="EY55" s="710"/>
      <c r="EZ55" s="710"/>
      <c r="FA55" s="710"/>
      <c r="FB55" s="710"/>
      <c r="FC55" s="710"/>
      <c r="FD55" s="710"/>
      <c r="FE55" s="710"/>
      <c r="FF55" s="710"/>
      <c r="FG55" s="710"/>
      <c r="FH55" s="710"/>
      <c r="FI55" s="710"/>
      <c r="FJ55" s="710"/>
      <c r="FK55" s="710"/>
      <c r="FL55" s="710"/>
      <c r="FM55" s="710"/>
      <c r="FN55" s="710"/>
      <c r="FO55" s="710"/>
      <c r="FP55" s="710"/>
      <c r="FQ55" s="710"/>
      <c r="FR55" s="710"/>
      <c r="FS55" s="710"/>
      <c r="FT55" s="710"/>
      <c r="FU55" s="710"/>
      <c r="FV55" s="710"/>
      <c r="FW55" s="710"/>
      <c r="FX55" s="710"/>
      <c r="FY55" s="710"/>
      <c r="FZ55" s="710"/>
      <c r="GA55" s="710"/>
      <c r="GB55" s="710"/>
      <c r="GC55" s="710"/>
      <c r="GD55" s="710"/>
      <c r="GE55" s="710"/>
      <c r="GF55" s="710"/>
      <c r="GG55" s="710"/>
      <c r="GH55" s="710"/>
      <c r="GI55" s="710"/>
      <c r="GJ55" s="710"/>
      <c r="GK55" s="710"/>
      <c r="GL55" s="710"/>
      <c r="GM55" s="710"/>
      <c r="GN55" s="710"/>
      <c r="GO55" s="710"/>
      <c r="GP55" s="710"/>
      <c r="GQ55" s="710"/>
      <c r="GR55" s="710"/>
      <c r="GS55" s="710"/>
      <c r="GT55" s="710"/>
      <c r="GU55" s="710"/>
      <c r="GV55" s="710"/>
      <c r="GW55" s="710"/>
    </row>
    <row r="56" spans="1:205" x14ac:dyDescent="0.25">
      <c r="A56" s="3"/>
      <c r="B56" s="3"/>
      <c r="C56" s="3"/>
      <c r="D56" s="3"/>
      <c r="E56" s="3"/>
      <c r="F56" s="3"/>
      <c r="G56" s="77"/>
      <c r="H56" s="77"/>
      <c r="I56" s="710"/>
      <c r="J56" s="710"/>
      <c r="K56" s="710"/>
      <c r="L56" s="710"/>
      <c r="M56" s="710"/>
      <c r="N56" s="710"/>
      <c r="O56" s="710"/>
      <c r="P56" s="710"/>
      <c r="Q56" s="710"/>
      <c r="R56" s="710"/>
      <c r="S56" s="710"/>
      <c r="T56" s="710"/>
      <c r="U56" s="710"/>
      <c r="V56" s="710"/>
      <c r="W56" s="710"/>
      <c r="X56" s="710"/>
      <c r="Y56" s="710"/>
      <c r="Z56" s="710"/>
      <c r="AA56" s="710"/>
      <c r="AB56" s="710"/>
      <c r="AC56" s="710"/>
      <c r="AD56" s="710"/>
      <c r="AE56" s="710"/>
      <c r="AF56" s="710"/>
      <c r="AG56" s="710"/>
      <c r="AH56" s="710"/>
      <c r="AI56" s="710"/>
      <c r="AJ56" s="710"/>
      <c r="AK56" s="710"/>
      <c r="AL56" s="710"/>
      <c r="AM56" s="710"/>
      <c r="AN56" s="710"/>
      <c r="AO56" s="710"/>
      <c r="AP56" s="710"/>
      <c r="AQ56" s="710"/>
      <c r="AR56" s="710"/>
      <c r="AS56" s="710"/>
      <c r="AT56" s="710"/>
      <c r="AU56" s="710"/>
      <c r="AV56" s="710"/>
      <c r="AW56" s="710"/>
      <c r="AX56" s="710"/>
      <c r="AY56" s="710"/>
      <c r="AZ56" s="710"/>
      <c r="BA56" s="710"/>
      <c r="BB56" s="710"/>
      <c r="BC56" s="710"/>
      <c r="BD56" s="710"/>
      <c r="BE56" s="710"/>
      <c r="BF56" s="710"/>
      <c r="BG56" s="710"/>
      <c r="BH56" s="710"/>
      <c r="BI56" s="710"/>
      <c r="BJ56" s="710"/>
      <c r="BK56" s="710"/>
      <c r="BL56" s="710"/>
      <c r="BM56" s="710"/>
      <c r="BN56" s="710"/>
      <c r="BO56" s="710"/>
      <c r="BP56" s="710"/>
      <c r="BQ56" s="710"/>
      <c r="BR56" s="710"/>
      <c r="BS56" s="710"/>
      <c r="BT56" s="710"/>
      <c r="BU56" s="710"/>
      <c r="BV56" s="710"/>
      <c r="BW56" s="710"/>
      <c r="BX56" s="710"/>
      <c r="BY56" s="710"/>
      <c r="BZ56" s="710"/>
      <c r="CA56" s="710"/>
      <c r="CB56" s="710"/>
      <c r="CC56" s="710"/>
      <c r="CD56" s="710"/>
      <c r="CE56" s="710"/>
      <c r="CF56" s="710"/>
      <c r="CG56" s="710"/>
      <c r="CH56" s="710"/>
      <c r="CI56" s="710"/>
      <c r="CJ56" s="710"/>
      <c r="CK56" s="710"/>
      <c r="CL56" s="710"/>
      <c r="CM56" s="710"/>
      <c r="CN56" s="710"/>
      <c r="CO56" s="710"/>
      <c r="CP56" s="710"/>
      <c r="CQ56" s="710"/>
      <c r="CR56" s="710"/>
      <c r="CS56" s="710"/>
      <c r="CT56" s="710"/>
      <c r="CU56" s="710"/>
      <c r="CV56" s="710"/>
      <c r="CW56" s="710"/>
      <c r="CX56" s="710"/>
      <c r="CY56" s="710"/>
      <c r="CZ56" s="710"/>
      <c r="DA56" s="710"/>
      <c r="DB56" s="710"/>
      <c r="DC56" s="710"/>
      <c r="DD56" s="710"/>
      <c r="DE56" s="710"/>
      <c r="DF56" s="710"/>
      <c r="DG56" s="710"/>
      <c r="DH56" s="710"/>
      <c r="DI56" s="710"/>
      <c r="DJ56" s="710"/>
      <c r="DK56" s="710"/>
      <c r="DL56" s="710"/>
      <c r="DM56" s="710"/>
      <c r="DN56" s="710"/>
      <c r="DO56" s="710"/>
      <c r="DP56" s="710"/>
      <c r="DQ56" s="710"/>
      <c r="DR56" s="710"/>
      <c r="DS56" s="710"/>
      <c r="DT56" s="710"/>
      <c r="DU56" s="710"/>
      <c r="DV56" s="710"/>
      <c r="DW56" s="710"/>
      <c r="DX56" s="710"/>
      <c r="DY56" s="710"/>
      <c r="DZ56" s="710"/>
      <c r="EA56" s="710"/>
      <c r="EB56" s="710"/>
      <c r="EC56" s="710"/>
      <c r="ED56" s="710"/>
      <c r="EE56" s="710"/>
      <c r="EF56" s="710"/>
      <c r="EG56" s="710"/>
      <c r="EH56" s="710"/>
      <c r="EI56" s="710"/>
      <c r="EJ56" s="710"/>
      <c r="EK56" s="710"/>
      <c r="EL56" s="710"/>
      <c r="EM56" s="710"/>
      <c r="EN56" s="710"/>
      <c r="EO56" s="710"/>
      <c r="EP56" s="710"/>
      <c r="EQ56" s="710"/>
      <c r="ER56" s="710"/>
      <c r="ES56" s="710"/>
      <c r="ET56" s="710"/>
      <c r="EU56" s="710"/>
      <c r="EV56" s="710"/>
      <c r="EW56" s="710"/>
      <c r="EX56" s="710"/>
      <c r="EY56" s="710"/>
      <c r="EZ56" s="710"/>
      <c r="FA56" s="710"/>
      <c r="FB56" s="710"/>
      <c r="FC56" s="710"/>
      <c r="FD56" s="710"/>
      <c r="FE56" s="710"/>
      <c r="FF56" s="710"/>
      <c r="FG56" s="710"/>
      <c r="FH56" s="710"/>
      <c r="FI56" s="710"/>
      <c r="FJ56" s="710"/>
      <c r="FK56" s="710"/>
      <c r="FL56" s="710"/>
      <c r="FM56" s="710"/>
      <c r="FN56" s="710"/>
      <c r="FO56" s="710"/>
      <c r="FP56" s="710"/>
      <c r="FQ56" s="710"/>
      <c r="FR56" s="710"/>
      <c r="FS56" s="710"/>
      <c r="FT56" s="710"/>
      <c r="FU56" s="710"/>
      <c r="FV56" s="710"/>
      <c r="FW56" s="710"/>
      <c r="FX56" s="710"/>
      <c r="FY56" s="710"/>
      <c r="FZ56" s="710"/>
      <c r="GA56" s="710"/>
      <c r="GB56" s="710"/>
      <c r="GC56" s="710"/>
      <c r="GD56" s="710"/>
      <c r="GE56" s="710"/>
      <c r="GF56" s="710"/>
      <c r="GG56" s="710"/>
      <c r="GH56" s="710"/>
      <c r="GI56" s="710"/>
      <c r="GJ56" s="710"/>
      <c r="GK56" s="710"/>
      <c r="GL56" s="710"/>
      <c r="GM56" s="710"/>
      <c r="GN56" s="710"/>
      <c r="GO56" s="710"/>
      <c r="GP56" s="710"/>
      <c r="GQ56" s="710"/>
      <c r="GR56" s="710"/>
      <c r="GS56" s="710"/>
      <c r="GT56" s="710"/>
      <c r="GU56" s="710"/>
      <c r="GV56" s="710"/>
      <c r="GW56" s="710"/>
    </row>
    <row r="57" spans="1:205" x14ac:dyDescent="0.25">
      <c r="A57" s="3"/>
      <c r="B57" s="3"/>
      <c r="C57" s="3"/>
      <c r="D57" s="3"/>
      <c r="E57" s="3"/>
      <c r="F57" s="3"/>
      <c r="G57" s="77"/>
      <c r="H57" s="77"/>
      <c r="I57" s="710"/>
      <c r="J57" s="710"/>
      <c r="K57" s="710"/>
      <c r="L57" s="710"/>
      <c r="M57" s="710"/>
      <c r="N57" s="710"/>
      <c r="O57" s="710"/>
      <c r="P57" s="710"/>
      <c r="Q57" s="710"/>
      <c r="R57" s="710"/>
      <c r="S57" s="710"/>
      <c r="T57" s="710"/>
      <c r="U57" s="710"/>
      <c r="V57" s="710"/>
      <c r="W57" s="710"/>
      <c r="X57" s="710"/>
      <c r="Y57" s="710"/>
      <c r="Z57" s="710"/>
      <c r="AA57" s="710"/>
      <c r="AB57" s="710"/>
      <c r="AC57" s="710"/>
      <c r="AD57" s="710"/>
      <c r="AE57" s="710"/>
      <c r="AF57" s="710"/>
      <c r="AG57" s="710"/>
      <c r="AH57" s="710"/>
      <c r="AI57" s="710"/>
      <c r="AJ57" s="710"/>
      <c r="AK57" s="710"/>
      <c r="AL57" s="710"/>
      <c r="AM57" s="710"/>
      <c r="AN57" s="710"/>
      <c r="AO57" s="710"/>
      <c r="AP57" s="710"/>
      <c r="AQ57" s="710"/>
      <c r="AR57" s="710"/>
      <c r="AS57" s="710"/>
      <c r="AT57" s="710"/>
      <c r="AU57" s="710"/>
      <c r="AV57" s="710"/>
      <c r="AW57" s="710"/>
      <c r="AX57" s="710"/>
      <c r="AY57" s="710"/>
      <c r="AZ57" s="710"/>
      <c r="BA57" s="710"/>
      <c r="BB57" s="710"/>
      <c r="BC57" s="710"/>
      <c r="BD57" s="710"/>
      <c r="BE57" s="710"/>
      <c r="BF57" s="710"/>
      <c r="BG57" s="710"/>
      <c r="BH57" s="710"/>
      <c r="BI57" s="710"/>
      <c r="BJ57" s="710"/>
      <c r="BK57" s="710"/>
      <c r="BL57" s="710"/>
      <c r="BM57" s="710"/>
      <c r="BN57" s="710"/>
      <c r="BO57" s="710"/>
      <c r="BP57" s="710"/>
      <c r="BQ57" s="710"/>
      <c r="BR57" s="710"/>
      <c r="BS57" s="710"/>
      <c r="BT57" s="710"/>
      <c r="BU57" s="710"/>
      <c r="BV57" s="710"/>
      <c r="BW57" s="710"/>
      <c r="BX57" s="710"/>
      <c r="BY57" s="710"/>
      <c r="BZ57" s="710"/>
      <c r="CA57" s="710"/>
      <c r="CB57" s="710"/>
      <c r="CC57" s="710"/>
      <c r="CD57" s="710"/>
      <c r="CE57" s="710"/>
      <c r="CF57" s="710"/>
      <c r="CG57" s="710"/>
      <c r="CH57" s="710"/>
      <c r="CI57" s="710"/>
      <c r="CJ57" s="710"/>
      <c r="CK57" s="710"/>
      <c r="CL57" s="710"/>
      <c r="CM57" s="710"/>
      <c r="CN57" s="710"/>
      <c r="CO57" s="710"/>
      <c r="CP57" s="710"/>
      <c r="CQ57" s="710"/>
      <c r="CR57" s="710"/>
      <c r="CS57" s="710"/>
      <c r="CT57" s="710"/>
      <c r="CU57" s="710"/>
      <c r="CV57" s="710"/>
      <c r="CW57" s="710"/>
      <c r="CX57" s="710"/>
      <c r="CY57" s="710"/>
      <c r="CZ57" s="710"/>
      <c r="DA57" s="710"/>
      <c r="DB57" s="710"/>
      <c r="DC57" s="710"/>
      <c r="DD57" s="710"/>
      <c r="DE57" s="710"/>
      <c r="DF57" s="710"/>
      <c r="DG57" s="710"/>
      <c r="DH57" s="710"/>
      <c r="DI57" s="710"/>
      <c r="DJ57" s="710"/>
      <c r="DK57" s="710"/>
      <c r="DL57" s="710"/>
      <c r="DM57" s="710"/>
      <c r="DN57" s="710"/>
      <c r="DO57" s="710"/>
      <c r="DP57" s="710"/>
      <c r="DQ57" s="710"/>
      <c r="DR57" s="710"/>
      <c r="DS57" s="710"/>
      <c r="DT57" s="710"/>
      <c r="DU57" s="710"/>
      <c r="DV57" s="710"/>
      <c r="DW57" s="710"/>
      <c r="DX57" s="710"/>
      <c r="DY57" s="710"/>
      <c r="DZ57" s="710"/>
      <c r="EA57" s="710"/>
      <c r="EB57" s="710"/>
      <c r="EC57" s="710"/>
      <c r="ED57" s="710"/>
      <c r="EE57" s="710"/>
      <c r="EF57" s="710"/>
      <c r="EG57" s="710"/>
      <c r="EH57" s="710"/>
      <c r="EI57" s="710"/>
      <c r="EJ57" s="710"/>
      <c r="EK57" s="710"/>
      <c r="EL57" s="710"/>
      <c r="EM57" s="710"/>
      <c r="EN57" s="710"/>
      <c r="EO57" s="710"/>
      <c r="EP57" s="710"/>
      <c r="EQ57" s="710"/>
      <c r="ER57" s="710"/>
      <c r="ES57" s="710"/>
      <c r="ET57" s="710"/>
      <c r="EU57" s="710"/>
      <c r="EV57" s="710"/>
      <c r="EW57" s="710"/>
      <c r="EX57" s="710"/>
      <c r="EY57" s="710"/>
      <c r="EZ57" s="710"/>
      <c r="FA57" s="710"/>
      <c r="FB57" s="710"/>
      <c r="FC57" s="710"/>
      <c r="FD57" s="710"/>
      <c r="FE57" s="710"/>
      <c r="FF57" s="710"/>
      <c r="FG57" s="710"/>
      <c r="FH57" s="710"/>
      <c r="FI57" s="710"/>
      <c r="FJ57" s="710"/>
      <c r="FK57" s="710"/>
      <c r="FL57" s="710"/>
      <c r="FM57" s="710"/>
      <c r="FN57" s="710"/>
      <c r="FO57" s="710"/>
      <c r="FP57" s="710"/>
      <c r="FQ57" s="710"/>
      <c r="FR57" s="710"/>
      <c r="FS57" s="710"/>
      <c r="FT57" s="710"/>
      <c r="FU57" s="710"/>
      <c r="FV57" s="710"/>
      <c r="FW57" s="710"/>
      <c r="FX57" s="710"/>
      <c r="FY57" s="710"/>
      <c r="FZ57" s="710"/>
      <c r="GA57" s="710"/>
      <c r="GB57" s="710"/>
      <c r="GC57" s="710"/>
      <c r="GD57" s="710"/>
      <c r="GE57" s="710"/>
      <c r="GF57" s="710"/>
      <c r="GG57" s="710"/>
      <c r="GH57" s="710"/>
      <c r="GI57" s="710"/>
      <c r="GJ57" s="710"/>
      <c r="GK57" s="710"/>
      <c r="GL57" s="710"/>
      <c r="GM57" s="710"/>
      <c r="GN57" s="710"/>
      <c r="GO57" s="710"/>
      <c r="GP57" s="710"/>
      <c r="GQ57" s="710"/>
      <c r="GR57" s="710"/>
      <c r="GS57" s="710"/>
      <c r="GT57" s="710"/>
      <c r="GU57" s="710"/>
      <c r="GV57" s="710"/>
      <c r="GW57" s="710"/>
    </row>
    <row r="58" spans="1:205" x14ac:dyDescent="0.25">
      <c r="A58" s="254" t="s">
        <v>0</v>
      </c>
      <c r="B58" s="253"/>
      <c r="C58" s="253"/>
      <c r="D58" s="253"/>
      <c r="E58" s="116"/>
      <c r="F58" s="3"/>
      <c r="G58" s="77"/>
      <c r="H58" s="77"/>
      <c r="I58" s="710"/>
      <c r="J58" s="710"/>
      <c r="K58" s="710"/>
      <c r="L58" s="710"/>
      <c r="M58" s="710"/>
      <c r="N58" s="710"/>
      <c r="O58" s="710"/>
      <c r="P58" s="710"/>
      <c r="Q58" s="710"/>
      <c r="R58" s="710"/>
      <c r="S58" s="710"/>
      <c r="T58" s="710"/>
      <c r="U58" s="710"/>
      <c r="V58" s="710"/>
      <c r="W58" s="710"/>
      <c r="X58" s="710"/>
      <c r="Y58" s="710"/>
      <c r="Z58" s="710"/>
      <c r="AA58" s="710"/>
      <c r="AB58" s="710"/>
      <c r="AC58" s="710"/>
      <c r="AD58" s="710"/>
      <c r="AE58" s="710"/>
      <c r="AF58" s="710"/>
      <c r="AG58" s="710"/>
      <c r="AH58" s="710"/>
      <c r="AI58" s="710"/>
      <c r="AJ58" s="710"/>
      <c r="AK58" s="710"/>
      <c r="AL58" s="710"/>
      <c r="AM58" s="710"/>
      <c r="AN58" s="710"/>
      <c r="AO58" s="710"/>
      <c r="AP58" s="710"/>
      <c r="AQ58" s="710"/>
      <c r="AR58" s="710"/>
      <c r="AS58" s="710"/>
      <c r="AT58" s="710"/>
      <c r="AU58" s="710"/>
      <c r="AV58" s="710"/>
      <c r="AW58" s="710"/>
      <c r="AX58" s="710"/>
      <c r="AY58" s="710"/>
      <c r="AZ58" s="710"/>
      <c r="BA58" s="710"/>
      <c r="BB58" s="710"/>
      <c r="BC58" s="710"/>
      <c r="BD58" s="710"/>
      <c r="BE58" s="710"/>
      <c r="BF58" s="710"/>
      <c r="BG58" s="710"/>
      <c r="BH58" s="710"/>
      <c r="BI58" s="710"/>
      <c r="BJ58" s="710"/>
      <c r="BK58" s="710"/>
      <c r="BL58" s="710"/>
      <c r="BM58" s="710"/>
      <c r="BN58" s="710"/>
      <c r="BO58" s="710"/>
      <c r="BP58" s="710"/>
      <c r="BQ58" s="710"/>
      <c r="BR58" s="710"/>
      <c r="BS58" s="710"/>
      <c r="BT58" s="710"/>
      <c r="BU58" s="710"/>
      <c r="BV58" s="710"/>
      <c r="BW58" s="710"/>
      <c r="BX58" s="710"/>
      <c r="BY58" s="710"/>
      <c r="BZ58" s="710"/>
      <c r="CA58" s="710"/>
      <c r="CB58" s="710"/>
      <c r="CC58" s="710"/>
      <c r="CD58" s="710"/>
      <c r="CE58" s="710"/>
      <c r="CF58" s="710"/>
      <c r="CG58" s="710"/>
      <c r="CH58" s="710"/>
      <c r="CI58" s="710"/>
      <c r="CJ58" s="710"/>
      <c r="CK58" s="710"/>
      <c r="CL58" s="710"/>
      <c r="CM58" s="710"/>
      <c r="CN58" s="710"/>
      <c r="CO58" s="710"/>
      <c r="CP58" s="710"/>
      <c r="CQ58" s="710"/>
      <c r="CR58" s="710"/>
      <c r="CS58" s="710"/>
      <c r="CT58" s="710"/>
      <c r="CU58" s="710"/>
      <c r="CV58" s="710"/>
      <c r="CW58" s="710"/>
      <c r="CX58" s="710"/>
      <c r="CY58" s="710"/>
      <c r="CZ58" s="710"/>
      <c r="DA58" s="710"/>
      <c r="DB58" s="710"/>
      <c r="DC58" s="710"/>
      <c r="DD58" s="710"/>
      <c r="DE58" s="710"/>
      <c r="DF58" s="710"/>
      <c r="DG58" s="710"/>
      <c r="DH58" s="710"/>
      <c r="DI58" s="710"/>
      <c r="DJ58" s="710"/>
      <c r="DK58" s="710"/>
      <c r="DL58" s="710"/>
      <c r="DM58" s="710"/>
      <c r="DN58" s="710"/>
      <c r="DO58" s="710"/>
      <c r="DP58" s="710"/>
      <c r="DQ58" s="710"/>
      <c r="DR58" s="710"/>
      <c r="DS58" s="710"/>
      <c r="DT58" s="710"/>
      <c r="DU58" s="710"/>
      <c r="DV58" s="710"/>
      <c r="DW58" s="710"/>
      <c r="DX58" s="710"/>
      <c r="DY58" s="710"/>
      <c r="DZ58" s="710"/>
      <c r="EA58" s="710"/>
      <c r="EB58" s="710"/>
      <c r="EC58" s="710"/>
      <c r="ED58" s="710"/>
      <c r="EE58" s="710"/>
      <c r="EF58" s="710"/>
      <c r="EG58" s="710"/>
      <c r="EH58" s="710"/>
      <c r="EI58" s="710"/>
      <c r="EJ58" s="710"/>
      <c r="EK58" s="710"/>
      <c r="EL58" s="710"/>
      <c r="EM58" s="710"/>
      <c r="EN58" s="710"/>
      <c r="EO58" s="710"/>
      <c r="EP58" s="710"/>
      <c r="EQ58" s="710"/>
      <c r="ER58" s="710"/>
      <c r="ES58" s="710"/>
      <c r="ET58" s="710"/>
      <c r="EU58" s="710"/>
      <c r="EV58" s="710"/>
      <c r="EW58" s="710"/>
      <c r="EX58" s="710"/>
      <c r="EY58" s="710"/>
      <c r="EZ58" s="710"/>
      <c r="FA58" s="710"/>
      <c r="FB58" s="710"/>
      <c r="FC58" s="710"/>
      <c r="FD58" s="710"/>
      <c r="FE58" s="710"/>
      <c r="FF58" s="710"/>
      <c r="FG58" s="710"/>
      <c r="FH58" s="710"/>
      <c r="FI58" s="710"/>
      <c r="FJ58" s="710"/>
      <c r="FK58" s="710"/>
      <c r="FL58" s="710"/>
      <c r="FM58" s="710"/>
      <c r="FN58" s="710"/>
      <c r="FO58" s="710"/>
      <c r="FP58" s="710"/>
      <c r="FQ58" s="710"/>
      <c r="FR58" s="710"/>
      <c r="FS58" s="710"/>
      <c r="FT58" s="710"/>
      <c r="FU58" s="710"/>
      <c r="FV58" s="710"/>
      <c r="FW58" s="710"/>
      <c r="FX58" s="710"/>
      <c r="FY58" s="710"/>
      <c r="FZ58" s="710"/>
      <c r="GA58" s="710"/>
      <c r="GB58" s="710"/>
      <c r="GC58" s="710"/>
      <c r="GD58" s="710"/>
      <c r="GE58" s="710"/>
      <c r="GF58" s="710"/>
      <c r="GG58" s="710"/>
      <c r="GH58" s="710"/>
      <c r="GI58" s="710"/>
      <c r="GJ58" s="710"/>
      <c r="GK58" s="710"/>
      <c r="GL58" s="710"/>
      <c r="GM58" s="710"/>
      <c r="GN58" s="710"/>
      <c r="GO58" s="710"/>
      <c r="GP58" s="710"/>
      <c r="GQ58" s="710"/>
      <c r="GR58" s="710"/>
      <c r="GS58" s="710"/>
      <c r="GT58" s="710"/>
      <c r="GU58" s="710"/>
      <c r="GV58" s="710"/>
      <c r="GW58" s="710"/>
    </row>
    <row r="59" spans="1:205" x14ac:dyDescent="0.25">
      <c r="A59" s="254" t="s">
        <v>1</v>
      </c>
      <c r="B59" s="253"/>
      <c r="C59" s="253"/>
      <c r="D59" s="253"/>
      <c r="E59" s="116"/>
      <c r="F59" s="3"/>
      <c r="G59" s="77"/>
      <c r="H59" s="77"/>
      <c r="I59" s="710"/>
      <c r="J59" s="710"/>
      <c r="K59" s="710"/>
      <c r="L59" s="710"/>
      <c r="M59" s="710"/>
      <c r="N59" s="710"/>
      <c r="O59" s="710"/>
      <c r="P59" s="710"/>
      <c r="Q59" s="710"/>
      <c r="R59" s="710"/>
      <c r="S59" s="710"/>
      <c r="T59" s="710"/>
      <c r="U59" s="710"/>
      <c r="V59" s="710"/>
      <c r="W59" s="710"/>
      <c r="X59" s="710"/>
      <c r="Y59" s="710"/>
      <c r="Z59" s="710"/>
      <c r="AA59" s="710"/>
      <c r="AB59" s="710"/>
      <c r="AC59" s="710"/>
      <c r="AD59" s="710"/>
      <c r="AE59" s="710"/>
      <c r="AF59" s="710"/>
      <c r="AG59" s="710"/>
      <c r="AH59" s="710"/>
      <c r="AI59" s="710"/>
      <c r="AJ59" s="710"/>
      <c r="AK59" s="710"/>
      <c r="AL59" s="710"/>
      <c r="AM59" s="710"/>
      <c r="AN59" s="710"/>
      <c r="AO59" s="710"/>
      <c r="AP59" s="710"/>
      <c r="AQ59" s="710"/>
      <c r="AR59" s="710"/>
      <c r="AS59" s="710"/>
      <c r="AT59" s="710"/>
      <c r="AU59" s="710"/>
      <c r="AV59" s="710"/>
      <c r="AW59" s="710"/>
      <c r="AX59" s="710"/>
      <c r="AY59" s="710"/>
      <c r="AZ59" s="710"/>
      <c r="BA59" s="710"/>
      <c r="BB59" s="710"/>
      <c r="BC59" s="710"/>
      <c r="BD59" s="710"/>
      <c r="BE59" s="710"/>
      <c r="BF59" s="710"/>
      <c r="BG59" s="710"/>
      <c r="BH59" s="710"/>
      <c r="BI59" s="710"/>
      <c r="BJ59" s="710"/>
      <c r="BK59" s="710"/>
      <c r="BL59" s="710"/>
      <c r="BM59" s="710"/>
      <c r="BN59" s="710"/>
      <c r="BO59" s="710"/>
      <c r="BP59" s="710"/>
      <c r="BQ59" s="710"/>
      <c r="BR59" s="710"/>
      <c r="BS59" s="710"/>
      <c r="BT59" s="710"/>
      <c r="BU59" s="710"/>
      <c r="BV59" s="710"/>
      <c r="BW59" s="710"/>
      <c r="BX59" s="710"/>
      <c r="BY59" s="710"/>
      <c r="BZ59" s="710"/>
      <c r="CA59" s="710"/>
      <c r="CB59" s="710"/>
      <c r="CC59" s="710"/>
      <c r="CD59" s="710"/>
      <c r="CE59" s="710"/>
      <c r="CF59" s="710"/>
      <c r="CG59" s="710"/>
      <c r="CH59" s="710"/>
      <c r="CI59" s="710"/>
      <c r="CJ59" s="710"/>
      <c r="CK59" s="710"/>
      <c r="CL59" s="710"/>
      <c r="CM59" s="710"/>
      <c r="CN59" s="710"/>
      <c r="CO59" s="710"/>
      <c r="CP59" s="710"/>
      <c r="CQ59" s="710"/>
      <c r="CR59" s="710"/>
      <c r="CS59" s="710"/>
      <c r="CT59" s="710"/>
      <c r="CU59" s="710"/>
      <c r="CV59" s="710"/>
      <c r="CW59" s="710"/>
      <c r="CX59" s="710"/>
      <c r="CY59" s="710"/>
      <c r="CZ59" s="710"/>
      <c r="DA59" s="710"/>
      <c r="DB59" s="710"/>
      <c r="DC59" s="710"/>
      <c r="DD59" s="710"/>
      <c r="DE59" s="710"/>
      <c r="DF59" s="710"/>
      <c r="DG59" s="710"/>
      <c r="DH59" s="710"/>
      <c r="DI59" s="710"/>
      <c r="DJ59" s="710"/>
      <c r="DK59" s="710"/>
      <c r="DL59" s="710"/>
      <c r="DM59" s="710"/>
      <c r="DN59" s="710"/>
      <c r="DO59" s="710"/>
      <c r="DP59" s="710"/>
      <c r="DQ59" s="710"/>
      <c r="DR59" s="710"/>
      <c r="DS59" s="710"/>
      <c r="DT59" s="710"/>
      <c r="DU59" s="710"/>
      <c r="DV59" s="710"/>
      <c r="DW59" s="710"/>
      <c r="DX59" s="710"/>
      <c r="DY59" s="710"/>
      <c r="DZ59" s="710"/>
      <c r="EA59" s="710"/>
      <c r="EB59" s="710"/>
      <c r="EC59" s="710"/>
      <c r="ED59" s="710"/>
      <c r="EE59" s="710"/>
      <c r="EF59" s="710"/>
      <c r="EG59" s="710"/>
      <c r="EH59" s="710"/>
      <c r="EI59" s="710"/>
      <c r="EJ59" s="710"/>
      <c r="EK59" s="710"/>
      <c r="EL59" s="710"/>
      <c r="EM59" s="710"/>
      <c r="EN59" s="710"/>
      <c r="EO59" s="710"/>
      <c r="EP59" s="710"/>
      <c r="EQ59" s="710"/>
      <c r="ER59" s="710"/>
      <c r="ES59" s="710"/>
      <c r="ET59" s="710"/>
      <c r="EU59" s="710"/>
      <c r="EV59" s="710"/>
      <c r="EW59" s="710"/>
      <c r="EX59" s="710"/>
      <c r="EY59" s="710"/>
      <c r="EZ59" s="710"/>
      <c r="FA59" s="710"/>
      <c r="FB59" s="710"/>
      <c r="FC59" s="710"/>
      <c r="FD59" s="710"/>
      <c r="FE59" s="710"/>
      <c r="FF59" s="710"/>
      <c r="FG59" s="710"/>
      <c r="FH59" s="710"/>
      <c r="FI59" s="710"/>
      <c r="FJ59" s="710"/>
      <c r="FK59" s="710"/>
      <c r="FL59" s="710"/>
      <c r="FM59" s="710"/>
      <c r="FN59" s="710"/>
      <c r="FO59" s="710"/>
      <c r="FP59" s="710"/>
      <c r="FQ59" s="710"/>
      <c r="FR59" s="710"/>
      <c r="FS59" s="710"/>
      <c r="FT59" s="710"/>
      <c r="FU59" s="710"/>
      <c r="FV59" s="710"/>
      <c r="FW59" s="710"/>
      <c r="FX59" s="710"/>
      <c r="FY59" s="710"/>
      <c r="FZ59" s="710"/>
      <c r="GA59" s="710"/>
      <c r="GB59" s="710"/>
      <c r="GC59" s="710"/>
      <c r="GD59" s="710"/>
      <c r="GE59" s="710"/>
      <c r="GF59" s="710"/>
      <c r="GG59" s="710"/>
      <c r="GH59" s="710"/>
      <c r="GI59" s="710"/>
      <c r="GJ59" s="710"/>
      <c r="GK59" s="710"/>
      <c r="GL59" s="710"/>
      <c r="GM59" s="710"/>
      <c r="GN59" s="710"/>
      <c r="GO59" s="710"/>
      <c r="GP59" s="710"/>
      <c r="GQ59" s="710"/>
      <c r="GR59" s="710"/>
      <c r="GS59" s="710"/>
      <c r="GT59" s="710"/>
      <c r="GU59" s="710"/>
      <c r="GV59" s="710"/>
      <c r="GW59" s="710"/>
    </row>
    <row r="60" spans="1:205" x14ac:dyDescent="0.25">
      <c r="A60" s="254"/>
      <c r="B60" s="253"/>
      <c r="C60" s="253"/>
      <c r="D60" s="253"/>
      <c r="E60" s="116"/>
      <c r="F60" s="3"/>
      <c r="G60" s="77"/>
      <c r="H60" s="77"/>
      <c r="I60" s="710"/>
      <c r="J60" s="710"/>
      <c r="K60" s="710"/>
      <c r="L60" s="710"/>
      <c r="M60" s="710"/>
      <c r="N60" s="710"/>
      <c r="O60" s="710"/>
      <c r="P60" s="710"/>
      <c r="Q60" s="710"/>
      <c r="R60" s="710"/>
      <c r="S60" s="710"/>
      <c r="T60" s="710"/>
      <c r="U60" s="710"/>
      <c r="V60" s="710"/>
      <c r="W60" s="710"/>
      <c r="X60" s="710"/>
      <c r="Y60" s="710"/>
      <c r="Z60" s="710"/>
      <c r="AA60" s="710"/>
      <c r="AB60" s="710"/>
      <c r="AC60" s="710"/>
      <c r="AD60" s="710"/>
      <c r="AE60" s="710"/>
      <c r="AF60" s="710"/>
      <c r="AG60" s="710"/>
      <c r="AH60" s="710"/>
      <c r="AI60" s="710"/>
      <c r="AJ60" s="710"/>
      <c r="AK60" s="710"/>
      <c r="AL60" s="710"/>
      <c r="AM60" s="710"/>
      <c r="AN60" s="710"/>
      <c r="AO60" s="710"/>
      <c r="AP60" s="710"/>
      <c r="AQ60" s="710"/>
      <c r="AR60" s="710"/>
      <c r="AS60" s="710"/>
      <c r="AT60" s="710"/>
      <c r="AU60" s="710"/>
      <c r="AV60" s="710"/>
      <c r="AW60" s="710"/>
      <c r="AX60" s="710"/>
      <c r="AY60" s="710"/>
      <c r="AZ60" s="710"/>
      <c r="BA60" s="710"/>
      <c r="BB60" s="710"/>
      <c r="BC60" s="710"/>
      <c r="BD60" s="710"/>
      <c r="BE60" s="710"/>
      <c r="BF60" s="710"/>
      <c r="BG60" s="710"/>
      <c r="BH60" s="710"/>
      <c r="BI60" s="710"/>
      <c r="BJ60" s="710"/>
      <c r="BK60" s="710"/>
      <c r="BL60" s="710"/>
      <c r="BM60" s="710"/>
      <c r="BN60" s="710"/>
      <c r="BO60" s="710"/>
      <c r="BP60" s="710"/>
      <c r="BQ60" s="710"/>
      <c r="BR60" s="710"/>
      <c r="BS60" s="710"/>
      <c r="BT60" s="710"/>
      <c r="BU60" s="710"/>
      <c r="BV60" s="710"/>
      <c r="BW60" s="710"/>
      <c r="BX60" s="710"/>
      <c r="BY60" s="710"/>
      <c r="BZ60" s="710"/>
      <c r="CA60" s="710"/>
      <c r="CB60" s="710"/>
      <c r="CC60" s="710"/>
      <c r="CD60" s="710"/>
      <c r="CE60" s="710"/>
      <c r="CF60" s="710"/>
      <c r="CG60" s="710"/>
      <c r="CH60" s="710"/>
      <c r="CI60" s="710"/>
      <c r="CJ60" s="710"/>
      <c r="CK60" s="710"/>
      <c r="CL60" s="710"/>
      <c r="CM60" s="710"/>
      <c r="CN60" s="710"/>
      <c r="CO60" s="710"/>
      <c r="CP60" s="710"/>
      <c r="CQ60" s="710"/>
      <c r="CR60" s="710"/>
      <c r="CS60" s="710"/>
      <c r="CT60" s="710"/>
      <c r="CU60" s="710"/>
      <c r="CV60" s="710"/>
      <c r="CW60" s="710"/>
      <c r="CX60" s="710"/>
      <c r="CY60" s="710"/>
      <c r="CZ60" s="710"/>
      <c r="DA60" s="710"/>
      <c r="DB60" s="710"/>
      <c r="DC60" s="710"/>
      <c r="DD60" s="710"/>
      <c r="DE60" s="710"/>
      <c r="DF60" s="710"/>
      <c r="DG60" s="710"/>
      <c r="DH60" s="710"/>
      <c r="DI60" s="710"/>
      <c r="DJ60" s="710"/>
      <c r="DK60" s="710"/>
      <c r="DL60" s="710"/>
      <c r="DM60" s="710"/>
      <c r="DN60" s="710"/>
      <c r="DO60" s="710"/>
      <c r="DP60" s="710"/>
      <c r="DQ60" s="710"/>
      <c r="DR60" s="710"/>
      <c r="DS60" s="710"/>
      <c r="DT60" s="710"/>
      <c r="DU60" s="710"/>
      <c r="DV60" s="710"/>
      <c r="DW60" s="710"/>
      <c r="DX60" s="710"/>
      <c r="DY60" s="710"/>
      <c r="DZ60" s="710"/>
      <c r="EA60" s="710"/>
      <c r="EB60" s="710"/>
      <c r="EC60" s="710"/>
      <c r="ED60" s="710"/>
      <c r="EE60" s="710"/>
      <c r="EF60" s="710"/>
      <c r="EG60" s="710"/>
      <c r="EH60" s="710"/>
      <c r="EI60" s="710"/>
      <c r="EJ60" s="710"/>
      <c r="EK60" s="710"/>
      <c r="EL60" s="710"/>
      <c r="EM60" s="710"/>
      <c r="EN60" s="710"/>
      <c r="EO60" s="710"/>
      <c r="EP60" s="710"/>
      <c r="EQ60" s="710"/>
      <c r="ER60" s="710"/>
      <c r="ES60" s="710"/>
      <c r="ET60" s="710"/>
      <c r="EU60" s="710"/>
      <c r="EV60" s="710"/>
      <c r="EW60" s="710"/>
      <c r="EX60" s="710"/>
      <c r="EY60" s="710"/>
      <c r="EZ60" s="710"/>
      <c r="FA60" s="710"/>
      <c r="FB60" s="710"/>
      <c r="FC60" s="710"/>
      <c r="FD60" s="710"/>
      <c r="FE60" s="710"/>
      <c r="FF60" s="710"/>
      <c r="FG60" s="710"/>
      <c r="FH60" s="710"/>
      <c r="FI60" s="710"/>
      <c r="FJ60" s="710"/>
      <c r="FK60" s="710"/>
      <c r="FL60" s="710"/>
      <c r="FM60" s="710"/>
      <c r="FN60" s="710"/>
      <c r="FO60" s="710"/>
      <c r="FP60" s="710"/>
      <c r="FQ60" s="710"/>
      <c r="FR60" s="710"/>
      <c r="FS60" s="710"/>
      <c r="FT60" s="710"/>
      <c r="FU60" s="710"/>
      <c r="FV60" s="710"/>
      <c r="FW60" s="710"/>
      <c r="FX60" s="710"/>
      <c r="FY60" s="710"/>
      <c r="FZ60" s="710"/>
      <c r="GA60" s="710"/>
      <c r="GB60" s="710"/>
      <c r="GC60" s="710"/>
      <c r="GD60" s="710"/>
      <c r="GE60" s="710"/>
      <c r="GF60" s="710"/>
      <c r="GG60" s="710"/>
      <c r="GH60" s="710"/>
      <c r="GI60" s="710"/>
      <c r="GJ60" s="710"/>
      <c r="GK60" s="710"/>
      <c r="GL60" s="710"/>
      <c r="GM60" s="710"/>
      <c r="GN60" s="710"/>
      <c r="GO60" s="710"/>
      <c r="GP60" s="710"/>
      <c r="GQ60" s="710"/>
      <c r="GR60" s="710"/>
      <c r="GS60" s="710"/>
      <c r="GT60" s="710"/>
      <c r="GU60" s="710"/>
      <c r="GV60" s="710"/>
      <c r="GW60" s="710"/>
    </row>
    <row r="61" spans="1:205" x14ac:dyDescent="0.25">
      <c r="A61" s="3"/>
      <c r="B61" s="3"/>
      <c r="C61" s="3"/>
      <c r="D61" s="3"/>
      <c r="E61" s="3"/>
      <c r="F61" s="3"/>
      <c r="G61" s="77"/>
      <c r="H61" s="77"/>
      <c r="I61" s="710"/>
      <c r="J61" s="710"/>
      <c r="K61" s="710"/>
      <c r="L61" s="710"/>
      <c r="M61" s="710"/>
      <c r="N61" s="710"/>
      <c r="O61" s="710"/>
      <c r="P61" s="710"/>
      <c r="Q61" s="710"/>
      <c r="R61" s="710"/>
      <c r="S61" s="710"/>
      <c r="T61" s="710"/>
      <c r="U61" s="710"/>
      <c r="V61" s="710"/>
      <c r="W61" s="710"/>
      <c r="X61" s="710"/>
      <c r="Y61" s="710"/>
      <c r="Z61" s="710"/>
      <c r="AA61" s="710"/>
      <c r="AB61" s="710"/>
      <c r="AC61" s="710"/>
      <c r="AD61" s="710"/>
      <c r="AE61" s="710"/>
      <c r="AF61" s="710"/>
      <c r="AG61" s="710"/>
      <c r="AH61" s="710"/>
      <c r="AI61" s="710"/>
      <c r="AJ61" s="710"/>
      <c r="AK61" s="710"/>
      <c r="AL61" s="710"/>
      <c r="AM61" s="710"/>
      <c r="AN61" s="710"/>
      <c r="AO61" s="710"/>
      <c r="AP61" s="710"/>
      <c r="AQ61" s="710"/>
      <c r="AR61" s="710"/>
      <c r="AS61" s="710"/>
      <c r="AT61" s="710"/>
      <c r="AU61" s="710"/>
      <c r="AV61" s="710"/>
      <c r="AW61" s="710"/>
      <c r="AX61" s="710"/>
      <c r="AY61" s="710"/>
      <c r="AZ61" s="710"/>
      <c r="BA61" s="710"/>
      <c r="BB61" s="710"/>
      <c r="BC61" s="710"/>
      <c r="BD61" s="710"/>
      <c r="BE61" s="710"/>
      <c r="BF61" s="710"/>
      <c r="BG61" s="710"/>
      <c r="BH61" s="710"/>
      <c r="BI61" s="710"/>
      <c r="BJ61" s="710"/>
      <c r="BK61" s="710"/>
      <c r="BL61" s="710"/>
      <c r="BM61" s="710"/>
      <c r="BN61" s="710"/>
      <c r="BO61" s="710"/>
      <c r="BP61" s="710"/>
      <c r="BQ61" s="710"/>
      <c r="BR61" s="710"/>
      <c r="BS61" s="710"/>
      <c r="BT61" s="710"/>
      <c r="BU61" s="710"/>
      <c r="BV61" s="710"/>
      <c r="BW61" s="710"/>
      <c r="BX61" s="710"/>
      <c r="BY61" s="710"/>
      <c r="BZ61" s="710"/>
      <c r="CA61" s="710"/>
      <c r="CB61" s="710"/>
      <c r="CC61" s="710"/>
      <c r="CD61" s="710"/>
      <c r="CE61" s="710"/>
      <c r="CF61" s="710"/>
      <c r="CG61" s="710"/>
      <c r="CH61" s="710"/>
      <c r="CI61" s="710"/>
      <c r="CJ61" s="710"/>
      <c r="CK61" s="710"/>
      <c r="CL61" s="710"/>
      <c r="CM61" s="710"/>
      <c r="CN61" s="710"/>
      <c r="CO61" s="710"/>
      <c r="CP61" s="710"/>
      <c r="CQ61" s="710"/>
      <c r="CR61" s="710"/>
      <c r="CS61" s="710"/>
      <c r="CT61" s="710"/>
      <c r="CU61" s="710"/>
      <c r="CV61" s="710"/>
      <c r="CW61" s="710"/>
      <c r="CX61" s="710"/>
      <c r="CY61" s="710"/>
      <c r="CZ61" s="710"/>
      <c r="DA61" s="710"/>
      <c r="DB61" s="710"/>
      <c r="DC61" s="710"/>
      <c r="DD61" s="710"/>
      <c r="DE61" s="710"/>
      <c r="DF61" s="710"/>
      <c r="DG61" s="710"/>
      <c r="DH61" s="710"/>
      <c r="DI61" s="710"/>
      <c r="DJ61" s="710"/>
      <c r="DK61" s="710"/>
      <c r="DL61" s="710"/>
      <c r="DM61" s="710"/>
      <c r="DN61" s="710"/>
      <c r="DO61" s="710"/>
      <c r="DP61" s="710"/>
      <c r="DQ61" s="710"/>
      <c r="DR61" s="710"/>
      <c r="DS61" s="710"/>
      <c r="DT61" s="710"/>
      <c r="DU61" s="710"/>
      <c r="DV61" s="710"/>
      <c r="DW61" s="710"/>
      <c r="DX61" s="710"/>
      <c r="DY61" s="710"/>
      <c r="DZ61" s="710"/>
      <c r="EA61" s="710"/>
      <c r="EB61" s="710"/>
      <c r="EC61" s="710"/>
      <c r="ED61" s="710"/>
      <c r="EE61" s="710"/>
      <c r="EF61" s="710"/>
      <c r="EG61" s="710"/>
      <c r="EH61" s="710"/>
      <c r="EI61" s="710"/>
      <c r="EJ61" s="710"/>
      <c r="EK61" s="710"/>
      <c r="EL61" s="710"/>
      <c r="EM61" s="710"/>
      <c r="EN61" s="710"/>
      <c r="EO61" s="710"/>
      <c r="EP61" s="710"/>
      <c r="EQ61" s="710"/>
      <c r="ER61" s="710"/>
      <c r="ES61" s="710"/>
      <c r="ET61" s="710"/>
      <c r="EU61" s="710"/>
      <c r="EV61" s="710"/>
      <c r="EW61" s="710"/>
      <c r="EX61" s="710"/>
      <c r="EY61" s="710"/>
      <c r="EZ61" s="710"/>
      <c r="FA61" s="710"/>
      <c r="FB61" s="710"/>
      <c r="FC61" s="710"/>
      <c r="FD61" s="710"/>
      <c r="FE61" s="710"/>
      <c r="FF61" s="710"/>
      <c r="FG61" s="710"/>
      <c r="FH61" s="710"/>
      <c r="FI61" s="710"/>
      <c r="FJ61" s="710"/>
      <c r="FK61" s="710"/>
      <c r="FL61" s="710"/>
      <c r="FM61" s="710"/>
      <c r="FN61" s="710"/>
      <c r="FO61" s="710"/>
      <c r="FP61" s="710"/>
      <c r="FQ61" s="710"/>
      <c r="FR61" s="710"/>
      <c r="FS61" s="710"/>
      <c r="FT61" s="710"/>
      <c r="FU61" s="710"/>
      <c r="FV61" s="710"/>
      <c r="FW61" s="710"/>
      <c r="FX61" s="710"/>
      <c r="FY61" s="710"/>
      <c r="FZ61" s="710"/>
      <c r="GA61" s="710"/>
      <c r="GB61" s="710"/>
      <c r="GC61" s="710"/>
      <c r="GD61" s="710"/>
      <c r="GE61" s="710"/>
      <c r="GF61" s="710"/>
      <c r="GG61" s="710"/>
      <c r="GH61" s="710"/>
      <c r="GI61" s="710"/>
      <c r="GJ61" s="710"/>
      <c r="GK61" s="710"/>
      <c r="GL61" s="710"/>
      <c r="GM61" s="710"/>
      <c r="GN61" s="710"/>
      <c r="GO61" s="710"/>
      <c r="GP61" s="710"/>
      <c r="GQ61" s="710"/>
      <c r="GR61" s="710"/>
      <c r="GS61" s="710"/>
      <c r="GT61" s="710"/>
      <c r="GU61" s="710"/>
      <c r="GV61" s="710"/>
      <c r="GW61" s="710"/>
    </row>
    <row r="62" spans="1:205" x14ac:dyDescent="0.25">
      <c r="A62" s="825" t="s">
        <v>976</v>
      </c>
      <c r="B62" s="796"/>
      <c r="C62" s="796"/>
      <c r="D62" s="796"/>
      <c r="E62" s="796"/>
      <c r="F62" s="826"/>
      <c r="G62" s="831"/>
      <c r="H62" s="798"/>
      <c r="I62" s="710"/>
      <c r="J62" s="710"/>
      <c r="K62" s="710"/>
      <c r="L62" s="710"/>
      <c r="M62" s="710"/>
      <c r="N62" s="710"/>
      <c r="O62" s="710"/>
      <c r="P62" s="710"/>
      <c r="Q62" s="710"/>
      <c r="R62" s="710"/>
      <c r="S62" s="710"/>
      <c r="T62" s="710"/>
      <c r="U62" s="710"/>
      <c r="V62" s="710"/>
      <c r="W62" s="710"/>
      <c r="X62" s="710"/>
      <c r="Y62" s="710"/>
      <c r="Z62" s="710"/>
      <c r="AA62" s="710"/>
      <c r="AB62" s="710"/>
      <c r="AC62" s="710"/>
      <c r="AD62" s="710"/>
      <c r="AE62" s="710"/>
      <c r="AF62" s="710"/>
      <c r="AG62" s="710"/>
      <c r="AH62" s="710"/>
      <c r="AI62" s="710"/>
      <c r="AJ62" s="710"/>
      <c r="AK62" s="710"/>
      <c r="AL62" s="710"/>
      <c r="AM62" s="710"/>
      <c r="AN62" s="710"/>
      <c r="AO62" s="710"/>
      <c r="AP62" s="710"/>
      <c r="AQ62" s="710"/>
      <c r="AR62" s="710"/>
      <c r="AS62" s="710"/>
      <c r="AT62" s="710"/>
      <c r="AU62" s="710"/>
      <c r="AV62" s="710"/>
      <c r="AW62" s="710"/>
      <c r="AX62" s="710"/>
      <c r="AY62" s="710"/>
      <c r="AZ62" s="710"/>
      <c r="BA62" s="710"/>
      <c r="BB62" s="710"/>
      <c r="BC62" s="710"/>
      <c r="BD62" s="710"/>
      <c r="BE62" s="710"/>
      <c r="BF62" s="710"/>
      <c r="BG62" s="710"/>
      <c r="BH62" s="710"/>
      <c r="BI62" s="710"/>
      <c r="BJ62" s="710"/>
      <c r="BK62" s="710"/>
      <c r="BL62" s="710"/>
      <c r="BM62" s="710"/>
      <c r="BN62" s="710"/>
      <c r="BO62" s="710"/>
      <c r="BP62" s="710"/>
      <c r="BQ62" s="710"/>
      <c r="BR62" s="710"/>
      <c r="BS62" s="710"/>
      <c r="BT62" s="710"/>
      <c r="BU62" s="710"/>
      <c r="BV62" s="710"/>
      <c r="BW62" s="710"/>
      <c r="BX62" s="710"/>
      <c r="BY62" s="710"/>
      <c r="BZ62" s="710"/>
      <c r="CA62" s="710"/>
      <c r="CB62" s="710"/>
      <c r="CC62" s="710"/>
      <c r="CD62" s="710"/>
      <c r="CE62" s="710"/>
      <c r="CF62" s="710"/>
      <c r="CG62" s="710"/>
      <c r="CH62" s="710"/>
      <c r="CI62" s="710"/>
      <c r="CJ62" s="710"/>
      <c r="CK62" s="710"/>
      <c r="CL62" s="710"/>
      <c r="CM62" s="710"/>
      <c r="CN62" s="710"/>
      <c r="CO62" s="710"/>
      <c r="CP62" s="710"/>
      <c r="CQ62" s="710"/>
      <c r="CR62" s="710"/>
      <c r="CS62" s="710"/>
      <c r="CT62" s="710"/>
      <c r="CU62" s="710"/>
      <c r="CV62" s="710"/>
      <c r="CW62" s="710"/>
      <c r="CX62" s="710"/>
      <c r="CY62" s="710"/>
      <c r="CZ62" s="710"/>
      <c r="DA62" s="710"/>
      <c r="DB62" s="710"/>
      <c r="DC62" s="710"/>
      <c r="DD62" s="710"/>
      <c r="DE62" s="710"/>
      <c r="DF62" s="710"/>
      <c r="DG62" s="710"/>
      <c r="DH62" s="710"/>
      <c r="DI62" s="710"/>
      <c r="DJ62" s="710"/>
      <c r="DK62" s="710"/>
      <c r="DL62" s="710"/>
      <c r="DM62" s="710"/>
      <c r="DN62" s="710"/>
      <c r="DO62" s="710"/>
      <c r="DP62" s="710"/>
      <c r="DQ62" s="710"/>
      <c r="DR62" s="710"/>
      <c r="DS62" s="710"/>
      <c r="DT62" s="710"/>
      <c r="DU62" s="710"/>
      <c r="DV62" s="710"/>
      <c r="DW62" s="710"/>
      <c r="DX62" s="710"/>
      <c r="DY62" s="710"/>
      <c r="DZ62" s="710"/>
      <c r="EA62" s="710"/>
      <c r="EB62" s="710"/>
      <c r="EC62" s="710"/>
      <c r="ED62" s="710"/>
      <c r="EE62" s="710"/>
      <c r="EF62" s="710"/>
      <c r="EG62" s="710"/>
      <c r="EH62" s="710"/>
      <c r="EI62" s="710"/>
      <c r="EJ62" s="710"/>
      <c r="EK62" s="710"/>
      <c r="EL62" s="710"/>
      <c r="EM62" s="710"/>
      <c r="EN62" s="710"/>
      <c r="EO62" s="710"/>
      <c r="EP62" s="710"/>
      <c r="EQ62" s="710"/>
      <c r="ER62" s="710"/>
      <c r="ES62" s="710"/>
      <c r="ET62" s="710"/>
      <c r="EU62" s="710"/>
      <c r="EV62" s="710"/>
      <c r="EW62" s="710"/>
      <c r="EX62" s="710"/>
      <c r="EY62" s="710"/>
      <c r="EZ62" s="710"/>
      <c r="FA62" s="710"/>
      <c r="FB62" s="710"/>
      <c r="FC62" s="710"/>
      <c r="FD62" s="710"/>
      <c r="FE62" s="710"/>
      <c r="FF62" s="710"/>
      <c r="FG62" s="710"/>
      <c r="FH62" s="710"/>
      <c r="FI62" s="710"/>
      <c r="FJ62" s="710"/>
      <c r="FK62" s="710"/>
      <c r="FL62" s="710"/>
      <c r="FM62" s="710"/>
      <c r="FN62" s="710"/>
      <c r="FO62" s="710"/>
      <c r="FP62" s="710"/>
      <c r="FQ62" s="710"/>
      <c r="FR62" s="710"/>
      <c r="FS62" s="710"/>
      <c r="FT62" s="710"/>
      <c r="FU62" s="710"/>
      <c r="FV62" s="710"/>
      <c r="FW62" s="710"/>
      <c r="FX62" s="710"/>
      <c r="FY62" s="710"/>
      <c r="FZ62" s="710"/>
      <c r="GA62" s="710"/>
      <c r="GB62" s="710"/>
      <c r="GC62" s="710"/>
      <c r="GD62" s="710"/>
      <c r="GE62" s="710"/>
      <c r="GF62" s="710"/>
      <c r="GG62" s="710"/>
      <c r="GH62" s="710"/>
      <c r="GI62" s="710"/>
      <c r="GJ62" s="710"/>
      <c r="GK62" s="710"/>
      <c r="GL62" s="710"/>
      <c r="GM62" s="710"/>
      <c r="GN62" s="710"/>
      <c r="GO62" s="710"/>
      <c r="GP62" s="710"/>
      <c r="GQ62" s="710"/>
      <c r="GR62" s="710"/>
      <c r="GS62" s="710"/>
      <c r="GT62" s="710"/>
      <c r="GU62" s="710"/>
      <c r="GV62" s="710"/>
      <c r="GW62" s="710"/>
    </row>
    <row r="63" spans="1:205" x14ac:dyDescent="0.25">
      <c r="A63" s="827"/>
      <c r="B63" s="797"/>
      <c r="C63" s="797"/>
      <c r="D63" s="797"/>
      <c r="E63" s="797"/>
      <c r="F63" s="828"/>
      <c r="G63" s="831"/>
      <c r="H63" s="798"/>
      <c r="I63" s="710"/>
      <c r="J63" s="710"/>
      <c r="K63" s="710"/>
      <c r="L63" s="710"/>
      <c r="M63" s="710"/>
      <c r="N63" s="710"/>
      <c r="O63" s="710"/>
      <c r="P63" s="710"/>
      <c r="Q63" s="710"/>
      <c r="R63" s="710"/>
      <c r="S63" s="710"/>
      <c r="T63" s="710"/>
      <c r="U63" s="710"/>
      <c r="V63" s="710"/>
      <c r="W63" s="710"/>
      <c r="X63" s="710"/>
      <c r="Y63" s="710"/>
      <c r="Z63" s="710"/>
      <c r="AA63" s="710"/>
      <c r="AB63" s="710"/>
      <c r="AC63" s="710"/>
      <c r="AD63" s="710"/>
      <c r="AE63" s="710"/>
      <c r="AF63" s="710"/>
      <c r="AG63" s="710"/>
      <c r="AH63" s="710"/>
      <c r="AI63" s="710"/>
      <c r="AJ63" s="710"/>
      <c r="AK63" s="710"/>
      <c r="AL63" s="710"/>
      <c r="AM63" s="710"/>
      <c r="AN63" s="710"/>
      <c r="AO63" s="710"/>
      <c r="AP63" s="710"/>
      <c r="AQ63" s="710"/>
      <c r="AR63" s="710"/>
      <c r="AS63" s="710"/>
      <c r="AT63" s="710"/>
      <c r="AU63" s="710"/>
      <c r="AV63" s="710"/>
      <c r="AW63" s="710"/>
      <c r="AX63" s="710"/>
      <c r="AY63" s="710"/>
      <c r="AZ63" s="710"/>
      <c r="BA63" s="710"/>
      <c r="BB63" s="710"/>
      <c r="BC63" s="710"/>
      <c r="BD63" s="710"/>
      <c r="BE63" s="710"/>
      <c r="BF63" s="710"/>
      <c r="BG63" s="710"/>
      <c r="BH63" s="710"/>
      <c r="BI63" s="710"/>
      <c r="BJ63" s="710"/>
      <c r="BK63" s="710"/>
      <c r="BL63" s="710"/>
      <c r="BM63" s="710"/>
      <c r="BN63" s="710"/>
      <c r="BO63" s="710"/>
      <c r="BP63" s="710"/>
      <c r="BQ63" s="710"/>
      <c r="BR63" s="710"/>
      <c r="BS63" s="710"/>
      <c r="BT63" s="710"/>
      <c r="BU63" s="710"/>
      <c r="BV63" s="710"/>
      <c r="BW63" s="710"/>
      <c r="BX63" s="710"/>
      <c r="BY63" s="710"/>
      <c r="BZ63" s="710"/>
      <c r="CA63" s="710"/>
      <c r="CB63" s="710"/>
      <c r="CC63" s="710"/>
      <c r="CD63" s="710"/>
      <c r="CE63" s="710"/>
      <c r="CF63" s="710"/>
      <c r="CG63" s="710"/>
      <c r="CH63" s="710"/>
      <c r="CI63" s="710"/>
      <c r="CJ63" s="710"/>
      <c r="CK63" s="710"/>
      <c r="CL63" s="710"/>
      <c r="CM63" s="710"/>
      <c r="CN63" s="710"/>
      <c r="CO63" s="710"/>
      <c r="CP63" s="710"/>
      <c r="CQ63" s="710"/>
      <c r="CR63" s="710"/>
      <c r="CS63" s="710"/>
      <c r="CT63" s="710"/>
      <c r="CU63" s="710"/>
      <c r="CV63" s="710"/>
      <c r="CW63" s="710"/>
      <c r="CX63" s="710"/>
      <c r="CY63" s="710"/>
      <c r="CZ63" s="710"/>
      <c r="DA63" s="710"/>
      <c r="DB63" s="710"/>
      <c r="DC63" s="710"/>
      <c r="DD63" s="710"/>
      <c r="DE63" s="710"/>
      <c r="DF63" s="710"/>
      <c r="DG63" s="710"/>
      <c r="DH63" s="710"/>
      <c r="DI63" s="710"/>
      <c r="DJ63" s="710"/>
      <c r="DK63" s="710"/>
      <c r="DL63" s="710"/>
      <c r="DM63" s="710"/>
      <c r="DN63" s="710"/>
      <c r="DO63" s="710"/>
      <c r="DP63" s="710"/>
      <c r="DQ63" s="710"/>
      <c r="DR63" s="710"/>
      <c r="DS63" s="710"/>
      <c r="DT63" s="710"/>
      <c r="DU63" s="710"/>
      <c r="DV63" s="710"/>
      <c r="DW63" s="710"/>
      <c r="DX63" s="710"/>
      <c r="DY63" s="710"/>
      <c r="DZ63" s="710"/>
      <c r="EA63" s="710"/>
      <c r="EB63" s="710"/>
      <c r="EC63" s="710"/>
      <c r="ED63" s="710"/>
      <c r="EE63" s="710"/>
      <c r="EF63" s="710"/>
      <c r="EG63" s="710"/>
      <c r="EH63" s="710"/>
      <c r="EI63" s="710"/>
      <c r="EJ63" s="710"/>
      <c r="EK63" s="710"/>
      <c r="EL63" s="710"/>
      <c r="EM63" s="710"/>
      <c r="EN63" s="710"/>
      <c r="EO63" s="710"/>
      <c r="EP63" s="710"/>
      <c r="EQ63" s="710"/>
      <c r="ER63" s="710"/>
      <c r="ES63" s="710"/>
      <c r="ET63" s="710"/>
      <c r="EU63" s="710"/>
      <c r="EV63" s="710"/>
      <c r="EW63" s="710"/>
      <c r="EX63" s="710"/>
      <c r="EY63" s="710"/>
      <c r="EZ63" s="710"/>
      <c r="FA63" s="710"/>
      <c r="FB63" s="710"/>
      <c r="FC63" s="710"/>
      <c r="FD63" s="710"/>
      <c r="FE63" s="710"/>
      <c r="FF63" s="710"/>
      <c r="FG63" s="710"/>
      <c r="FH63" s="710"/>
      <c r="FI63" s="710"/>
      <c r="FJ63" s="710"/>
      <c r="FK63" s="710"/>
      <c r="FL63" s="710"/>
      <c r="FM63" s="710"/>
      <c r="FN63" s="710"/>
      <c r="FO63" s="710"/>
      <c r="FP63" s="710"/>
      <c r="FQ63" s="710"/>
      <c r="FR63" s="710"/>
      <c r="FS63" s="710"/>
      <c r="FT63" s="710"/>
      <c r="FU63" s="710"/>
      <c r="FV63" s="710"/>
      <c r="FW63" s="710"/>
      <c r="FX63" s="710"/>
      <c r="FY63" s="710"/>
      <c r="FZ63" s="710"/>
      <c r="GA63" s="710"/>
      <c r="GB63" s="710"/>
      <c r="GC63" s="710"/>
      <c r="GD63" s="710"/>
      <c r="GE63" s="710"/>
      <c r="GF63" s="710"/>
      <c r="GG63" s="710"/>
      <c r="GH63" s="710"/>
      <c r="GI63" s="710"/>
      <c r="GJ63" s="710"/>
      <c r="GK63" s="710"/>
      <c r="GL63" s="710"/>
      <c r="GM63" s="710"/>
      <c r="GN63" s="710"/>
      <c r="GO63" s="710"/>
      <c r="GP63" s="710"/>
      <c r="GQ63" s="710"/>
      <c r="GR63" s="710"/>
      <c r="GS63" s="710"/>
      <c r="GT63" s="710"/>
      <c r="GU63" s="710"/>
      <c r="GV63" s="710"/>
      <c r="GW63" s="710"/>
    </row>
    <row r="64" spans="1:205" x14ac:dyDescent="0.25">
      <c r="A64" s="827"/>
      <c r="B64" s="797"/>
      <c r="C64" s="797"/>
      <c r="D64" s="797"/>
      <c r="E64" s="797"/>
      <c r="F64" s="828"/>
      <c r="G64" s="831"/>
      <c r="H64" s="798"/>
      <c r="I64" s="710"/>
      <c r="J64" s="710"/>
      <c r="K64" s="710"/>
      <c r="L64" s="710"/>
      <c r="M64" s="710"/>
      <c r="N64" s="710"/>
      <c r="O64" s="710"/>
      <c r="P64" s="710"/>
      <c r="Q64" s="710"/>
      <c r="R64" s="710"/>
      <c r="S64" s="710"/>
      <c r="T64" s="710"/>
      <c r="U64" s="710"/>
      <c r="V64" s="710"/>
      <c r="W64" s="710"/>
      <c r="X64" s="710"/>
      <c r="Y64" s="710"/>
      <c r="Z64" s="710"/>
      <c r="AA64" s="710"/>
      <c r="AB64" s="710"/>
      <c r="AC64" s="710"/>
      <c r="AD64" s="710"/>
      <c r="AE64" s="710"/>
      <c r="AF64" s="710"/>
      <c r="AG64" s="710"/>
      <c r="AH64" s="710"/>
      <c r="AI64" s="710"/>
      <c r="AJ64" s="710"/>
      <c r="AK64" s="710"/>
      <c r="AL64" s="710"/>
      <c r="AM64" s="710"/>
      <c r="AN64" s="710"/>
      <c r="AO64" s="710"/>
      <c r="AP64" s="710"/>
      <c r="AQ64" s="710"/>
      <c r="AR64" s="710"/>
      <c r="AS64" s="710"/>
      <c r="AT64" s="710"/>
      <c r="AU64" s="710"/>
      <c r="AV64" s="710"/>
      <c r="AW64" s="710"/>
      <c r="AX64" s="710"/>
      <c r="AY64" s="710"/>
      <c r="AZ64" s="710"/>
      <c r="BA64" s="710"/>
      <c r="BB64" s="710"/>
      <c r="BC64" s="710"/>
      <c r="BD64" s="710"/>
      <c r="BE64" s="710"/>
      <c r="BF64" s="710"/>
      <c r="BG64" s="710"/>
      <c r="BH64" s="710"/>
      <c r="BI64" s="710"/>
      <c r="BJ64" s="710"/>
      <c r="BK64" s="710"/>
      <c r="BL64" s="710"/>
      <c r="BM64" s="710"/>
      <c r="BN64" s="710"/>
      <c r="BO64" s="710"/>
      <c r="BP64" s="710"/>
      <c r="BQ64" s="710"/>
      <c r="BR64" s="710"/>
      <c r="BS64" s="710"/>
      <c r="BT64" s="710"/>
      <c r="BU64" s="710"/>
      <c r="BV64" s="710"/>
      <c r="BW64" s="710"/>
      <c r="BX64" s="710"/>
      <c r="BY64" s="710"/>
      <c r="BZ64" s="710"/>
      <c r="CA64" s="710"/>
      <c r="CB64" s="710"/>
      <c r="CC64" s="710"/>
      <c r="CD64" s="710"/>
      <c r="CE64" s="710"/>
      <c r="CF64" s="710"/>
      <c r="CG64" s="710"/>
      <c r="CH64" s="710"/>
      <c r="CI64" s="710"/>
      <c r="CJ64" s="710"/>
      <c r="CK64" s="710"/>
      <c r="CL64" s="710"/>
      <c r="CM64" s="710"/>
      <c r="CN64" s="710"/>
      <c r="CO64" s="710"/>
      <c r="CP64" s="710"/>
      <c r="CQ64" s="710"/>
      <c r="CR64" s="710"/>
      <c r="CS64" s="710"/>
      <c r="CT64" s="710"/>
      <c r="CU64" s="710"/>
      <c r="CV64" s="710"/>
      <c r="CW64" s="710"/>
      <c r="CX64" s="710"/>
      <c r="CY64" s="710"/>
      <c r="CZ64" s="710"/>
      <c r="DA64" s="710"/>
      <c r="DB64" s="710"/>
      <c r="DC64" s="710"/>
      <c r="DD64" s="710"/>
      <c r="DE64" s="710"/>
      <c r="DF64" s="710"/>
      <c r="DG64" s="710"/>
      <c r="DH64" s="710"/>
      <c r="DI64" s="710"/>
      <c r="DJ64" s="710"/>
      <c r="DK64" s="710"/>
      <c r="DL64" s="710"/>
      <c r="DM64" s="710"/>
      <c r="DN64" s="710"/>
      <c r="DO64" s="710"/>
      <c r="DP64" s="710"/>
      <c r="DQ64" s="710"/>
      <c r="DR64" s="710"/>
      <c r="DS64" s="710"/>
      <c r="DT64" s="710"/>
      <c r="DU64" s="710"/>
      <c r="DV64" s="710"/>
      <c r="DW64" s="710"/>
      <c r="DX64" s="710"/>
      <c r="DY64" s="710"/>
      <c r="DZ64" s="710"/>
      <c r="EA64" s="710"/>
      <c r="EB64" s="710"/>
      <c r="EC64" s="710"/>
      <c r="ED64" s="710"/>
      <c r="EE64" s="710"/>
      <c r="EF64" s="710"/>
      <c r="EG64" s="710"/>
      <c r="EH64" s="710"/>
      <c r="EI64" s="710"/>
      <c r="EJ64" s="710"/>
      <c r="EK64" s="710"/>
      <c r="EL64" s="710"/>
      <c r="EM64" s="710"/>
      <c r="EN64" s="710"/>
      <c r="EO64" s="710"/>
      <c r="EP64" s="710"/>
      <c r="EQ64" s="710"/>
      <c r="ER64" s="710"/>
      <c r="ES64" s="710"/>
      <c r="ET64" s="710"/>
      <c r="EU64" s="710"/>
      <c r="EV64" s="710"/>
      <c r="EW64" s="710"/>
      <c r="EX64" s="710"/>
      <c r="EY64" s="710"/>
      <c r="EZ64" s="710"/>
      <c r="FA64" s="710"/>
      <c r="FB64" s="710"/>
      <c r="FC64" s="710"/>
      <c r="FD64" s="710"/>
      <c r="FE64" s="710"/>
      <c r="FF64" s="710"/>
      <c r="FG64" s="710"/>
      <c r="FH64" s="710"/>
      <c r="FI64" s="710"/>
      <c r="FJ64" s="710"/>
      <c r="FK64" s="710"/>
      <c r="FL64" s="710"/>
      <c r="FM64" s="710"/>
      <c r="FN64" s="710"/>
      <c r="FO64" s="710"/>
      <c r="FP64" s="710"/>
      <c r="FQ64" s="710"/>
      <c r="FR64" s="710"/>
      <c r="FS64" s="710"/>
      <c r="FT64" s="710"/>
      <c r="FU64" s="710"/>
      <c r="FV64" s="710"/>
      <c r="FW64" s="710"/>
      <c r="FX64" s="710"/>
      <c r="FY64" s="710"/>
      <c r="FZ64" s="710"/>
      <c r="GA64" s="710"/>
      <c r="GB64" s="710"/>
      <c r="GC64" s="710"/>
      <c r="GD64" s="710"/>
      <c r="GE64" s="710"/>
      <c r="GF64" s="710"/>
      <c r="GG64" s="710"/>
      <c r="GH64" s="710"/>
      <c r="GI64" s="710"/>
      <c r="GJ64" s="710"/>
      <c r="GK64" s="710"/>
      <c r="GL64" s="710"/>
      <c r="GM64" s="710"/>
      <c r="GN64" s="710"/>
      <c r="GO64" s="710"/>
      <c r="GP64" s="710"/>
      <c r="GQ64" s="710"/>
      <c r="GR64" s="710"/>
      <c r="GS64" s="710"/>
      <c r="GT64" s="710"/>
      <c r="GU64" s="710"/>
      <c r="GV64" s="710"/>
      <c r="GW64" s="710"/>
    </row>
    <row r="65" spans="1:15" x14ac:dyDescent="0.25">
      <c r="A65" s="829"/>
      <c r="B65" s="799"/>
      <c r="C65" s="799"/>
      <c r="D65" s="799"/>
      <c r="E65" s="799"/>
      <c r="F65" s="830"/>
      <c r="G65" s="831"/>
      <c r="H65" s="798"/>
      <c r="I65" s="77"/>
      <c r="J65" s="77"/>
      <c r="K65" s="77"/>
      <c r="L65" s="77"/>
      <c r="M65" s="77"/>
      <c r="N65" s="77"/>
      <c r="O65" s="77"/>
    </row>
  </sheetData>
  <mergeCells count="15">
    <mergeCell ref="D54:F54"/>
    <mergeCell ref="B39:C39"/>
    <mergeCell ref="B40:C40"/>
    <mergeCell ref="A1:F1"/>
    <mergeCell ref="E12:E14"/>
    <mergeCell ref="D11:F11"/>
    <mergeCell ref="A6:F6"/>
    <mergeCell ref="A7:F7"/>
    <mergeCell ref="D37:E37"/>
    <mergeCell ref="A3:G3"/>
    <mergeCell ref="B41:C41"/>
    <mergeCell ref="A8:F8"/>
    <mergeCell ref="A9:F9"/>
    <mergeCell ref="A5:F5"/>
    <mergeCell ref="A4:F4"/>
  </mergeCells>
  <phoneticPr fontId="0" type="noConversion"/>
  <conditionalFormatting sqref="E21">
    <cfRule type="cellIs" dxfId="128" priority="1" stopIfTrue="1" operator="equal">
      <formula>0</formula>
    </cfRule>
  </conditionalFormatting>
  <hyperlinks>
    <hyperlink ref="A49" r:id="rId1" xr:uid="{00000000-0004-0000-0500-000000000000}"/>
  </hyperlinks>
  <pageMargins left="0.7" right="0.7" top="0.75" bottom="0.75" header="0.3" footer="0.3"/>
  <pageSetup scale="71" orientation="portrait" blackAndWhite="1" r:id="rId2"/>
  <headerFooter alignWithMargins="0">
    <oddHeader xml:space="preserve">&amp;RState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0E8EC-9454-45F1-94B2-8E9E124DAAAD}">
  <sheetPr>
    <tabColor rgb="FF00B050"/>
  </sheetPr>
  <dimension ref="A1"/>
  <sheetViews>
    <sheetView topLeftCell="A4" zoomScale="175" zoomScaleNormal="175" workbookViewId="0"/>
  </sheetViews>
  <sheetFormatPr defaultRowHeight="15.75" x14ac:dyDescent="0.2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J47"/>
  <sheetViews>
    <sheetView zoomScale="80" workbookViewId="0">
      <selection activeCell="O23" sqref="O23"/>
    </sheetView>
  </sheetViews>
  <sheetFormatPr defaultColWidth="8.796875" defaultRowHeight="15.75" x14ac:dyDescent="0.25"/>
  <cols>
    <col min="1" max="2" width="3" style="68" customWidth="1"/>
    <col min="3" max="3" width="28.19921875" style="68" customWidth="1"/>
    <col min="4" max="4" width="2.09765625" style="68" customWidth="1"/>
    <col min="5" max="5" width="15.69921875" style="68" customWidth="1"/>
    <col min="6" max="6" width="1.796875" style="68" customWidth="1"/>
    <col min="7" max="7" width="15.69921875" style="68" customWidth="1"/>
    <col min="8" max="8" width="1.69921875" style="68" customWidth="1"/>
    <col min="9" max="9" width="1.59765625" style="68" customWidth="1"/>
    <col min="10" max="10" width="15.69921875" style="68" customWidth="1"/>
    <col min="11" max="16384" width="8.796875" style="68"/>
  </cols>
  <sheetData>
    <row r="1" spans="1:10" x14ac:dyDescent="0.25">
      <c r="A1" s="3"/>
      <c r="B1" s="3"/>
      <c r="C1" s="2" t="str">
        <f>inputPrYr!D3</f>
        <v>ROVOHL TOWNSHIP</v>
      </c>
      <c r="D1" s="3"/>
      <c r="E1" s="3"/>
      <c r="F1" s="3"/>
      <c r="G1" s="3"/>
      <c r="H1" s="3"/>
      <c r="I1" s="3"/>
      <c r="J1" s="3">
        <f>inputPrYr!D6</f>
        <v>2020</v>
      </c>
    </row>
    <row r="2" spans="1:10" x14ac:dyDescent="0.25">
      <c r="A2" s="3"/>
      <c r="B2" s="3"/>
      <c r="C2" s="3"/>
      <c r="D2" s="3"/>
      <c r="E2" s="3"/>
      <c r="F2" s="3"/>
      <c r="G2" s="3"/>
      <c r="H2" s="3"/>
      <c r="I2" s="3"/>
      <c r="J2" s="3"/>
    </row>
    <row r="3" spans="1:10" x14ac:dyDescent="0.25">
      <c r="A3" s="878" t="str">
        <f>CONCATENATE("Computation to Determine Limit for ",J1,"")</f>
        <v>Computation to Determine Limit for 2020</v>
      </c>
      <c r="B3" s="863"/>
      <c r="C3" s="863"/>
      <c r="D3" s="863"/>
      <c r="E3" s="863"/>
      <c r="F3" s="863"/>
      <c r="G3" s="863"/>
      <c r="H3" s="863"/>
      <c r="I3" s="863"/>
      <c r="J3" s="863"/>
    </row>
    <row r="4" spans="1:10" x14ac:dyDescent="0.25">
      <c r="A4" s="3"/>
      <c r="B4" s="3"/>
      <c r="C4" s="3"/>
      <c r="D4" s="3"/>
      <c r="E4" s="863"/>
      <c r="F4" s="863"/>
      <c r="G4" s="863"/>
      <c r="H4" s="112"/>
      <c r="I4" s="3"/>
      <c r="J4" s="223" t="s">
        <v>72</v>
      </c>
    </row>
    <row r="5" spans="1:10" x14ac:dyDescent="0.25">
      <c r="A5" s="224" t="s">
        <v>73</v>
      </c>
      <c r="B5" s="3" t="str">
        <f>CONCATENATE("Total tax levy amount in ",J1-1,"")</f>
        <v>Total tax levy amount in 2019</v>
      </c>
      <c r="C5" s="3"/>
      <c r="D5" s="3"/>
      <c r="E5" s="44"/>
      <c r="F5" s="44"/>
      <c r="G5" s="44"/>
      <c r="H5" s="225" t="s">
        <v>11</v>
      </c>
      <c r="I5" s="44" t="s">
        <v>2</v>
      </c>
      <c r="J5" s="226">
        <f>inputPrYr!E29</f>
        <v>123381</v>
      </c>
    </row>
    <row r="6" spans="1:10" x14ac:dyDescent="0.25">
      <c r="A6" s="224" t="s">
        <v>74</v>
      </c>
      <c r="B6" s="3" t="str">
        <f>CONCATENATE("Debt service levy in ",J1-1,"")</f>
        <v>Debt service levy in 2019</v>
      </c>
      <c r="C6" s="3"/>
      <c r="D6" s="3"/>
      <c r="E6" s="44"/>
      <c r="F6" s="44"/>
      <c r="G6" s="44"/>
      <c r="H6" s="225" t="s">
        <v>75</v>
      </c>
      <c r="I6" s="44" t="s">
        <v>2</v>
      </c>
      <c r="J6" s="227">
        <f>inputPrYr!E20</f>
        <v>0</v>
      </c>
    </row>
    <row r="7" spans="1:10" x14ac:dyDescent="0.25">
      <c r="A7" s="224" t="s">
        <v>76</v>
      </c>
      <c r="B7" s="3" t="s">
        <v>782</v>
      </c>
      <c r="C7" s="3"/>
      <c r="D7" s="3"/>
      <c r="E7" s="44"/>
      <c r="F7" s="44"/>
      <c r="G7" s="44"/>
      <c r="H7" s="44"/>
      <c r="I7" s="44" t="s">
        <v>2</v>
      </c>
      <c r="J7" s="228">
        <f>J5-J6</f>
        <v>123381</v>
      </c>
    </row>
    <row r="8" spans="1:10" x14ac:dyDescent="0.25">
      <c r="A8" s="3"/>
      <c r="B8" s="3"/>
      <c r="C8" s="3"/>
      <c r="D8" s="3"/>
      <c r="E8" s="44"/>
      <c r="F8" s="44"/>
      <c r="G8" s="44"/>
      <c r="H8" s="44"/>
      <c r="I8" s="44"/>
      <c r="J8" s="44"/>
    </row>
    <row r="9" spans="1:10" x14ac:dyDescent="0.25">
      <c r="A9" s="863" t="str">
        <f>CONCATENATE("",J1-1," Valuation Information for Valuation Adjustments")</f>
        <v>2019 Valuation Information for Valuation Adjustments</v>
      </c>
      <c r="B9" s="840"/>
      <c r="C9" s="840"/>
      <c r="D9" s="840"/>
      <c r="E9" s="840"/>
      <c r="F9" s="840"/>
      <c r="G9" s="840"/>
      <c r="H9" s="840"/>
      <c r="I9" s="840"/>
      <c r="J9" s="840"/>
    </row>
    <row r="10" spans="1:10" x14ac:dyDescent="0.25">
      <c r="A10" s="3"/>
      <c r="B10" s="3"/>
      <c r="C10" s="3"/>
      <c r="D10" s="3"/>
      <c r="E10" s="44"/>
      <c r="F10" s="44"/>
      <c r="G10" s="44"/>
      <c r="H10" s="44"/>
      <c r="I10" s="44"/>
      <c r="J10" s="44"/>
    </row>
    <row r="11" spans="1:10" x14ac:dyDescent="0.25">
      <c r="A11" s="224" t="s">
        <v>77</v>
      </c>
      <c r="B11" s="3" t="str">
        <f>CONCATENATE("New improvements for ",J1-1,":")</f>
        <v>New improvements for 2019:</v>
      </c>
      <c r="C11" s="3"/>
      <c r="D11" s="3"/>
      <c r="E11" s="225"/>
      <c r="F11" s="225" t="s">
        <v>11</v>
      </c>
      <c r="G11" s="226">
        <f>inputOth!E8</f>
        <v>0</v>
      </c>
      <c r="H11" s="42"/>
      <c r="I11" s="44"/>
      <c r="J11" s="44"/>
    </row>
    <row r="12" spans="1:10" x14ac:dyDescent="0.25">
      <c r="A12" s="224"/>
      <c r="B12" s="224"/>
      <c r="C12" s="3"/>
      <c r="D12" s="3"/>
      <c r="E12" s="225"/>
      <c r="F12" s="225"/>
      <c r="G12" s="42"/>
      <c r="H12" s="42"/>
      <c r="I12" s="44"/>
      <c r="J12" s="44"/>
    </row>
    <row r="13" spans="1:10" x14ac:dyDescent="0.25">
      <c r="A13" s="224" t="s">
        <v>78</v>
      </c>
      <c r="B13" s="3" t="str">
        <f>CONCATENATE("Increase in personal property for ",J1-1,":")</f>
        <v>Increase in personal property for 2019:</v>
      </c>
      <c r="C13" s="3"/>
      <c r="D13" s="3"/>
      <c r="E13" s="225"/>
      <c r="F13" s="225"/>
      <c r="G13" s="42"/>
      <c r="H13" s="42"/>
      <c r="I13" s="44"/>
      <c r="J13" s="44"/>
    </row>
    <row r="14" spans="1:10" x14ac:dyDescent="0.25">
      <c r="A14" s="3"/>
      <c r="B14" s="3" t="s">
        <v>79</v>
      </c>
      <c r="C14" s="3" t="str">
        <f>CONCATENATE("Personal property ",J1-1,"")</f>
        <v>Personal property 2019</v>
      </c>
      <c r="D14" s="224" t="s">
        <v>11</v>
      </c>
      <c r="E14" s="226">
        <f>inputOth!E9</f>
        <v>78662</v>
      </c>
      <c r="F14" s="225"/>
      <c r="G14" s="44"/>
      <c r="H14" s="44"/>
      <c r="I14" s="42"/>
      <c r="J14" s="44"/>
    </row>
    <row r="15" spans="1:10" x14ac:dyDescent="0.25">
      <c r="A15" s="224"/>
      <c r="B15" s="3" t="s">
        <v>80</v>
      </c>
      <c r="C15" s="3" t="str">
        <f>CONCATENATE("Personal property ",J1-2,"")</f>
        <v>Personal property 2018</v>
      </c>
      <c r="D15" s="224" t="s">
        <v>75</v>
      </c>
      <c r="E15" s="228">
        <f>inputOth!E11</f>
        <v>81288</v>
      </c>
      <c r="F15" s="225"/>
      <c r="G15" s="42"/>
      <c r="H15" s="42"/>
      <c r="I15" s="44"/>
      <c r="J15" s="44"/>
    </row>
    <row r="16" spans="1:10" x14ac:dyDescent="0.25">
      <c r="A16" s="224"/>
      <c r="B16" s="3" t="s">
        <v>81</v>
      </c>
      <c r="C16" s="3" t="s">
        <v>783</v>
      </c>
      <c r="D16" s="3"/>
      <c r="E16" s="44"/>
      <c r="F16" s="44" t="s">
        <v>11</v>
      </c>
      <c r="G16" s="226">
        <f>IF(E14&gt;E15,E14-E15,0)</f>
        <v>0</v>
      </c>
      <c r="H16" s="42"/>
      <c r="I16" s="44"/>
      <c r="J16" s="44"/>
    </row>
    <row r="17" spans="1:10" x14ac:dyDescent="0.25">
      <c r="A17" s="224"/>
      <c r="B17" s="224"/>
      <c r="C17" s="3"/>
      <c r="D17" s="3"/>
      <c r="E17" s="44"/>
      <c r="F17" s="44"/>
      <c r="G17" s="42" t="s">
        <v>89</v>
      </c>
      <c r="H17" s="42"/>
      <c r="I17" s="44"/>
      <c r="J17" s="44"/>
    </row>
    <row r="18" spans="1:10" x14ac:dyDescent="0.25">
      <c r="A18" s="224" t="s">
        <v>82</v>
      </c>
      <c r="B18" s="3" t="str">
        <f>CONCATENATE("Valuation of property that changed in use during ",J1-1,":")</f>
        <v>Valuation of property that changed in use during 2019:</v>
      </c>
      <c r="C18" s="3"/>
      <c r="D18" s="3"/>
      <c r="E18" s="44"/>
      <c r="F18" s="225" t="s">
        <v>11</v>
      </c>
      <c r="G18" s="226">
        <f>inputOth!E10</f>
        <v>67394</v>
      </c>
      <c r="H18" s="44"/>
      <c r="I18" s="44"/>
      <c r="J18" s="44"/>
    </row>
    <row r="19" spans="1:10" x14ac:dyDescent="0.25">
      <c r="A19" s="3" t="s">
        <v>237</v>
      </c>
      <c r="B19" s="3"/>
      <c r="C19" s="3"/>
      <c r="D19" s="224"/>
      <c r="E19" s="42"/>
      <c r="F19" s="42"/>
      <c r="G19" s="42"/>
      <c r="H19" s="44"/>
      <c r="I19" s="44"/>
      <c r="J19" s="44"/>
    </row>
    <row r="20" spans="1:10" x14ac:dyDescent="0.25">
      <c r="A20" s="224" t="s">
        <v>83</v>
      </c>
      <c r="B20" s="3" t="s">
        <v>784</v>
      </c>
      <c r="C20" s="3"/>
      <c r="D20" s="3"/>
      <c r="E20" s="44"/>
      <c r="F20" s="44"/>
      <c r="G20" s="226">
        <f>G11+G16+G18</f>
        <v>67394</v>
      </c>
      <c r="H20" s="42"/>
      <c r="I20" s="44"/>
      <c r="J20" s="44"/>
    </row>
    <row r="21" spans="1:10" x14ac:dyDescent="0.25">
      <c r="A21" s="224"/>
      <c r="B21" s="224"/>
      <c r="C21" s="3"/>
      <c r="D21" s="3"/>
      <c r="E21" s="44"/>
      <c r="F21" s="44"/>
      <c r="G21" s="42"/>
      <c r="H21" s="42"/>
      <c r="I21" s="44"/>
      <c r="J21" s="44"/>
    </row>
    <row r="22" spans="1:10" x14ac:dyDescent="0.25">
      <c r="A22" s="224" t="s">
        <v>84</v>
      </c>
      <c r="B22" s="3" t="str">
        <f>CONCATENATE("Total estimated valuation July 1,",J1-1,"")</f>
        <v>Total estimated valuation July 1,2019</v>
      </c>
      <c r="C22" s="3"/>
      <c r="D22" s="3"/>
      <c r="E22" s="226">
        <f>inputOth!E7</f>
        <v>8878826</v>
      </c>
      <c r="F22" s="44"/>
      <c r="G22" s="44"/>
      <c r="H22" s="44"/>
      <c r="I22" s="225"/>
      <c r="J22" s="44"/>
    </row>
    <row r="23" spans="1:10" x14ac:dyDescent="0.25">
      <c r="A23" s="224"/>
      <c r="B23" s="224"/>
      <c r="C23" s="3"/>
      <c r="D23" s="3"/>
      <c r="E23" s="42"/>
      <c r="F23" s="44"/>
      <c r="G23" s="44"/>
      <c r="H23" s="44"/>
      <c r="I23" s="225"/>
      <c r="J23" s="44"/>
    </row>
    <row r="24" spans="1:10" x14ac:dyDescent="0.25">
      <c r="A24" s="224" t="s">
        <v>85</v>
      </c>
      <c r="B24" s="3" t="s">
        <v>785</v>
      </c>
      <c r="C24" s="3"/>
      <c r="D24" s="3"/>
      <c r="E24" s="44"/>
      <c r="F24" s="44"/>
      <c r="G24" s="226">
        <f>E22-G20</f>
        <v>8811432</v>
      </c>
      <c r="H24" s="42"/>
      <c r="I24" s="225"/>
      <c r="J24" s="44"/>
    </row>
    <row r="25" spans="1:10" x14ac:dyDescent="0.25">
      <c r="A25" s="224"/>
      <c r="B25" s="224"/>
      <c r="C25" s="3"/>
      <c r="D25" s="3"/>
      <c r="E25" s="3"/>
      <c r="F25" s="3"/>
      <c r="G25" s="229"/>
      <c r="H25" s="8"/>
      <c r="I25" s="224"/>
      <c r="J25" s="3"/>
    </row>
    <row r="26" spans="1:10" x14ac:dyDescent="0.25">
      <c r="A26" s="224" t="s">
        <v>86</v>
      </c>
      <c r="B26" s="3" t="s">
        <v>786</v>
      </c>
      <c r="C26" s="3"/>
      <c r="D26" s="3"/>
      <c r="E26" s="3"/>
      <c r="F26" s="3"/>
      <c r="G26" s="230">
        <f>IF(G20&gt;0,G20/G24,0)</f>
        <v>7.6484730291285228E-3</v>
      </c>
      <c r="H26" s="8"/>
      <c r="I26" s="3"/>
      <c r="J26" s="3"/>
    </row>
    <row r="27" spans="1:10" x14ac:dyDescent="0.25">
      <c r="A27" s="224"/>
      <c r="B27" s="224"/>
      <c r="C27" s="3"/>
      <c r="D27" s="3"/>
      <c r="E27" s="3"/>
      <c r="F27" s="3"/>
      <c r="G27" s="8"/>
      <c r="H27" s="8"/>
      <c r="I27" s="3"/>
      <c r="J27" s="3"/>
    </row>
    <row r="28" spans="1:10" x14ac:dyDescent="0.25">
      <c r="A28" s="224" t="s">
        <v>87</v>
      </c>
      <c r="B28" s="3" t="s">
        <v>787</v>
      </c>
      <c r="C28" s="3"/>
      <c r="D28" s="3"/>
      <c r="E28" s="3"/>
      <c r="F28" s="3"/>
      <c r="G28" s="8"/>
      <c r="H28" s="231" t="s">
        <v>11</v>
      </c>
      <c r="I28" s="3" t="s">
        <v>2</v>
      </c>
      <c r="J28" s="226">
        <f>ROUND(G26*J7,0)</f>
        <v>944</v>
      </c>
    </row>
    <row r="29" spans="1:10" x14ac:dyDescent="0.25">
      <c r="A29" s="224"/>
      <c r="B29" s="224"/>
      <c r="C29" s="3"/>
      <c r="D29" s="3"/>
      <c r="E29" s="3"/>
      <c r="F29" s="3"/>
      <c r="G29" s="8"/>
      <c r="H29" s="231"/>
      <c r="I29" s="3"/>
      <c r="J29" s="42"/>
    </row>
    <row r="30" spans="1:10" ht="16.5" thickBot="1" x14ac:dyDescent="0.3">
      <c r="A30" s="224" t="s">
        <v>88</v>
      </c>
      <c r="B30" s="3" t="str">
        <f>CONCATENATE(J1," budget tax levy, excluding debt service,  prior to CPI adjustment (3 plus 11)")</f>
        <v>2020 budget tax levy, excluding debt service,  prior to CPI adjustment (3 plus 11)</v>
      </c>
      <c r="C30" s="3"/>
      <c r="D30" s="3"/>
      <c r="E30" s="3"/>
      <c r="F30" s="3"/>
      <c r="G30" s="3"/>
      <c r="H30" s="3"/>
      <c r="I30" s="3" t="s">
        <v>2</v>
      </c>
      <c r="J30" s="232">
        <f>J7+J28</f>
        <v>124325</v>
      </c>
    </row>
    <row r="31" spans="1:10" ht="16.5" thickTop="1" x14ac:dyDescent="0.25">
      <c r="A31" s="3"/>
      <c r="B31" s="3"/>
      <c r="C31" s="3"/>
      <c r="D31" s="3"/>
      <c r="E31" s="3"/>
      <c r="F31" s="3"/>
      <c r="G31" s="3"/>
      <c r="H31" s="3"/>
      <c r="I31" s="3"/>
      <c r="J31" s="3"/>
    </row>
    <row r="32" spans="1:10" x14ac:dyDescent="0.25">
      <c r="A32" s="224" t="s">
        <v>100</v>
      </c>
      <c r="B32" s="3" t="str">
        <f>CONCATENATE("Debt service levy in this ",J1," budget")</f>
        <v>Debt service levy in this 2020 budget</v>
      </c>
      <c r="C32" s="3"/>
      <c r="D32" s="3"/>
      <c r="E32" s="3"/>
      <c r="F32" s="3"/>
      <c r="G32" s="3"/>
      <c r="H32" s="3"/>
      <c r="I32" s="3"/>
      <c r="J32" s="226">
        <f>'DebtSvs-Library'!E41</f>
        <v>0</v>
      </c>
    </row>
    <row r="33" spans="1:10" x14ac:dyDescent="0.25">
      <c r="A33" s="224"/>
      <c r="B33" s="3"/>
      <c r="C33" s="3"/>
      <c r="D33" s="3"/>
      <c r="E33" s="3"/>
      <c r="F33" s="3"/>
      <c r="G33" s="3"/>
      <c r="H33" s="3"/>
      <c r="I33" s="3"/>
      <c r="J33" s="8"/>
    </row>
    <row r="34" spans="1:10" ht="16.5" thickBot="1" x14ac:dyDescent="0.3">
      <c r="A34" s="224" t="s">
        <v>101</v>
      </c>
      <c r="B34" s="3" t="str">
        <f>CONCATENATE(J1," budget tax levy, including debt service, prior to CPI adjustment (12 plus 13)")</f>
        <v>2020 budget tax levy, including debt service, prior to CPI adjustment (12 plus 13)</v>
      </c>
      <c r="C34" s="3"/>
      <c r="D34" s="3"/>
      <c r="E34" s="3"/>
      <c r="F34" s="3"/>
      <c r="G34" s="3"/>
      <c r="H34" s="3"/>
      <c r="I34" s="3"/>
      <c r="J34" s="232">
        <f>J30+J32</f>
        <v>124325</v>
      </c>
    </row>
    <row r="35" spans="1:10" ht="16.5" thickTop="1" x14ac:dyDescent="0.25">
      <c r="A35" s="699"/>
      <c r="B35" s="698"/>
      <c r="C35" s="698"/>
      <c r="D35" s="698"/>
      <c r="E35" s="698"/>
      <c r="F35" s="698"/>
      <c r="G35" s="698"/>
      <c r="H35" s="698"/>
      <c r="I35" s="698"/>
      <c r="J35" s="696"/>
    </row>
    <row r="36" spans="1:10" x14ac:dyDescent="0.25">
      <c r="A36" s="701" t="s">
        <v>776</v>
      </c>
      <c r="B36" s="698" t="str">
        <f>CONCATENATE("Consumer Price Index for all urban consumers for calendar year ",J1-2)</f>
        <v>Consumer Price Index for all urban consumers for calendar year 2018</v>
      </c>
      <c r="C36" s="698"/>
      <c r="D36" s="698"/>
      <c r="E36" s="698"/>
      <c r="F36" s="698"/>
      <c r="G36" s="698"/>
      <c r="H36" s="698"/>
      <c r="I36" s="698"/>
      <c r="J36" s="795">
        <f>inputPrYr!D8</f>
        <v>2.5000000000000001E-2</v>
      </c>
    </row>
    <row r="37" spans="1:10" x14ac:dyDescent="0.25">
      <c r="A37" s="701"/>
      <c r="B37" s="698"/>
      <c r="C37" s="698"/>
      <c r="D37" s="698"/>
      <c r="E37" s="698"/>
      <c r="F37" s="698"/>
      <c r="G37" s="698"/>
      <c r="H37" s="698"/>
      <c r="I37" s="698"/>
      <c r="J37" s="702"/>
    </row>
    <row r="38" spans="1:10" x14ac:dyDescent="0.25">
      <c r="A38" s="701" t="s">
        <v>777</v>
      </c>
      <c r="B38" s="698" t="s">
        <v>778</v>
      </c>
      <c r="C38" s="698"/>
      <c r="D38" s="698"/>
      <c r="E38" s="698"/>
      <c r="F38" s="698"/>
      <c r="G38" s="698"/>
      <c r="H38" s="698"/>
      <c r="I38" s="697" t="s">
        <v>2</v>
      </c>
      <c r="J38" s="695">
        <f>ROUND(J7*J36,0)</f>
        <v>3085</v>
      </c>
    </row>
    <row r="39" spans="1:10" x14ac:dyDescent="0.25">
      <c r="A39" s="699"/>
      <c r="B39" s="698"/>
      <c r="C39" s="698"/>
      <c r="D39" s="698"/>
      <c r="E39" s="698"/>
      <c r="F39" s="698"/>
      <c r="G39" s="698"/>
      <c r="H39" s="698"/>
      <c r="I39" s="698"/>
      <c r="J39" s="696"/>
    </row>
    <row r="40" spans="1:10" x14ac:dyDescent="0.25">
      <c r="A40" s="699" t="s">
        <v>779</v>
      </c>
      <c r="B40" s="698" t="str">
        <f>CONCATENATE("Maximum levy for budget year ",J1,", including debt service, not requiring 'notice of vote publication'")</f>
        <v>Maximum levy for budget year 2020, including debt service, not requiring 'notice of vote publication'</v>
      </c>
      <c r="C40" s="698"/>
      <c r="D40" s="698"/>
      <c r="E40" s="698"/>
      <c r="F40" s="698"/>
      <c r="G40" s="698"/>
      <c r="H40" s="698"/>
      <c r="I40" s="698"/>
      <c r="J40" s="694"/>
    </row>
    <row r="41" spans="1:10" ht="19.5" thickBot="1" x14ac:dyDescent="0.3">
      <c r="A41" s="693"/>
      <c r="B41" s="697" t="s">
        <v>823</v>
      </c>
      <c r="C41" s="693"/>
      <c r="D41" s="693"/>
      <c r="E41" s="693"/>
      <c r="F41" s="693"/>
      <c r="G41" s="693"/>
      <c r="H41" s="693"/>
      <c r="I41" s="697" t="s">
        <v>2</v>
      </c>
      <c r="J41" s="700">
        <f>J34+J38</f>
        <v>127410</v>
      </c>
    </row>
    <row r="42" spans="1:10" ht="19.5" thickTop="1" x14ac:dyDescent="0.25">
      <c r="A42" s="693"/>
      <c r="B42" s="703"/>
      <c r="C42" s="693"/>
      <c r="D42" s="693"/>
      <c r="E42" s="693"/>
      <c r="F42" s="693"/>
      <c r="G42" s="693"/>
      <c r="H42" s="693"/>
      <c r="I42" s="697"/>
      <c r="J42" s="696"/>
    </row>
    <row r="43" spans="1:10" ht="18.75" x14ac:dyDescent="0.25">
      <c r="A43" s="693"/>
      <c r="B43" s="703"/>
      <c r="C43" s="693"/>
      <c r="D43" s="693"/>
      <c r="E43" s="693"/>
      <c r="F43" s="693"/>
      <c r="G43" s="693"/>
      <c r="H43" s="693"/>
      <c r="I43" s="697"/>
      <c r="J43" s="696"/>
    </row>
    <row r="44" spans="1:10" ht="15" customHeight="1" x14ac:dyDescent="0.25">
      <c r="A44" s="881" t="str">
        <f>CONCATENATE("If the ",J1," adopted budget includes a total property tax levy exceeding the dollar amount in line 17")</f>
        <v>If the 2020 adopted budget includes a total property tax levy exceeding the dollar amount in line 17</v>
      </c>
      <c r="B44" s="881"/>
      <c r="C44" s="881"/>
      <c r="D44" s="881"/>
      <c r="E44" s="881"/>
      <c r="F44" s="881"/>
      <c r="G44" s="881"/>
      <c r="H44" s="881"/>
      <c r="I44" s="881"/>
      <c r="J44" s="881"/>
    </row>
    <row r="45" spans="1:10" ht="32.1" customHeight="1" x14ac:dyDescent="0.25">
      <c r="A45" s="880" t="s">
        <v>824</v>
      </c>
      <c r="B45" s="880"/>
      <c r="C45" s="880"/>
      <c r="D45" s="880"/>
      <c r="E45" s="880"/>
      <c r="F45" s="880"/>
      <c r="G45" s="880"/>
      <c r="H45" s="880"/>
      <c r="I45" s="880"/>
      <c r="J45" s="880"/>
    </row>
    <row r="46" spans="1:10" ht="15" customHeight="1" x14ac:dyDescent="0.25">
      <c r="A46" s="879" t="s">
        <v>780</v>
      </c>
      <c r="B46" s="879"/>
      <c r="C46" s="879"/>
      <c r="D46" s="879"/>
      <c r="E46" s="879"/>
      <c r="F46" s="879"/>
      <c r="G46" s="879"/>
      <c r="H46" s="879"/>
      <c r="I46" s="879"/>
      <c r="J46" s="879"/>
    </row>
    <row r="47" spans="1:10" ht="15" customHeight="1" x14ac:dyDescent="0.25">
      <c r="A47" s="879" t="s">
        <v>781</v>
      </c>
      <c r="B47" s="879"/>
      <c r="C47" s="879"/>
      <c r="D47" s="879"/>
      <c r="E47" s="879"/>
      <c r="F47" s="879"/>
      <c r="G47" s="879"/>
      <c r="H47" s="879"/>
      <c r="I47" s="879"/>
      <c r="J47" s="879"/>
    </row>
  </sheetData>
  <sheetProtection sheet="1"/>
  <mergeCells count="7">
    <mergeCell ref="A3:J3"/>
    <mergeCell ref="E4:G4"/>
    <mergeCell ref="A47:J47"/>
    <mergeCell ref="A45:J45"/>
    <mergeCell ref="A44:J44"/>
    <mergeCell ref="A46:J46"/>
    <mergeCell ref="A9:J9"/>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J4480"/>
  <sheetViews>
    <sheetView zoomScale="85" workbookViewId="0">
      <selection activeCell="R110" sqref="R110"/>
    </sheetView>
  </sheetViews>
  <sheetFormatPr defaultColWidth="8.796875" defaultRowHeight="15.75" x14ac:dyDescent="0.25"/>
  <cols>
    <col min="1" max="1" width="6.3984375" style="77" customWidth="1"/>
    <col min="2" max="2" width="17.796875" style="68" customWidth="1"/>
    <col min="3" max="3" width="17.3984375" style="68" customWidth="1"/>
    <col min="4" max="6" width="13.69921875" style="68" customWidth="1"/>
    <col min="7" max="8" width="13.59765625" style="68" customWidth="1"/>
    <col min="9" max="9" width="6.296875" style="68" customWidth="1"/>
    <col min="10" max="16384" width="8.796875" style="68"/>
  </cols>
  <sheetData>
    <row r="1" spans="1:10" x14ac:dyDescent="0.25">
      <c r="B1" s="2" t="str">
        <f>inputPrYr!D3</f>
        <v>ROVOHL TOWNSHIP</v>
      </c>
      <c r="C1" s="3"/>
      <c r="D1" s="3"/>
      <c r="E1" s="3"/>
      <c r="F1" s="3"/>
      <c r="G1" s="3"/>
      <c r="H1" s="4"/>
      <c r="I1" s="4">
        <f>inputPrYr!D6</f>
        <v>2020</v>
      </c>
    </row>
    <row r="2" spans="1:10" x14ac:dyDescent="0.25">
      <c r="B2" s="2" t="str">
        <f>inputPrYr!D4</f>
        <v>THOMAS COUNTY</v>
      </c>
      <c r="C2" s="3"/>
      <c r="D2" s="3"/>
      <c r="E2" s="3"/>
      <c r="F2" s="41"/>
      <c r="G2" s="41"/>
      <c r="H2" s="41"/>
      <c r="I2" s="77"/>
    </row>
    <row r="3" spans="1:10" x14ac:dyDescent="0.25">
      <c r="B3" s="2"/>
      <c r="C3" s="3"/>
      <c r="D3" s="3"/>
      <c r="E3" s="3"/>
      <c r="F3" s="41"/>
      <c r="G3" s="41"/>
      <c r="H3" s="41"/>
      <c r="I3" s="77"/>
    </row>
    <row r="4" spans="1:10" x14ac:dyDescent="0.25">
      <c r="B4" s="2"/>
      <c r="C4" s="3"/>
      <c r="D4" s="3"/>
      <c r="E4" s="3"/>
      <c r="F4" s="41"/>
      <c r="G4" s="41"/>
      <c r="H4" s="41"/>
      <c r="I4" s="77"/>
    </row>
    <row r="5" spans="1:10" x14ac:dyDescent="0.25">
      <c r="B5" s="3"/>
      <c r="C5" s="3"/>
      <c r="D5" s="3"/>
      <c r="E5" s="3"/>
      <c r="F5" s="3"/>
      <c r="G5" s="3"/>
      <c r="H5" s="3"/>
      <c r="I5" s="77"/>
    </row>
    <row r="6" spans="1:10" x14ac:dyDescent="0.25">
      <c r="A6" s="882" t="s">
        <v>804</v>
      </c>
      <c r="B6" s="882"/>
      <c r="C6" s="882"/>
      <c r="D6" s="882"/>
      <c r="E6" s="882"/>
      <c r="F6" s="882"/>
      <c r="G6" s="882"/>
      <c r="H6" s="882"/>
      <c r="I6" s="840"/>
    </row>
    <row r="7" spans="1:10" x14ac:dyDescent="0.25">
      <c r="B7" s="217"/>
      <c r="C7" s="127"/>
      <c r="D7" s="127"/>
      <c r="E7" s="127"/>
      <c r="F7" s="127"/>
      <c r="G7" s="41"/>
      <c r="H7" s="127"/>
      <c r="I7" s="127"/>
    </row>
    <row r="8" spans="1:10" x14ac:dyDescent="0.25">
      <c r="B8" s="3"/>
      <c r="C8" s="218"/>
      <c r="D8" s="219"/>
      <c r="E8" s="132"/>
      <c r="F8" s="3"/>
      <c r="G8" s="41"/>
      <c r="H8" s="8"/>
      <c r="I8" s="493"/>
    </row>
    <row r="9" spans="1:10" ht="21" customHeight="1" x14ac:dyDescent="0.25">
      <c r="B9" s="158" t="s">
        <v>642</v>
      </c>
      <c r="C9" s="864" t="str">
        <f>CONCATENATE("Tax Levy Amount in ",I1-1," Budget")</f>
        <v>Tax Levy Amount in 2019 Budget</v>
      </c>
      <c r="D9" s="867" t="str">
        <f>CONCATENATE("Allocation for Year ",I1,"")</f>
        <v>Allocation for Year 2020</v>
      </c>
      <c r="E9" s="883"/>
      <c r="F9" s="883"/>
      <c r="G9" s="883"/>
      <c r="H9" s="884"/>
      <c r="I9" s="77"/>
      <c r="J9" s="492"/>
    </row>
    <row r="10" spans="1:10" ht="15.75" customHeight="1" x14ac:dyDescent="0.25">
      <c r="B10" s="15" t="str">
        <f>CONCATENATE("for ",I1-1,"")</f>
        <v>for 2019</v>
      </c>
      <c r="C10" s="885"/>
      <c r="D10" s="15" t="s">
        <v>70</v>
      </c>
      <c r="E10" s="15" t="s">
        <v>71</v>
      </c>
      <c r="F10" s="15" t="s">
        <v>105</v>
      </c>
      <c r="G10" s="753" t="s">
        <v>815</v>
      </c>
      <c r="H10" s="753" t="s">
        <v>816</v>
      </c>
      <c r="I10" s="77"/>
      <c r="J10" s="492"/>
    </row>
    <row r="11" spans="1:10" x14ac:dyDescent="0.25">
      <c r="B11" s="72" t="str">
        <f>inputPrYr!B19</f>
        <v>General</v>
      </c>
      <c r="C11" s="148">
        <f>IF(inputPrYr!E19&gt;0,inputPrYr!E19,"  ")</f>
        <v>123381</v>
      </c>
      <c r="D11" s="148">
        <f>IF(inputPrYr!E19=0,0,D23-SUM(D12:D20))</f>
        <v>4430</v>
      </c>
      <c r="E11" s="148">
        <f>IF(inputPrYr!E19=0,0,E25-SUM(E12:E20))</f>
        <v>119</v>
      </c>
      <c r="F11" s="148">
        <f>IF(inputPrYr!E19=0,0,F27-SUM(F12:F20))</f>
        <v>1007</v>
      </c>
      <c r="G11" s="148">
        <f>IF(inputPrYr!E19=0,0,G29-SUM(G12:G20))</f>
        <v>113</v>
      </c>
      <c r="H11" s="148">
        <f>IF(inputPrYr!E19=0,0,H31-SUM(H12:H20))</f>
        <v>0</v>
      </c>
      <c r="I11" s="77"/>
      <c r="J11" s="492"/>
    </row>
    <row r="12" spans="1:10" x14ac:dyDescent="0.25">
      <c r="B12" s="72" t="str">
        <f>inputPrYr!B20</f>
        <v>Debt Service</v>
      </c>
      <c r="C12" s="148">
        <f>IF(inputPrYr!E20&gt;=0,inputPrYr!E20,"  ")</f>
        <v>0</v>
      </c>
      <c r="D12" s="148">
        <f>IF(inputPrYr!E20=0,0,ROUND(C12*$D$34,0))</f>
        <v>0</v>
      </c>
      <c r="E12" s="148">
        <f>IF(inputPrYr!$E$20=0,0,ROUND($C$12*$E$36,0))</f>
        <v>0</v>
      </c>
      <c r="F12" s="148">
        <f>IF(inputPrYr!E20=0,0,ROUND($C12*$F$38,0))</f>
        <v>0</v>
      </c>
      <c r="G12" s="148">
        <f>IF(inputPrYr!E20=0,0,ROUND($C12*$G$40,0))</f>
        <v>0</v>
      </c>
      <c r="H12" s="148">
        <f>IF(inputPrYr!E20=0,0,ROUND($C12*$H$42,0))</f>
        <v>0</v>
      </c>
      <c r="I12" s="77"/>
      <c r="J12" s="492"/>
    </row>
    <row r="13" spans="1:10" x14ac:dyDescent="0.25">
      <c r="B13" s="72" t="str">
        <f>inputPrYr!B21</f>
        <v>Library</v>
      </c>
      <c r="C13" s="148">
        <f>IF(inputPrYr!E21&gt;=0,inputPrYr!E21,"  ")</f>
        <v>0</v>
      </c>
      <c r="D13" s="148">
        <f>IF(inputPrYr!E21=0,0,ROUND(C13*$D$34,0))</f>
        <v>0</v>
      </c>
      <c r="E13" s="148">
        <f>IF(inputPrYr!$E$21=0,0,ROUND($C$13*$E$36,0))</f>
        <v>0</v>
      </c>
      <c r="F13" s="148">
        <f>IF(inputPrYr!E21=0,0,ROUND($C13*$F$38,0))</f>
        <v>0</v>
      </c>
      <c r="G13" s="148">
        <f>IF(inputPrYr!E21=0,0,ROUND($C13*$G$40,0))</f>
        <v>0</v>
      </c>
      <c r="H13" s="148">
        <f>IF(inputPrYr!E21=0,0,ROUND($C13*$H$42,0))</f>
        <v>0</v>
      </c>
      <c r="I13" s="77"/>
      <c r="J13" s="492"/>
    </row>
    <row r="14" spans="1:10" x14ac:dyDescent="0.25">
      <c r="B14" s="72" t="str">
        <f>IF(inputPrYr!$B22&gt;"  ",inputPrYr!$B22,"  ")</f>
        <v>Road</v>
      </c>
      <c r="C14" s="148">
        <f>IF(inputPrYr!E22&gt;=0,inputPrYr!E22,"  ")</f>
        <v>0</v>
      </c>
      <c r="D14" s="148">
        <f>IF(inputPrYr!E22=0,0,ROUND(C14*$D$34,0))</f>
        <v>0</v>
      </c>
      <c r="E14" s="148">
        <f>IF(inputPrYr!$E$22=0,0,ROUND($C$14*$E$36,0))</f>
        <v>0</v>
      </c>
      <c r="F14" s="148">
        <f>IF(inputPrYr!E22=0,0,ROUND($C14*$F$38,0))</f>
        <v>0</v>
      </c>
      <c r="G14" s="148">
        <f>IF(inputPrYr!E22=0,0,ROUND($C14*$G$40,0))</f>
        <v>0</v>
      </c>
      <c r="H14" s="148">
        <f>IF(inputPrYr!E22=0,0,ROUND($C14*$H$42,0))</f>
        <v>0</v>
      </c>
      <c r="I14" s="77"/>
      <c r="J14" s="492"/>
    </row>
    <row r="15" spans="1:10" x14ac:dyDescent="0.25">
      <c r="B15" s="72" t="str">
        <f>IF(inputPrYr!$B23&gt;"  ",inputPrYr!$B23,"  ")</f>
        <v xml:space="preserve">  </v>
      </c>
      <c r="C15" s="148">
        <f>IF(inputPrYr!E23&gt;=0,inputPrYr!E23,"  ")</f>
        <v>0</v>
      </c>
      <c r="D15" s="148">
        <f>IF(inputPrYr!E23=0,0,ROUND(C15*$D$34,0))</f>
        <v>0</v>
      </c>
      <c r="E15" s="148">
        <f>IF(inputPrYr!$E$23=0,0,ROUND($C$15*$E$36,0))</f>
        <v>0</v>
      </c>
      <c r="F15" s="148">
        <f>IF(inputPrYr!E23=0,0,ROUND($C15*$F$38,0))</f>
        <v>0</v>
      </c>
      <c r="G15" s="148">
        <f>IF(inputPrYr!E23=0,0,ROUND($C15*$G$40,0))</f>
        <v>0</v>
      </c>
      <c r="H15" s="148">
        <f>IF(inputPrYr!E23=0,0,ROUND($C15*$H$42,0))</f>
        <v>0</v>
      </c>
      <c r="I15" s="77"/>
      <c r="J15" s="492"/>
    </row>
    <row r="16" spans="1:10" x14ac:dyDescent="0.25">
      <c r="B16" s="72" t="str">
        <f>IF(inputPrYr!$B24&gt;"  ",inputPrYr!$B24,"  ")</f>
        <v xml:space="preserve">  </v>
      </c>
      <c r="C16" s="148">
        <f>IF(inputPrYr!E24&gt;=0,inputPrYr!E24,"  ")</f>
        <v>0</v>
      </c>
      <c r="D16" s="148">
        <f>IF(inputPrYr!E24=0,0,ROUND(C16*$D$34,0))</f>
        <v>0</v>
      </c>
      <c r="E16" s="148">
        <f>IF(inputPrYr!$E$24=0,0,ROUND($C$16*$E$36,0))</f>
        <v>0</v>
      </c>
      <c r="F16" s="148">
        <f>IF(inputPrYr!E24=0,0,ROUND($C16*$F$38,0))</f>
        <v>0</v>
      </c>
      <c r="G16" s="148">
        <f>IF(inputPrYr!E24=0,0,ROUND($C16*$G$40,0))</f>
        <v>0</v>
      </c>
      <c r="H16" s="148">
        <f>IF(inputPrYr!E24=0,0,ROUND($C16*$H$42,0))</f>
        <v>0</v>
      </c>
      <c r="I16" s="77"/>
      <c r="J16" s="492"/>
    </row>
    <row r="17" spans="2:10" x14ac:dyDescent="0.25">
      <c r="B17" s="72" t="str">
        <f>IF(inputPrYr!$B25&gt;"  ",inputPrYr!$B25,"  ")</f>
        <v xml:space="preserve">  </v>
      </c>
      <c r="C17" s="148">
        <f>IF(inputPrYr!E25&gt;=0,inputPrYr!E25,"  ")</f>
        <v>0</v>
      </c>
      <c r="D17" s="148">
        <f>IF(inputPrYr!E25=0,0,ROUND(C17*$D$34,0))</f>
        <v>0</v>
      </c>
      <c r="E17" s="148">
        <f>IF(inputPrYr!$E$25=0,0,ROUND($C$17*$E$36,0))</f>
        <v>0</v>
      </c>
      <c r="F17" s="148">
        <f>IF(inputPrYr!E25=0,0,ROUND($C17*$F$38,0))</f>
        <v>0</v>
      </c>
      <c r="G17" s="148">
        <f>IF(inputPrYr!E25=0,0,ROUND($C17*$G$40,0))</f>
        <v>0</v>
      </c>
      <c r="H17" s="148">
        <f>IF(inputPrYr!E25=0,0,ROUND($C17*$H$42,0))</f>
        <v>0</v>
      </c>
      <c r="I17" s="77"/>
      <c r="J17" s="492"/>
    </row>
    <row r="18" spans="2:10" x14ac:dyDescent="0.25">
      <c r="B18" s="72" t="str">
        <f>IF(inputPrYr!$B26&gt;"  ",inputPrYr!$B26,"  ")</f>
        <v xml:space="preserve">  </v>
      </c>
      <c r="C18" s="148">
        <f>IF(inputPrYr!E26&gt;=0,inputPrYr!E26,"  ")</f>
        <v>0</v>
      </c>
      <c r="D18" s="148">
        <f>IF(inputPrYr!E26=0,0,ROUND(C18*$D$34,0))</f>
        <v>0</v>
      </c>
      <c r="E18" s="148">
        <f>IF(inputPrYr!$E$26=0,0,ROUND($C$18*$E$36,0))</f>
        <v>0</v>
      </c>
      <c r="F18" s="148">
        <f>IF(inputPrYr!E26=0,0,ROUND($C18*$F$38,0))</f>
        <v>0</v>
      </c>
      <c r="G18" s="148">
        <f>IF(inputPrYr!E26=0,0,ROUND($C18*$G$40,0))</f>
        <v>0</v>
      </c>
      <c r="H18" s="148">
        <f>IF(inputPrYr!E26=0,0,ROUND($C18*$H$42,0))</f>
        <v>0</v>
      </c>
      <c r="I18" s="77"/>
      <c r="J18" s="492"/>
    </row>
    <row r="19" spans="2:10" x14ac:dyDescent="0.25">
      <c r="B19" s="72" t="str">
        <f>IF(inputPrYr!$B27&gt;"  ",inputPrYr!$B27,"  ")</f>
        <v xml:space="preserve">  </v>
      </c>
      <c r="C19" s="148">
        <f>IF(inputPrYr!E27&gt;=0,inputPrYr!E27,"  ")</f>
        <v>0</v>
      </c>
      <c r="D19" s="148">
        <f>IF(inputPrYr!E27=0,0,ROUND(C19*$D$34,0))</f>
        <v>0</v>
      </c>
      <c r="E19" s="148">
        <f>IF(inputPrYr!$E$27=0,0,ROUND($C$19*$E$36,0))</f>
        <v>0</v>
      </c>
      <c r="F19" s="148">
        <f>IF(inputPrYr!E27=0,0,ROUND($C19*$F$38,0))</f>
        <v>0</v>
      </c>
      <c r="G19" s="148">
        <f>IF(inputPrYr!E27=0,0,ROUND($C19*$G$40,0))</f>
        <v>0</v>
      </c>
      <c r="H19" s="148">
        <f>IF(inputPrYr!E27=0,0,ROUND($C19*$H$42,0))</f>
        <v>0</v>
      </c>
      <c r="I19" s="77"/>
      <c r="J19" s="492"/>
    </row>
    <row r="20" spans="2:10" x14ac:dyDescent="0.25">
      <c r="B20" s="72" t="str">
        <f>IF(inputPrYr!$B28&gt;"  ",inputPrYr!$B28,"  ")</f>
        <v xml:space="preserve">  </v>
      </c>
      <c r="C20" s="148">
        <f>IF(inputPrYr!E28&gt;=0,inputPrYr!E28,"  ")</f>
        <v>0</v>
      </c>
      <c r="D20" s="148">
        <f>IF(inputPrYr!E28=0,0,ROUND(C20*$D$34,0))</f>
        <v>0</v>
      </c>
      <c r="E20" s="148">
        <f>IF(inputPrYr!$E$28=0,0,ROUND($C$20*$E$36,0))</f>
        <v>0</v>
      </c>
      <c r="F20" s="148">
        <f>IF(inputPrYr!E28=0,0,ROUND($C20*$F$38,0))</f>
        <v>0</v>
      </c>
      <c r="G20" s="148">
        <f>IF(inputPrYr!E28=0,0,ROUND($C20*$G$40,0))</f>
        <v>0</v>
      </c>
      <c r="H20" s="148">
        <f>IF(inputPrYr!E28=0,0,ROUND($C20*$H$42,0))</f>
        <v>0</v>
      </c>
      <c r="I20" s="77"/>
      <c r="J20" s="492"/>
    </row>
    <row r="21" spans="2:10" ht="16.5" thickBot="1" x14ac:dyDescent="0.3">
      <c r="B21" s="60" t="s">
        <v>235</v>
      </c>
      <c r="C21" s="653">
        <f t="shared" ref="C21:H21" si="0">SUM(C11:C20)</f>
        <v>123381</v>
      </c>
      <c r="D21" s="653">
        <f t="shared" si="0"/>
        <v>4430</v>
      </c>
      <c r="E21" s="653">
        <f t="shared" si="0"/>
        <v>119</v>
      </c>
      <c r="F21" s="653">
        <f t="shared" si="0"/>
        <v>1007</v>
      </c>
      <c r="G21" s="653">
        <f t="shared" si="0"/>
        <v>113</v>
      </c>
      <c r="H21" s="653">
        <f t="shared" si="0"/>
        <v>0</v>
      </c>
      <c r="I21" s="77"/>
      <c r="J21" s="492"/>
    </row>
    <row r="22" spans="2:10" ht="16.5" thickTop="1" x14ac:dyDescent="0.25">
      <c r="B22" s="3"/>
      <c r="C22" s="3"/>
      <c r="D22" s="3"/>
      <c r="E22" s="3"/>
      <c r="F22" s="3"/>
      <c r="G22" s="3"/>
      <c r="H22" s="3"/>
      <c r="I22" s="77"/>
    </row>
    <row r="23" spans="2:10" x14ac:dyDescent="0.25">
      <c r="B23" s="749" t="s">
        <v>805</v>
      </c>
      <c r="C23" s="3"/>
      <c r="D23" s="67">
        <f>inputOth!E32</f>
        <v>4430</v>
      </c>
      <c r="E23" s="3"/>
      <c r="F23" s="3"/>
      <c r="G23" s="3"/>
      <c r="H23" s="3"/>
      <c r="I23" s="77"/>
    </row>
    <row r="24" spans="2:10" x14ac:dyDescent="0.25">
      <c r="B24" s="748"/>
      <c r="C24" s="3"/>
      <c r="D24" s="3"/>
      <c r="E24" s="3"/>
      <c r="F24" s="3"/>
      <c r="G24" s="3"/>
      <c r="H24" s="3"/>
      <c r="I24" s="77"/>
    </row>
    <row r="25" spans="2:10" x14ac:dyDescent="0.25">
      <c r="B25" s="749" t="s">
        <v>806</v>
      </c>
      <c r="C25" s="3"/>
      <c r="D25" s="3"/>
      <c r="E25" s="67">
        <f>inputOth!E33</f>
        <v>119</v>
      </c>
      <c r="F25" s="3"/>
      <c r="G25" s="3"/>
      <c r="H25" s="3"/>
      <c r="I25" s="77"/>
    </row>
    <row r="26" spans="2:10" x14ac:dyDescent="0.25">
      <c r="B26" s="748"/>
      <c r="C26" s="3"/>
      <c r="D26" s="3"/>
      <c r="E26" s="3"/>
      <c r="F26" s="3"/>
      <c r="G26" s="3"/>
      <c r="H26" s="3"/>
      <c r="I26" s="77"/>
    </row>
    <row r="27" spans="2:10" x14ac:dyDescent="0.25">
      <c r="B27" s="749" t="s">
        <v>807</v>
      </c>
      <c r="C27" s="3"/>
      <c r="D27" s="3"/>
      <c r="E27" s="3"/>
      <c r="F27" s="67">
        <f>inputOth!E34</f>
        <v>1007</v>
      </c>
      <c r="G27" s="13"/>
      <c r="H27" s="13"/>
      <c r="I27" s="77"/>
    </row>
    <row r="28" spans="2:10" x14ac:dyDescent="0.25">
      <c r="B28" s="748"/>
      <c r="C28" s="3"/>
      <c r="D28" s="3"/>
      <c r="E28" s="3"/>
      <c r="F28" s="13"/>
      <c r="G28" s="13"/>
      <c r="H28" s="13"/>
      <c r="I28" s="77"/>
    </row>
    <row r="29" spans="2:10" x14ac:dyDescent="0.25">
      <c r="B29" s="748" t="s">
        <v>808</v>
      </c>
      <c r="C29" s="3"/>
      <c r="D29" s="3"/>
      <c r="E29" s="3"/>
      <c r="F29" s="13"/>
      <c r="G29" s="67">
        <f>inputOth!E35</f>
        <v>113</v>
      </c>
      <c r="H29" s="13"/>
      <c r="I29" s="77"/>
    </row>
    <row r="30" spans="2:10" x14ac:dyDescent="0.25">
      <c r="B30" s="748"/>
      <c r="C30" s="3"/>
      <c r="D30" s="3"/>
      <c r="E30" s="3"/>
      <c r="F30" s="13"/>
      <c r="G30" s="13"/>
      <c r="H30" s="13"/>
      <c r="I30" s="77"/>
    </row>
    <row r="31" spans="2:10" x14ac:dyDescent="0.25">
      <c r="B31" s="748" t="s">
        <v>809</v>
      </c>
      <c r="C31" s="3"/>
      <c r="D31" s="3"/>
      <c r="E31" s="3"/>
      <c r="F31" s="13"/>
      <c r="G31" s="13"/>
      <c r="H31" s="67">
        <f>inputOth!E36</f>
        <v>0</v>
      </c>
      <c r="I31" s="77"/>
    </row>
    <row r="32" spans="2:10" x14ac:dyDescent="0.25">
      <c r="B32" s="3"/>
      <c r="C32" s="3"/>
      <c r="D32" s="3"/>
      <c r="E32" s="3"/>
      <c r="F32" s="3"/>
      <c r="G32" s="3"/>
      <c r="H32" s="3"/>
      <c r="I32" s="77"/>
    </row>
    <row r="33" spans="1:9" x14ac:dyDescent="0.25">
      <c r="B33" s="3"/>
      <c r="C33" s="3"/>
      <c r="D33" s="747"/>
      <c r="E33" s="747"/>
      <c r="F33" s="747"/>
      <c r="G33" s="747"/>
      <c r="H33" s="746"/>
      <c r="I33" s="77"/>
    </row>
    <row r="34" spans="1:9" x14ac:dyDescent="0.25">
      <c r="B34" s="11"/>
      <c r="C34" s="750" t="s">
        <v>810</v>
      </c>
      <c r="D34" s="745">
        <f>IF(C21=0,0,D23/C21)</f>
        <v>3.5905042105348471E-2</v>
      </c>
      <c r="E34" s="747"/>
      <c r="F34" s="747"/>
      <c r="G34" s="747"/>
      <c r="H34" s="747"/>
      <c r="I34" s="77"/>
    </row>
    <row r="35" spans="1:9" x14ac:dyDescent="0.25">
      <c r="B35" s="3"/>
      <c r="C35" s="3"/>
      <c r="D35" s="747"/>
      <c r="E35" s="747"/>
      <c r="F35" s="747"/>
      <c r="G35" s="747"/>
      <c r="H35" s="747"/>
      <c r="I35" s="77"/>
    </row>
    <row r="36" spans="1:9" x14ac:dyDescent="0.25">
      <c r="B36" s="11"/>
      <c r="C36" s="11"/>
      <c r="D36" s="751" t="s">
        <v>811</v>
      </c>
      <c r="E36" s="744">
        <f>IF(C21=0,0,E25/C21)</f>
        <v>9.6449210170123441E-4</v>
      </c>
      <c r="F36" s="747"/>
      <c r="G36" s="747"/>
      <c r="H36" s="747"/>
      <c r="I36" s="77"/>
    </row>
    <row r="37" spans="1:9" x14ac:dyDescent="0.25">
      <c r="B37" s="3"/>
      <c r="C37" s="3"/>
      <c r="D37" s="747"/>
      <c r="E37" s="747"/>
      <c r="F37" s="747"/>
      <c r="G37" s="747"/>
      <c r="H37" s="747"/>
      <c r="I37" s="77"/>
    </row>
    <row r="38" spans="1:9" x14ac:dyDescent="0.25">
      <c r="B38" s="11"/>
      <c r="C38" s="3"/>
      <c r="D38" s="740"/>
      <c r="E38" s="752" t="s">
        <v>812</v>
      </c>
      <c r="F38" s="745">
        <f>IF(C21=0,0,F27/C21)</f>
        <v>8.1617104740600247E-3</v>
      </c>
      <c r="G38" s="741"/>
      <c r="H38" s="741"/>
      <c r="I38" s="77"/>
    </row>
    <row r="39" spans="1:9" x14ac:dyDescent="0.25">
      <c r="B39" s="11"/>
      <c r="C39" s="3"/>
      <c r="D39" s="740"/>
      <c r="E39" s="747"/>
      <c r="F39" s="741"/>
      <c r="G39" s="741"/>
      <c r="H39" s="741"/>
      <c r="I39" s="77"/>
    </row>
    <row r="40" spans="1:9" x14ac:dyDescent="0.25">
      <c r="B40" s="11"/>
      <c r="C40" s="3"/>
      <c r="D40" s="740"/>
      <c r="E40" s="747"/>
      <c r="F40" s="755" t="s">
        <v>813</v>
      </c>
      <c r="G40" s="745">
        <f>IF(C21=0,0,G29/C21)</f>
        <v>9.1586224783394524E-4</v>
      </c>
      <c r="H40" s="741"/>
      <c r="I40" s="77"/>
    </row>
    <row r="41" spans="1:9" x14ac:dyDescent="0.25">
      <c r="B41" s="11"/>
      <c r="C41" s="3"/>
      <c r="D41" s="740"/>
      <c r="E41" s="747"/>
      <c r="F41" s="741"/>
      <c r="G41" s="741"/>
      <c r="H41" s="741"/>
      <c r="I41" s="77"/>
    </row>
    <row r="42" spans="1:9" x14ac:dyDescent="0.25">
      <c r="B42" s="11"/>
      <c r="C42" s="3"/>
      <c r="D42" s="740"/>
      <c r="E42" s="747"/>
      <c r="F42" s="741"/>
      <c r="G42" s="756" t="s">
        <v>814</v>
      </c>
      <c r="H42" s="745">
        <f>IF(C21=0,0,H31/C21)</f>
        <v>0</v>
      </c>
      <c r="I42" s="77"/>
    </row>
    <row r="43" spans="1:9" x14ac:dyDescent="0.25">
      <c r="B43" s="77"/>
      <c r="C43" s="77"/>
      <c r="D43" s="742"/>
      <c r="E43" s="742"/>
      <c r="F43" s="742"/>
      <c r="G43" s="742"/>
      <c r="H43" s="742"/>
      <c r="I43" s="77"/>
    </row>
    <row r="44" spans="1:9" x14ac:dyDescent="0.25">
      <c r="B44" s="77"/>
      <c r="C44" s="77"/>
      <c r="D44" s="77"/>
      <c r="E44" s="77"/>
      <c r="F44" s="77"/>
      <c r="G44" s="77"/>
      <c r="H44" s="77"/>
      <c r="I44" s="77"/>
    </row>
    <row r="45" spans="1:9" x14ac:dyDescent="0.25">
      <c r="A45" s="710"/>
    </row>
    <row r="46" spans="1:9" x14ac:dyDescent="0.25">
      <c r="A46" s="710"/>
    </row>
    <row r="47" spans="1:9" x14ac:dyDescent="0.25">
      <c r="A47" s="710"/>
    </row>
    <row r="48" spans="1:9" x14ac:dyDescent="0.25">
      <c r="A48" s="710"/>
      <c r="B48" s="222"/>
      <c r="C48" s="222"/>
      <c r="D48" s="222"/>
      <c r="E48" s="5"/>
    </row>
    <row r="49" spans="1:1" x14ac:dyDescent="0.25">
      <c r="A49" s="710"/>
    </row>
    <row r="50" spans="1:1" x14ac:dyDescent="0.25">
      <c r="A50" s="710"/>
    </row>
    <row r="51" spans="1:1" x14ac:dyDescent="0.25">
      <c r="A51" s="710"/>
    </row>
    <row r="52" spans="1:1" x14ac:dyDescent="0.25">
      <c r="A52" s="710"/>
    </row>
    <row r="53" spans="1:1" x14ac:dyDescent="0.25">
      <c r="A53" s="710"/>
    </row>
    <row r="54" spans="1:1" x14ac:dyDescent="0.25">
      <c r="A54" s="710"/>
    </row>
    <row r="55" spans="1:1" x14ac:dyDescent="0.25">
      <c r="A55" s="710"/>
    </row>
    <row r="56" spans="1:1" x14ac:dyDescent="0.25">
      <c r="A56" s="710"/>
    </row>
    <row r="57" spans="1:1" x14ac:dyDescent="0.25">
      <c r="A57" s="710"/>
    </row>
    <row r="58" spans="1:1" x14ac:dyDescent="0.25">
      <c r="A58" s="710"/>
    </row>
    <row r="59" spans="1:1" x14ac:dyDescent="0.25">
      <c r="A59" s="710"/>
    </row>
    <row r="60" spans="1:1" x14ac:dyDescent="0.25">
      <c r="A60" s="710"/>
    </row>
    <row r="61" spans="1:1" x14ac:dyDescent="0.25">
      <c r="A61" s="710"/>
    </row>
    <row r="62" spans="1:1" x14ac:dyDescent="0.25">
      <c r="A62" s="710"/>
    </row>
    <row r="63" spans="1:1" x14ac:dyDescent="0.25">
      <c r="A63" s="710"/>
    </row>
    <row r="64" spans="1:1" x14ac:dyDescent="0.25">
      <c r="A64" s="710"/>
    </row>
    <row r="65" spans="1:1" x14ac:dyDescent="0.25">
      <c r="A65" s="710"/>
    </row>
    <row r="66" spans="1:1" x14ac:dyDescent="0.25">
      <c r="A66" s="710"/>
    </row>
    <row r="67" spans="1:1" x14ac:dyDescent="0.25">
      <c r="A67" s="710"/>
    </row>
    <row r="68" spans="1:1" x14ac:dyDescent="0.25">
      <c r="A68" s="710"/>
    </row>
    <row r="69" spans="1:1" x14ac:dyDescent="0.25">
      <c r="A69" s="710"/>
    </row>
    <row r="70" spans="1:1" x14ac:dyDescent="0.25">
      <c r="A70" s="710"/>
    </row>
    <row r="71" spans="1:1" x14ac:dyDescent="0.25">
      <c r="A71" s="710"/>
    </row>
    <row r="72" spans="1:1" x14ac:dyDescent="0.25">
      <c r="A72" s="710"/>
    </row>
    <row r="73" spans="1:1" x14ac:dyDescent="0.25">
      <c r="A73" s="710"/>
    </row>
    <row r="74" spans="1:1" x14ac:dyDescent="0.25">
      <c r="A74" s="710"/>
    </row>
    <row r="75" spans="1:1" x14ac:dyDescent="0.25">
      <c r="A75" s="710"/>
    </row>
    <row r="76" spans="1:1" x14ac:dyDescent="0.25">
      <c r="A76" s="710"/>
    </row>
    <row r="77" spans="1:1" x14ac:dyDescent="0.25">
      <c r="A77" s="710"/>
    </row>
    <row r="78" spans="1:1" x14ac:dyDescent="0.25">
      <c r="A78" s="710"/>
    </row>
    <row r="79" spans="1:1" x14ac:dyDescent="0.25">
      <c r="A79" s="710"/>
    </row>
    <row r="80" spans="1:1" x14ac:dyDescent="0.25">
      <c r="A80" s="710"/>
    </row>
    <row r="81" spans="1:1" x14ac:dyDescent="0.25">
      <c r="A81" s="710"/>
    </row>
    <row r="82" spans="1:1" x14ac:dyDescent="0.25">
      <c r="A82" s="710"/>
    </row>
    <row r="83" spans="1:1" x14ac:dyDescent="0.25">
      <c r="A83" s="710"/>
    </row>
    <row r="84" spans="1:1" x14ac:dyDescent="0.25">
      <c r="A84" s="710"/>
    </row>
    <row r="85" spans="1:1" x14ac:dyDescent="0.25">
      <c r="A85" s="710"/>
    </row>
    <row r="86" spans="1:1" x14ac:dyDescent="0.25">
      <c r="A86" s="710"/>
    </row>
    <row r="87" spans="1:1" x14ac:dyDescent="0.25">
      <c r="A87" s="710"/>
    </row>
    <row r="88" spans="1:1" x14ac:dyDescent="0.25">
      <c r="A88" s="710"/>
    </row>
    <row r="89" spans="1:1" x14ac:dyDescent="0.25">
      <c r="A89" s="710"/>
    </row>
    <row r="90" spans="1:1" x14ac:dyDescent="0.25">
      <c r="A90" s="710"/>
    </row>
    <row r="91" spans="1:1" x14ac:dyDescent="0.25">
      <c r="A91" s="710"/>
    </row>
    <row r="92" spans="1:1" x14ac:dyDescent="0.25">
      <c r="A92" s="710"/>
    </row>
    <row r="93" spans="1:1" x14ac:dyDescent="0.25">
      <c r="A93" s="710"/>
    </row>
    <row r="94" spans="1:1" x14ac:dyDescent="0.25">
      <c r="A94" s="710"/>
    </row>
    <row r="95" spans="1:1" x14ac:dyDescent="0.25">
      <c r="A95" s="710"/>
    </row>
    <row r="96" spans="1:1" x14ac:dyDescent="0.25">
      <c r="A96" s="710"/>
    </row>
    <row r="97" spans="1:1" x14ac:dyDescent="0.25">
      <c r="A97" s="710"/>
    </row>
    <row r="98" spans="1:1" x14ac:dyDescent="0.25">
      <c r="A98" s="710"/>
    </row>
    <row r="99" spans="1:1" x14ac:dyDescent="0.25">
      <c r="A99" s="710"/>
    </row>
    <row r="100" spans="1:1" x14ac:dyDescent="0.25">
      <c r="A100" s="710"/>
    </row>
    <row r="101" spans="1:1" x14ac:dyDescent="0.25">
      <c r="A101" s="710"/>
    </row>
    <row r="102" spans="1:1" x14ac:dyDescent="0.25">
      <c r="A102" s="710"/>
    </row>
    <row r="103" spans="1:1" x14ac:dyDescent="0.25">
      <c r="A103" s="710"/>
    </row>
    <row r="104" spans="1:1" x14ac:dyDescent="0.25">
      <c r="A104" s="710"/>
    </row>
    <row r="105" spans="1:1" x14ac:dyDescent="0.25">
      <c r="A105" s="710"/>
    </row>
    <row r="106" spans="1:1" x14ac:dyDescent="0.25">
      <c r="A106" s="710"/>
    </row>
    <row r="107" spans="1:1" x14ac:dyDescent="0.25">
      <c r="A107" s="710"/>
    </row>
    <row r="108" spans="1:1" x14ac:dyDescent="0.25">
      <c r="A108" s="710"/>
    </row>
    <row r="109" spans="1:1" x14ac:dyDescent="0.25">
      <c r="A109" s="710"/>
    </row>
    <row r="110" spans="1:1" x14ac:dyDescent="0.25">
      <c r="A110" s="710"/>
    </row>
    <row r="111" spans="1:1" x14ac:dyDescent="0.25">
      <c r="A111" s="710"/>
    </row>
    <row r="112" spans="1:1" x14ac:dyDescent="0.25">
      <c r="A112" s="710"/>
    </row>
    <row r="113" spans="1:1" x14ac:dyDescent="0.25">
      <c r="A113" s="710"/>
    </row>
    <row r="114" spans="1:1" x14ac:dyDescent="0.25">
      <c r="A114" s="710"/>
    </row>
    <row r="115" spans="1:1" x14ac:dyDescent="0.25">
      <c r="A115" s="710"/>
    </row>
    <row r="116" spans="1:1" x14ac:dyDescent="0.25">
      <c r="A116" s="710"/>
    </row>
    <row r="117" spans="1:1" x14ac:dyDescent="0.25">
      <c r="A117" s="710"/>
    </row>
    <row r="118" spans="1:1" x14ac:dyDescent="0.25">
      <c r="A118" s="710"/>
    </row>
    <row r="119" spans="1:1" x14ac:dyDescent="0.25">
      <c r="A119" s="710"/>
    </row>
    <row r="120" spans="1:1" x14ac:dyDescent="0.25">
      <c r="A120" s="710"/>
    </row>
    <row r="121" spans="1:1" x14ac:dyDescent="0.25">
      <c r="A121" s="710"/>
    </row>
    <row r="122" spans="1:1" x14ac:dyDescent="0.25">
      <c r="A122" s="710"/>
    </row>
    <row r="123" spans="1:1" x14ac:dyDescent="0.25">
      <c r="A123" s="710"/>
    </row>
    <row r="124" spans="1:1" x14ac:dyDescent="0.25">
      <c r="A124" s="710"/>
    </row>
    <row r="125" spans="1:1" x14ac:dyDescent="0.25">
      <c r="A125" s="710"/>
    </row>
    <row r="126" spans="1:1" x14ac:dyDescent="0.25">
      <c r="A126" s="710"/>
    </row>
    <row r="127" spans="1:1" x14ac:dyDescent="0.25">
      <c r="A127" s="710"/>
    </row>
    <row r="128" spans="1:1" x14ac:dyDescent="0.25">
      <c r="A128" s="710"/>
    </row>
    <row r="129" spans="1:1" x14ac:dyDescent="0.25">
      <c r="A129" s="710"/>
    </row>
    <row r="130" spans="1:1" x14ac:dyDescent="0.25">
      <c r="A130" s="710"/>
    </row>
    <row r="131" spans="1:1" x14ac:dyDescent="0.25">
      <c r="A131" s="710"/>
    </row>
    <row r="132" spans="1:1" x14ac:dyDescent="0.25">
      <c r="A132" s="710"/>
    </row>
    <row r="133" spans="1:1" x14ac:dyDescent="0.25">
      <c r="A133" s="710"/>
    </row>
    <row r="134" spans="1:1" x14ac:dyDescent="0.25">
      <c r="A134" s="710"/>
    </row>
    <row r="135" spans="1:1" x14ac:dyDescent="0.25">
      <c r="A135" s="710"/>
    </row>
    <row r="136" spans="1:1" x14ac:dyDescent="0.25">
      <c r="A136" s="710"/>
    </row>
    <row r="137" spans="1:1" x14ac:dyDescent="0.25">
      <c r="A137" s="710"/>
    </row>
    <row r="138" spans="1:1" x14ac:dyDescent="0.25">
      <c r="A138" s="710"/>
    </row>
    <row r="139" spans="1:1" x14ac:dyDescent="0.25">
      <c r="A139" s="710"/>
    </row>
    <row r="140" spans="1:1" x14ac:dyDescent="0.25">
      <c r="A140" s="710"/>
    </row>
    <row r="141" spans="1:1" x14ac:dyDescent="0.25">
      <c r="A141" s="710"/>
    </row>
    <row r="142" spans="1:1" x14ac:dyDescent="0.25">
      <c r="A142" s="710"/>
    </row>
    <row r="143" spans="1:1" x14ac:dyDescent="0.25">
      <c r="A143" s="710"/>
    </row>
    <row r="144" spans="1:1" x14ac:dyDescent="0.25">
      <c r="A144" s="710"/>
    </row>
    <row r="145" spans="1:1" x14ac:dyDescent="0.25">
      <c r="A145" s="710"/>
    </row>
    <row r="146" spans="1:1" x14ac:dyDescent="0.25">
      <c r="A146" s="710"/>
    </row>
    <row r="147" spans="1:1" x14ac:dyDescent="0.25">
      <c r="A147" s="710"/>
    </row>
    <row r="148" spans="1:1" x14ac:dyDescent="0.25">
      <c r="A148" s="710"/>
    </row>
    <row r="149" spans="1:1" x14ac:dyDescent="0.25">
      <c r="A149" s="710"/>
    </row>
    <row r="150" spans="1:1" x14ac:dyDescent="0.25">
      <c r="A150" s="710"/>
    </row>
    <row r="151" spans="1:1" x14ac:dyDescent="0.25">
      <c r="A151" s="710"/>
    </row>
    <row r="152" spans="1:1" x14ac:dyDescent="0.25">
      <c r="A152" s="710"/>
    </row>
    <row r="153" spans="1:1" x14ac:dyDescent="0.25">
      <c r="A153" s="710"/>
    </row>
    <row r="154" spans="1:1" x14ac:dyDescent="0.25">
      <c r="A154" s="710"/>
    </row>
    <row r="155" spans="1:1" x14ac:dyDescent="0.25">
      <c r="A155" s="710"/>
    </row>
    <row r="156" spans="1:1" x14ac:dyDescent="0.25">
      <c r="A156" s="710"/>
    </row>
    <row r="157" spans="1:1" x14ac:dyDescent="0.25">
      <c r="A157" s="710"/>
    </row>
    <row r="158" spans="1:1" x14ac:dyDescent="0.25">
      <c r="A158" s="710"/>
    </row>
    <row r="159" spans="1:1" x14ac:dyDescent="0.25">
      <c r="A159" s="710"/>
    </row>
    <row r="160" spans="1:1" x14ac:dyDescent="0.25">
      <c r="A160" s="710"/>
    </row>
    <row r="161" spans="1:1" x14ac:dyDescent="0.25">
      <c r="A161" s="710"/>
    </row>
    <row r="162" spans="1:1" x14ac:dyDescent="0.25">
      <c r="A162" s="710"/>
    </row>
    <row r="163" spans="1:1" x14ac:dyDescent="0.25">
      <c r="A163" s="710"/>
    </row>
    <row r="164" spans="1:1" x14ac:dyDescent="0.25">
      <c r="A164" s="710"/>
    </row>
    <row r="165" spans="1:1" x14ac:dyDescent="0.25">
      <c r="A165" s="710"/>
    </row>
    <row r="166" spans="1:1" x14ac:dyDescent="0.25">
      <c r="A166" s="710"/>
    </row>
    <row r="167" spans="1:1" x14ac:dyDescent="0.25">
      <c r="A167" s="710"/>
    </row>
    <row r="168" spans="1:1" x14ac:dyDescent="0.25">
      <c r="A168" s="710"/>
    </row>
    <row r="169" spans="1:1" x14ac:dyDescent="0.25">
      <c r="A169" s="710"/>
    </row>
    <row r="170" spans="1:1" x14ac:dyDescent="0.25">
      <c r="A170" s="710"/>
    </row>
    <row r="171" spans="1:1" x14ac:dyDescent="0.25">
      <c r="A171" s="710"/>
    </row>
    <row r="172" spans="1:1" x14ac:dyDescent="0.25">
      <c r="A172" s="710"/>
    </row>
    <row r="173" spans="1:1" x14ac:dyDescent="0.25">
      <c r="A173" s="710"/>
    </row>
    <row r="174" spans="1:1" x14ac:dyDescent="0.25">
      <c r="A174" s="710"/>
    </row>
    <row r="175" spans="1:1" x14ac:dyDescent="0.25">
      <c r="A175" s="710"/>
    </row>
    <row r="176" spans="1:1" x14ac:dyDescent="0.25">
      <c r="A176" s="710"/>
    </row>
    <row r="177" spans="1:1" x14ac:dyDescent="0.25">
      <c r="A177" s="710"/>
    </row>
    <row r="178" spans="1:1" x14ac:dyDescent="0.25">
      <c r="A178" s="710"/>
    </row>
    <row r="179" spans="1:1" x14ac:dyDescent="0.25">
      <c r="A179" s="710"/>
    </row>
    <row r="180" spans="1:1" x14ac:dyDescent="0.25">
      <c r="A180" s="710"/>
    </row>
    <row r="181" spans="1:1" x14ac:dyDescent="0.25">
      <c r="A181" s="710"/>
    </row>
    <row r="182" spans="1:1" x14ac:dyDescent="0.25">
      <c r="A182" s="710"/>
    </row>
    <row r="183" spans="1:1" x14ac:dyDescent="0.25">
      <c r="A183" s="710"/>
    </row>
    <row r="184" spans="1:1" x14ac:dyDescent="0.25">
      <c r="A184" s="710"/>
    </row>
    <row r="185" spans="1:1" x14ac:dyDescent="0.25">
      <c r="A185" s="710"/>
    </row>
    <row r="186" spans="1:1" x14ac:dyDescent="0.25">
      <c r="A186" s="710"/>
    </row>
    <row r="187" spans="1:1" x14ac:dyDescent="0.25">
      <c r="A187" s="710"/>
    </row>
    <row r="188" spans="1:1" x14ac:dyDescent="0.25">
      <c r="A188" s="710"/>
    </row>
    <row r="189" spans="1:1" x14ac:dyDescent="0.25">
      <c r="A189" s="710"/>
    </row>
    <row r="190" spans="1:1" x14ac:dyDescent="0.25">
      <c r="A190" s="710"/>
    </row>
    <row r="191" spans="1:1" x14ac:dyDescent="0.25">
      <c r="A191" s="710"/>
    </row>
    <row r="192" spans="1:1" x14ac:dyDescent="0.25">
      <c r="A192" s="710"/>
    </row>
    <row r="193" spans="1:1" x14ac:dyDescent="0.25">
      <c r="A193" s="710"/>
    </row>
    <row r="194" spans="1:1" x14ac:dyDescent="0.25">
      <c r="A194" s="710"/>
    </row>
    <row r="195" spans="1:1" x14ac:dyDescent="0.25">
      <c r="A195" s="710"/>
    </row>
    <row r="196" spans="1:1" x14ac:dyDescent="0.25">
      <c r="A196" s="710"/>
    </row>
    <row r="197" spans="1:1" x14ac:dyDescent="0.25">
      <c r="A197" s="710"/>
    </row>
    <row r="198" spans="1:1" x14ac:dyDescent="0.25">
      <c r="A198" s="710"/>
    </row>
    <row r="199" spans="1:1" x14ac:dyDescent="0.25">
      <c r="A199" s="710"/>
    </row>
    <row r="200" spans="1:1" x14ac:dyDescent="0.25">
      <c r="A200" s="710"/>
    </row>
    <row r="201" spans="1:1" x14ac:dyDescent="0.25">
      <c r="A201" s="710"/>
    </row>
    <row r="202" spans="1:1" x14ac:dyDescent="0.25">
      <c r="A202" s="710"/>
    </row>
    <row r="203" spans="1:1" x14ac:dyDescent="0.25">
      <c r="A203" s="710"/>
    </row>
    <row r="204" spans="1:1" x14ac:dyDescent="0.25">
      <c r="A204" s="710"/>
    </row>
    <row r="205" spans="1:1" x14ac:dyDescent="0.25">
      <c r="A205" s="710"/>
    </row>
    <row r="206" spans="1:1" x14ac:dyDescent="0.25">
      <c r="A206" s="710"/>
    </row>
    <row r="207" spans="1:1" x14ac:dyDescent="0.25">
      <c r="A207" s="710"/>
    </row>
    <row r="208" spans="1:1" x14ac:dyDescent="0.25">
      <c r="A208" s="710"/>
    </row>
    <row r="209" spans="1:1" x14ac:dyDescent="0.25">
      <c r="A209" s="710"/>
    </row>
    <row r="210" spans="1:1" x14ac:dyDescent="0.25">
      <c r="A210" s="710"/>
    </row>
    <row r="211" spans="1:1" x14ac:dyDescent="0.25">
      <c r="A211" s="710"/>
    </row>
    <row r="212" spans="1:1" x14ac:dyDescent="0.25">
      <c r="A212" s="710"/>
    </row>
    <row r="213" spans="1:1" x14ac:dyDescent="0.25">
      <c r="A213" s="710"/>
    </row>
    <row r="214" spans="1:1" x14ac:dyDescent="0.25">
      <c r="A214" s="710"/>
    </row>
    <row r="215" spans="1:1" x14ac:dyDescent="0.25">
      <c r="A215" s="710"/>
    </row>
    <row r="216" spans="1:1" x14ac:dyDescent="0.25">
      <c r="A216" s="710"/>
    </row>
    <row r="217" spans="1:1" x14ac:dyDescent="0.25">
      <c r="A217" s="710"/>
    </row>
    <row r="218" spans="1:1" x14ac:dyDescent="0.25">
      <c r="A218" s="710"/>
    </row>
    <row r="219" spans="1:1" x14ac:dyDescent="0.25">
      <c r="A219" s="710"/>
    </row>
    <row r="220" spans="1:1" x14ac:dyDescent="0.25">
      <c r="A220" s="710"/>
    </row>
    <row r="221" spans="1:1" x14ac:dyDescent="0.25">
      <c r="A221" s="710"/>
    </row>
    <row r="222" spans="1:1" x14ac:dyDescent="0.25">
      <c r="A222" s="710"/>
    </row>
    <row r="223" spans="1:1" x14ac:dyDescent="0.25">
      <c r="A223" s="710"/>
    </row>
    <row r="224" spans="1:1" x14ac:dyDescent="0.25">
      <c r="A224" s="710"/>
    </row>
    <row r="225" spans="1:1" x14ac:dyDescent="0.25">
      <c r="A225" s="710"/>
    </row>
    <row r="226" spans="1:1" x14ac:dyDescent="0.25">
      <c r="A226" s="710"/>
    </row>
    <row r="227" spans="1:1" x14ac:dyDescent="0.25">
      <c r="A227" s="710"/>
    </row>
    <row r="228" spans="1:1" x14ac:dyDescent="0.25">
      <c r="A228" s="710"/>
    </row>
    <row r="229" spans="1:1" x14ac:dyDescent="0.25">
      <c r="A229" s="710"/>
    </row>
    <row r="230" spans="1:1" x14ac:dyDescent="0.25">
      <c r="A230" s="710"/>
    </row>
    <row r="231" spans="1:1" x14ac:dyDescent="0.25">
      <c r="A231" s="710"/>
    </row>
    <row r="232" spans="1:1" x14ac:dyDescent="0.25">
      <c r="A232" s="710"/>
    </row>
    <row r="233" spans="1:1" x14ac:dyDescent="0.25">
      <c r="A233" s="710"/>
    </row>
    <row r="234" spans="1:1" x14ac:dyDescent="0.25">
      <c r="A234" s="710"/>
    </row>
    <row r="235" spans="1:1" x14ac:dyDescent="0.25">
      <c r="A235" s="710"/>
    </row>
    <row r="236" spans="1:1" x14ac:dyDescent="0.25">
      <c r="A236" s="710"/>
    </row>
    <row r="237" spans="1:1" x14ac:dyDescent="0.25">
      <c r="A237" s="710"/>
    </row>
    <row r="238" spans="1:1" x14ac:dyDescent="0.25">
      <c r="A238" s="710"/>
    </row>
    <row r="239" spans="1:1" x14ac:dyDescent="0.25">
      <c r="A239" s="710"/>
    </row>
    <row r="240" spans="1:1" x14ac:dyDescent="0.25">
      <c r="A240" s="710"/>
    </row>
    <row r="241" spans="1:1" x14ac:dyDescent="0.25">
      <c r="A241" s="710"/>
    </row>
    <row r="242" spans="1:1" x14ac:dyDescent="0.25">
      <c r="A242" s="710"/>
    </row>
    <row r="243" spans="1:1" x14ac:dyDescent="0.25">
      <c r="A243" s="710"/>
    </row>
    <row r="244" spans="1:1" x14ac:dyDescent="0.25">
      <c r="A244" s="710"/>
    </row>
    <row r="245" spans="1:1" x14ac:dyDescent="0.25">
      <c r="A245" s="710"/>
    </row>
    <row r="246" spans="1:1" x14ac:dyDescent="0.25">
      <c r="A246" s="710"/>
    </row>
    <row r="247" spans="1:1" x14ac:dyDescent="0.25">
      <c r="A247" s="710"/>
    </row>
    <row r="248" spans="1:1" x14ac:dyDescent="0.25">
      <c r="A248" s="710"/>
    </row>
    <row r="249" spans="1:1" x14ac:dyDescent="0.25">
      <c r="A249" s="710"/>
    </row>
    <row r="250" spans="1:1" x14ac:dyDescent="0.25">
      <c r="A250" s="710"/>
    </row>
    <row r="251" spans="1:1" x14ac:dyDescent="0.25">
      <c r="A251" s="710"/>
    </row>
    <row r="252" spans="1:1" x14ac:dyDescent="0.25">
      <c r="A252" s="710"/>
    </row>
    <row r="253" spans="1:1" x14ac:dyDescent="0.25">
      <c r="A253" s="710"/>
    </row>
    <row r="254" spans="1:1" x14ac:dyDescent="0.25">
      <c r="A254" s="710"/>
    </row>
    <row r="255" spans="1:1" x14ac:dyDescent="0.25">
      <c r="A255" s="710"/>
    </row>
    <row r="256" spans="1:1" x14ac:dyDescent="0.25">
      <c r="A256" s="710"/>
    </row>
    <row r="257" spans="1:1" x14ac:dyDescent="0.25">
      <c r="A257" s="710"/>
    </row>
    <row r="258" spans="1:1" x14ac:dyDescent="0.25">
      <c r="A258" s="710"/>
    </row>
    <row r="259" spans="1:1" x14ac:dyDescent="0.25">
      <c r="A259" s="710"/>
    </row>
    <row r="260" spans="1:1" x14ac:dyDescent="0.25">
      <c r="A260" s="710"/>
    </row>
    <row r="261" spans="1:1" x14ac:dyDescent="0.25">
      <c r="A261" s="710"/>
    </row>
    <row r="262" spans="1:1" x14ac:dyDescent="0.25">
      <c r="A262" s="710"/>
    </row>
    <row r="263" spans="1:1" x14ac:dyDescent="0.25">
      <c r="A263" s="710"/>
    </row>
    <row r="264" spans="1:1" x14ac:dyDescent="0.25">
      <c r="A264" s="710"/>
    </row>
    <row r="265" spans="1:1" x14ac:dyDescent="0.25">
      <c r="A265" s="710"/>
    </row>
    <row r="266" spans="1:1" x14ac:dyDescent="0.25">
      <c r="A266" s="710"/>
    </row>
    <row r="267" spans="1:1" x14ac:dyDescent="0.25">
      <c r="A267" s="710"/>
    </row>
    <row r="268" spans="1:1" x14ac:dyDescent="0.25">
      <c r="A268" s="710"/>
    </row>
    <row r="269" spans="1:1" x14ac:dyDescent="0.25">
      <c r="A269" s="710"/>
    </row>
    <row r="270" spans="1:1" x14ac:dyDescent="0.25">
      <c r="A270" s="710"/>
    </row>
    <row r="271" spans="1:1" x14ac:dyDescent="0.25">
      <c r="A271" s="710"/>
    </row>
    <row r="272" spans="1:1" x14ac:dyDescent="0.25">
      <c r="A272" s="710"/>
    </row>
    <row r="273" spans="1:1" x14ac:dyDescent="0.25">
      <c r="A273" s="710"/>
    </row>
    <row r="274" spans="1:1" x14ac:dyDescent="0.25">
      <c r="A274" s="710"/>
    </row>
    <row r="275" spans="1:1" x14ac:dyDescent="0.25">
      <c r="A275" s="710"/>
    </row>
    <row r="276" spans="1:1" x14ac:dyDescent="0.25">
      <c r="A276" s="710"/>
    </row>
    <row r="277" spans="1:1" x14ac:dyDescent="0.25">
      <c r="A277" s="710"/>
    </row>
    <row r="278" spans="1:1" x14ac:dyDescent="0.25">
      <c r="A278" s="710"/>
    </row>
    <row r="279" spans="1:1" x14ac:dyDescent="0.25">
      <c r="A279" s="710"/>
    </row>
    <row r="280" spans="1:1" x14ac:dyDescent="0.25">
      <c r="A280" s="710"/>
    </row>
    <row r="281" spans="1:1" x14ac:dyDescent="0.25">
      <c r="A281" s="710"/>
    </row>
    <row r="282" spans="1:1" x14ac:dyDescent="0.25">
      <c r="A282" s="710"/>
    </row>
    <row r="283" spans="1:1" x14ac:dyDescent="0.25">
      <c r="A283" s="710"/>
    </row>
    <row r="284" spans="1:1" x14ac:dyDescent="0.25">
      <c r="A284" s="710"/>
    </row>
    <row r="285" spans="1:1" x14ac:dyDescent="0.25">
      <c r="A285" s="710"/>
    </row>
    <row r="286" spans="1:1" x14ac:dyDescent="0.25">
      <c r="A286" s="710"/>
    </row>
    <row r="287" spans="1:1" x14ac:dyDescent="0.25">
      <c r="A287" s="710"/>
    </row>
    <row r="288" spans="1:1" x14ac:dyDescent="0.25">
      <c r="A288" s="710"/>
    </row>
    <row r="289" spans="1:1" x14ac:dyDescent="0.25">
      <c r="A289" s="710"/>
    </row>
    <row r="290" spans="1:1" x14ac:dyDescent="0.25">
      <c r="A290" s="710"/>
    </row>
    <row r="291" spans="1:1" x14ac:dyDescent="0.25">
      <c r="A291" s="710"/>
    </row>
    <row r="292" spans="1:1" x14ac:dyDescent="0.25">
      <c r="A292" s="710"/>
    </row>
    <row r="293" spans="1:1" x14ac:dyDescent="0.25">
      <c r="A293" s="710"/>
    </row>
    <row r="294" spans="1:1" x14ac:dyDescent="0.25">
      <c r="A294" s="710"/>
    </row>
    <row r="295" spans="1:1" x14ac:dyDescent="0.25">
      <c r="A295" s="710"/>
    </row>
    <row r="296" spans="1:1" x14ac:dyDescent="0.25">
      <c r="A296" s="710"/>
    </row>
    <row r="297" spans="1:1" x14ac:dyDescent="0.25">
      <c r="A297" s="710"/>
    </row>
    <row r="298" spans="1:1" x14ac:dyDescent="0.25">
      <c r="A298" s="710"/>
    </row>
    <row r="299" spans="1:1" x14ac:dyDescent="0.25">
      <c r="A299" s="710"/>
    </row>
    <row r="300" spans="1:1" x14ac:dyDescent="0.25">
      <c r="A300" s="710"/>
    </row>
    <row r="301" spans="1:1" x14ac:dyDescent="0.25">
      <c r="A301" s="710"/>
    </row>
    <row r="302" spans="1:1" x14ac:dyDescent="0.25">
      <c r="A302" s="710"/>
    </row>
    <row r="303" spans="1:1" x14ac:dyDescent="0.25">
      <c r="A303" s="710"/>
    </row>
    <row r="304" spans="1:1" x14ac:dyDescent="0.25">
      <c r="A304" s="710"/>
    </row>
    <row r="305" spans="1:1" x14ac:dyDescent="0.25">
      <c r="A305" s="710"/>
    </row>
    <row r="306" spans="1:1" x14ac:dyDescent="0.25">
      <c r="A306" s="710"/>
    </row>
    <row r="307" spans="1:1" x14ac:dyDescent="0.25">
      <c r="A307" s="710"/>
    </row>
    <row r="308" spans="1:1" x14ac:dyDescent="0.25">
      <c r="A308" s="710"/>
    </row>
    <row r="309" spans="1:1" x14ac:dyDescent="0.25">
      <c r="A309" s="710"/>
    </row>
    <row r="310" spans="1:1" x14ac:dyDescent="0.25">
      <c r="A310" s="710"/>
    </row>
    <row r="311" spans="1:1" x14ac:dyDescent="0.25">
      <c r="A311" s="710"/>
    </row>
    <row r="312" spans="1:1" x14ac:dyDescent="0.25">
      <c r="A312" s="710"/>
    </row>
    <row r="313" spans="1:1" x14ac:dyDescent="0.25">
      <c r="A313" s="710"/>
    </row>
    <row r="314" spans="1:1" x14ac:dyDescent="0.25">
      <c r="A314" s="710"/>
    </row>
    <row r="315" spans="1:1" x14ac:dyDescent="0.25">
      <c r="A315" s="710"/>
    </row>
    <row r="316" spans="1:1" x14ac:dyDescent="0.25">
      <c r="A316" s="710"/>
    </row>
    <row r="317" spans="1:1" x14ac:dyDescent="0.25">
      <c r="A317" s="710"/>
    </row>
    <row r="318" spans="1:1" x14ac:dyDescent="0.25">
      <c r="A318" s="710"/>
    </row>
    <row r="319" spans="1:1" x14ac:dyDescent="0.25">
      <c r="A319" s="710"/>
    </row>
    <row r="320" spans="1:1" x14ac:dyDescent="0.25">
      <c r="A320" s="710"/>
    </row>
    <row r="321" spans="1:1" x14ac:dyDescent="0.25">
      <c r="A321" s="710"/>
    </row>
    <row r="322" spans="1:1" x14ac:dyDescent="0.25">
      <c r="A322" s="710"/>
    </row>
    <row r="323" spans="1:1" x14ac:dyDescent="0.25">
      <c r="A323" s="710"/>
    </row>
    <row r="324" spans="1:1" x14ac:dyDescent="0.25">
      <c r="A324" s="710"/>
    </row>
    <row r="325" spans="1:1" x14ac:dyDescent="0.25">
      <c r="A325" s="710"/>
    </row>
    <row r="326" spans="1:1" x14ac:dyDescent="0.25">
      <c r="A326" s="710"/>
    </row>
    <row r="327" spans="1:1" x14ac:dyDescent="0.25">
      <c r="A327" s="710"/>
    </row>
    <row r="328" spans="1:1" x14ac:dyDescent="0.25">
      <c r="A328" s="710"/>
    </row>
    <row r="329" spans="1:1" x14ac:dyDescent="0.25">
      <c r="A329" s="710"/>
    </row>
    <row r="330" spans="1:1" x14ac:dyDescent="0.25">
      <c r="A330" s="710"/>
    </row>
    <row r="331" spans="1:1" x14ac:dyDescent="0.25">
      <c r="A331" s="710"/>
    </row>
    <row r="332" spans="1:1" x14ac:dyDescent="0.25">
      <c r="A332" s="710"/>
    </row>
    <row r="333" spans="1:1" x14ac:dyDescent="0.25">
      <c r="A333" s="710"/>
    </row>
    <row r="334" spans="1:1" x14ac:dyDescent="0.25">
      <c r="A334" s="710"/>
    </row>
    <row r="335" spans="1:1" x14ac:dyDescent="0.25">
      <c r="A335" s="710"/>
    </row>
    <row r="336" spans="1:1" x14ac:dyDescent="0.25">
      <c r="A336" s="710"/>
    </row>
    <row r="337" spans="1:1" x14ac:dyDescent="0.25">
      <c r="A337" s="710"/>
    </row>
    <row r="338" spans="1:1" x14ac:dyDescent="0.25">
      <c r="A338" s="710"/>
    </row>
    <row r="339" spans="1:1" x14ac:dyDescent="0.25">
      <c r="A339" s="710"/>
    </row>
    <row r="340" spans="1:1" x14ac:dyDescent="0.25">
      <c r="A340" s="710"/>
    </row>
    <row r="341" spans="1:1" x14ac:dyDescent="0.25">
      <c r="A341" s="710"/>
    </row>
    <row r="342" spans="1:1" x14ac:dyDescent="0.25">
      <c r="A342" s="710"/>
    </row>
    <row r="343" spans="1:1" x14ac:dyDescent="0.25">
      <c r="A343" s="710"/>
    </row>
    <row r="344" spans="1:1" x14ac:dyDescent="0.25">
      <c r="A344" s="710"/>
    </row>
    <row r="345" spans="1:1" x14ac:dyDescent="0.25">
      <c r="A345" s="710"/>
    </row>
    <row r="346" spans="1:1" x14ac:dyDescent="0.25">
      <c r="A346" s="710"/>
    </row>
    <row r="347" spans="1:1" x14ac:dyDescent="0.25">
      <c r="A347" s="710"/>
    </row>
    <row r="348" spans="1:1" x14ac:dyDescent="0.25">
      <c r="A348" s="710"/>
    </row>
    <row r="349" spans="1:1" x14ac:dyDescent="0.25">
      <c r="A349" s="710"/>
    </row>
    <row r="350" spans="1:1" x14ac:dyDescent="0.25">
      <c r="A350" s="710"/>
    </row>
    <row r="351" spans="1:1" x14ac:dyDescent="0.25">
      <c r="A351" s="710"/>
    </row>
    <row r="352" spans="1:1" x14ac:dyDescent="0.25">
      <c r="A352" s="710"/>
    </row>
    <row r="353" spans="1:1" x14ac:dyDescent="0.25">
      <c r="A353" s="710"/>
    </row>
    <row r="354" spans="1:1" x14ac:dyDescent="0.25">
      <c r="A354" s="710"/>
    </row>
    <row r="355" spans="1:1" x14ac:dyDescent="0.25">
      <c r="A355" s="710"/>
    </row>
    <row r="356" spans="1:1" x14ac:dyDescent="0.25">
      <c r="A356" s="710"/>
    </row>
    <row r="357" spans="1:1" x14ac:dyDescent="0.25">
      <c r="A357" s="710"/>
    </row>
    <row r="358" spans="1:1" x14ac:dyDescent="0.25">
      <c r="A358" s="710"/>
    </row>
    <row r="359" spans="1:1" x14ac:dyDescent="0.25">
      <c r="A359" s="710"/>
    </row>
    <row r="360" spans="1:1" x14ac:dyDescent="0.25">
      <c r="A360" s="710"/>
    </row>
    <row r="361" spans="1:1" x14ac:dyDescent="0.25">
      <c r="A361" s="710"/>
    </row>
    <row r="362" spans="1:1" x14ac:dyDescent="0.25">
      <c r="A362" s="710"/>
    </row>
    <row r="363" spans="1:1" x14ac:dyDescent="0.25">
      <c r="A363" s="710"/>
    </row>
    <row r="364" spans="1:1" x14ac:dyDescent="0.25">
      <c r="A364" s="710"/>
    </row>
    <row r="365" spans="1:1" x14ac:dyDescent="0.25">
      <c r="A365" s="710"/>
    </row>
    <row r="366" spans="1:1" x14ac:dyDescent="0.25">
      <c r="A366" s="710"/>
    </row>
    <row r="367" spans="1:1" x14ac:dyDescent="0.25">
      <c r="A367" s="710"/>
    </row>
    <row r="368" spans="1:1" x14ac:dyDescent="0.25">
      <c r="A368" s="710"/>
    </row>
    <row r="369" spans="1:1" x14ac:dyDescent="0.25">
      <c r="A369" s="710"/>
    </row>
    <row r="370" spans="1:1" x14ac:dyDescent="0.25">
      <c r="A370" s="710"/>
    </row>
    <row r="371" spans="1:1" x14ac:dyDescent="0.25">
      <c r="A371" s="710"/>
    </row>
    <row r="372" spans="1:1" x14ac:dyDescent="0.25">
      <c r="A372" s="710"/>
    </row>
    <row r="373" spans="1:1" x14ac:dyDescent="0.25">
      <c r="A373" s="710"/>
    </row>
    <row r="374" spans="1:1" x14ac:dyDescent="0.25">
      <c r="A374" s="710"/>
    </row>
    <row r="375" spans="1:1" x14ac:dyDescent="0.25">
      <c r="A375" s="710"/>
    </row>
    <row r="376" spans="1:1" x14ac:dyDescent="0.25">
      <c r="A376" s="710"/>
    </row>
    <row r="377" spans="1:1" x14ac:dyDescent="0.25">
      <c r="A377" s="710"/>
    </row>
    <row r="378" spans="1:1" x14ac:dyDescent="0.25">
      <c r="A378" s="710"/>
    </row>
    <row r="379" spans="1:1" x14ac:dyDescent="0.25">
      <c r="A379" s="710"/>
    </row>
    <row r="380" spans="1:1" x14ac:dyDescent="0.25">
      <c r="A380" s="710"/>
    </row>
    <row r="381" spans="1:1" x14ac:dyDescent="0.25">
      <c r="A381" s="710"/>
    </row>
    <row r="382" spans="1:1" x14ac:dyDescent="0.25">
      <c r="A382" s="710"/>
    </row>
    <row r="383" spans="1:1" x14ac:dyDescent="0.25">
      <c r="A383" s="710"/>
    </row>
    <row r="384" spans="1:1" x14ac:dyDescent="0.25">
      <c r="A384" s="710"/>
    </row>
    <row r="385" spans="1:1" x14ac:dyDescent="0.25">
      <c r="A385" s="710"/>
    </row>
    <row r="386" spans="1:1" x14ac:dyDescent="0.25">
      <c r="A386" s="710"/>
    </row>
    <row r="387" spans="1:1" x14ac:dyDescent="0.25">
      <c r="A387" s="710"/>
    </row>
    <row r="388" spans="1:1" x14ac:dyDescent="0.25">
      <c r="A388" s="710"/>
    </row>
    <row r="389" spans="1:1" x14ac:dyDescent="0.25">
      <c r="A389" s="710"/>
    </row>
    <row r="390" spans="1:1" x14ac:dyDescent="0.25">
      <c r="A390" s="710"/>
    </row>
    <row r="391" spans="1:1" x14ac:dyDescent="0.25">
      <c r="A391" s="710"/>
    </row>
    <row r="392" spans="1:1" x14ac:dyDescent="0.25">
      <c r="A392" s="710"/>
    </row>
    <row r="393" spans="1:1" x14ac:dyDescent="0.25">
      <c r="A393" s="710"/>
    </row>
    <row r="394" spans="1:1" x14ac:dyDescent="0.25">
      <c r="A394" s="710"/>
    </row>
    <row r="395" spans="1:1" x14ac:dyDescent="0.25">
      <c r="A395" s="710"/>
    </row>
    <row r="396" spans="1:1" x14ac:dyDescent="0.25">
      <c r="A396" s="710"/>
    </row>
    <row r="397" spans="1:1" x14ac:dyDescent="0.25">
      <c r="A397" s="710"/>
    </row>
    <row r="398" spans="1:1" x14ac:dyDescent="0.25">
      <c r="A398" s="710"/>
    </row>
    <row r="399" spans="1:1" x14ac:dyDescent="0.25">
      <c r="A399" s="710"/>
    </row>
    <row r="400" spans="1:1" x14ac:dyDescent="0.25">
      <c r="A400" s="710"/>
    </row>
    <row r="401" spans="1:1" x14ac:dyDescent="0.25">
      <c r="A401" s="710"/>
    </row>
    <row r="402" spans="1:1" x14ac:dyDescent="0.25">
      <c r="A402" s="710"/>
    </row>
    <row r="403" spans="1:1" x14ac:dyDescent="0.25">
      <c r="A403" s="710"/>
    </row>
    <row r="404" spans="1:1" x14ac:dyDescent="0.25">
      <c r="A404" s="710"/>
    </row>
    <row r="405" spans="1:1" x14ac:dyDescent="0.25">
      <c r="A405" s="710"/>
    </row>
    <row r="406" spans="1:1" x14ac:dyDescent="0.25">
      <c r="A406" s="710"/>
    </row>
    <row r="407" spans="1:1" x14ac:dyDescent="0.25">
      <c r="A407" s="710"/>
    </row>
    <row r="408" spans="1:1" x14ac:dyDescent="0.25">
      <c r="A408" s="710"/>
    </row>
    <row r="409" spans="1:1" x14ac:dyDescent="0.25">
      <c r="A409" s="710"/>
    </row>
    <row r="410" spans="1:1" x14ac:dyDescent="0.25">
      <c r="A410" s="710"/>
    </row>
    <row r="411" spans="1:1" x14ac:dyDescent="0.25">
      <c r="A411" s="710"/>
    </row>
    <row r="412" spans="1:1" x14ac:dyDescent="0.25">
      <c r="A412" s="710"/>
    </row>
    <row r="413" spans="1:1" x14ac:dyDescent="0.25">
      <c r="A413" s="710"/>
    </row>
    <row r="414" spans="1:1" x14ac:dyDescent="0.25">
      <c r="A414" s="710"/>
    </row>
    <row r="415" spans="1:1" x14ac:dyDescent="0.25">
      <c r="A415" s="710"/>
    </row>
    <row r="416" spans="1:1" x14ac:dyDescent="0.25">
      <c r="A416" s="710"/>
    </row>
    <row r="417" spans="1:1" x14ac:dyDescent="0.25">
      <c r="A417" s="710"/>
    </row>
    <row r="418" spans="1:1" x14ac:dyDescent="0.25">
      <c r="A418" s="710"/>
    </row>
    <row r="419" spans="1:1" x14ac:dyDescent="0.25">
      <c r="A419" s="710"/>
    </row>
    <row r="420" spans="1:1" x14ac:dyDescent="0.25">
      <c r="A420" s="710"/>
    </row>
    <row r="421" spans="1:1" x14ac:dyDescent="0.25">
      <c r="A421" s="710"/>
    </row>
    <row r="422" spans="1:1" x14ac:dyDescent="0.25">
      <c r="A422" s="710"/>
    </row>
    <row r="423" spans="1:1" x14ac:dyDescent="0.25">
      <c r="A423" s="710"/>
    </row>
    <row r="424" spans="1:1" x14ac:dyDescent="0.25">
      <c r="A424" s="710"/>
    </row>
    <row r="425" spans="1:1" x14ac:dyDescent="0.25">
      <c r="A425" s="710"/>
    </row>
    <row r="426" spans="1:1" x14ac:dyDescent="0.25">
      <c r="A426" s="710"/>
    </row>
    <row r="427" spans="1:1" x14ac:dyDescent="0.25">
      <c r="A427" s="710"/>
    </row>
    <row r="428" spans="1:1" x14ac:dyDescent="0.25">
      <c r="A428" s="710"/>
    </row>
    <row r="429" spans="1:1" x14ac:dyDescent="0.25">
      <c r="A429" s="710"/>
    </row>
    <row r="430" spans="1:1" x14ac:dyDescent="0.25">
      <c r="A430" s="710"/>
    </row>
    <row r="431" spans="1:1" x14ac:dyDescent="0.25">
      <c r="A431" s="710"/>
    </row>
    <row r="432" spans="1:1" x14ac:dyDescent="0.25">
      <c r="A432" s="710"/>
    </row>
    <row r="433" spans="1:1" x14ac:dyDescent="0.25">
      <c r="A433" s="710"/>
    </row>
    <row r="434" spans="1:1" x14ac:dyDescent="0.25">
      <c r="A434" s="710"/>
    </row>
    <row r="435" spans="1:1" x14ac:dyDescent="0.25">
      <c r="A435" s="710"/>
    </row>
    <row r="436" spans="1:1" x14ac:dyDescent="0.25">
      <c r="A436" s="710"/>
    </row>
    <row r="437" spans="1:1" x14ac:dyDescent="0.25">
      <c r="A437" s="710"/>
    </row>
    <row r="438" spans="1:1" x14ac:dyDescent="0.25">
      <c r="A438" s="710"/>
    </row>
    <row r="439" spans="1:1" x14ac:dyDescent="0.25">
      <c r="A439" s="710"/>
    </row>
    <row r="440" spans="1:1" x14ac:dyDescent="0.25">
      <c r="A440" s="710"/>
    </row>
    <row r="441" spans="1:1" x14ac:dyDescent="0.25">
      <c r="A441" s="710"/>
    </row>
    <row r="442" spans="1:1" x14ac:dyDescent="0.25">
      <c r="A442" s="710"/>
    </row>
    <row r="443" spans="1:1" x14ac:dyDescent="0.25">
      <c r="A443" s="710"/>
    </row>
    <row r="444" spans="1:1" x14ac:dyDescent="0.25">
      <c r="A444" s="710"/>
    </row>
    <row r="445" spans="1:1" x14ac:dyDescent="0.25">
      <c r="A445" s="710"/>
    </row>
    <row r="446" spans="1:1" x14ac:dyDescent="0.25">
      <c r="A446" s="710"/>
    </row>
    <row r="447" spans="1:1" x14ac:dyDescent="0.25">
      <c r="A447" s="710"/>
    </row>
    <row r="448" spans="1:1" x14ac:dyDescent="0.25">
      <c r="A448" s="710"/>
    </row>
    <row r="449" spans="1:1" x14ac:dyDescent="0.25">
      <c r="A449" s="710"/>
    </row>
    <row r="450" spans="1:1" x14ac:dyDescent="0.25">
      <c r="A450" s="710"/>
    </row>
    <row r="451" spans="1:1" x14ac:dyDescent="0.25">
      <c r="A451" s="710"/>
    </row>
    <row r="452" spans="1:1" x14ac:dyDescent="0.25">
      <c r="A452" s="710"/>
    </row>
    <row r="453" spans="1:1" x14ac:dyDescent="0.25">
      <c r="A453" s="710"/>
    </row>
    <row r="454" spans="1:1" x14ac:dyDescent="0.25">
      <c r="A454" s="710"/>
    </row>
    <row r="455" spans="1:1" x14ac:dyDescent="0.25">
      <c r="A455" s="710"/>
    </row>
    <row r="456" spans="1:1" x14ac:dyDescent="0.25">
      <c r="A456" s="710"/>
    </row>
    <row r="457" spans="1:1" x14ac:dyDescent="0.25">
      <c r="A457" s="710"/>
    </row>
    <row r="458" spans="1:1" x14ac:dyDescent="0.25">
      <c r="A458" s="710"/>
    </row>
    <row r="459" spans="1:1" x14ac:dyDescent="0.25">
      <c r="A459" s="710"/>
    </row>
    <row r="460" spans="1:1" x14ac:dyDescent="0.25">
      <c r="A460" s="710"/>
    </row>
    <row r="461" spans="1:1" x14ac:dyDescent="0.25">
      <c r="A461" s="710"/>
    </row>
    <row r="462" spans="1:1" x14ac:dyDescent="0.25">
      <c r="A462" s="710"/>
    </row>
    <row r="463" spans="1:1" x14ac:dyDescent="0.25">
      <c r="A463" s="710"/>
    </row>
    <row r="464" spans="1:1" x14ac:dyDescent="0.25">
      <c r="A464" s="710"/>
    </row>
    <row r="465" spans="1:1" x14ac:dyDescent="0.25">
      <c r="A465" s="710"/>
    </row>
    <row r="466" spans="1:1" x14ac:dyDescent="0.25">
      <c r="A466" s="710"/>
    </row>
    <row r="467" spans="1:1" x14ac:dyDescent="0.25">
      <c r="A467" s="710"/>
    </row>
    <row r="468" spans="1:1" x14ac:dyDescent="0.25">
      <c r="A468" s="710"/>
    </row>
    <row r="469" spans="1:1" x14ac:dyDescent="0.25">
      <c r="A469" s="710"/>
    </row>
    <row r="470" spans="1:1" x14ac:dyDescent="0.25">
      <c r="A470" s="710"/>
    </row>
    <row r="471" spans="1:1" x14ac:dyDescent="0.25">
      <c r="A471" s="710"/>
    </row>
    <row r="472" spans="1:1" x14ac:dyDescent="0.25">
      <c r="A472" s="710"/>
    </row>
    <row r="473" spans="1:1" x14ac:dyDescent="0.25">
      <c r="A473" s="710"/>
    </row>
    <row r="474" spans="1:1" x14ac:dyDescent="0.25">
      <c r="A474" s="710"/>
    </row>
    <row r="475" spans="1:1" x14ac:dyDescent="0.25">
      <c r="A475" s="710"/>
    </row>
    <row r="476" spans="1:1" x14ac:dyDescent="0.25">
      <c r="A476" s="710"/>
    </row>
    <row r="477" spans="1:1" x14ac:dyDescent="0.25">
      <c r="A477" s="710"/>
    </row>
    <row r="478" spans="1:1" x14ac:dyDescent="0.25">
      <c r="A478" s="710"/>
    </row>
    <row r="479" spans="1:1" x14ac:dyDescent="0.25">
      <c r="A479" s="710"/>
    </row>
    <row r="480" spans="1:1" x14ac:dyDescent="0.25">
      <c r="A480" s="710"/>
    </row>
    <row r="481" spans="1:1" x14ac:dyDescent="0.25">
      <c r="A481" s="710"/>
    </row>
    <row r="482" spans="1:1" x14ac:dyDescent="0.25">
      <c r="A482" s="710"/>
    </row>
    <row r="483" spans="1:1" x14ac:dyDescent="0.25">
      <c r="A483" s="710"/>
    </row>
    <row r="484" spans="1:1" x14ac:dyDescent="0.25">
      <c r="A484" s="710"/>
    </row>
    <row r="485" spans="1:1" x14ac:dyDescent="0.25">
      <c r="A485" s="710"/>
    </row>
    <row r="486" spans="1:1" x14ac:dyDescent="0.25">
      <c r="A486" s="710"/>
    </row>
    <row r="487" spans="1:1" x14ac:dyDescent="0.25">
      <c r="A487" s="710"/>
    </row>
    <row r="488" spans="1:1" x14ac:dyDescent="0.25">
      <c r="A488" s="710"/>
    </row>
    <row r="489" spans="1:1" x14ac:dyDescent="0.25">
      <c r="A489" s="710"/>
    </row>
    <row r="490" spans="1:1" x14ac:dyDescent="0.25">
      <c r="A490" s="710"/>
    </row>
    <row r="491" spans="1:1" x14ac:dyDescent="0.25">
      <c r="A491" s="710"/>
    </row>
    <row r="492" spans="1:1" x14ac:dyDescent="0.25">
      <c r="A492" s="710"/>
    </row>
    <row r="493" spans="1:1" x14ac:dyDescent="0.25">
      <c r="A493" s="710"/>
    </row>
    <row r="494" spans="1:1" x14ac:dyDescent="0.25">
      <c r="A494" s="710"/>
    </row>
    <row r="495" spans="1:1" x14ac:dyDescent="0.25">
      <c r="A495" s="710"/>
    </row>
    <row r="496" spans="1:1" x14ac:dyDescent="0.25">
      <c r="A496" s="710"/>
    </row>
    <row r="497" spans="1:1" x14ac:dyDescent="0.25">
      <c r="A497" s="710"/>
    </row>
    <row r="498" spans="1:1" x14ac:dyDescent="0.25">
      <c r="A498" s="710"/>
    </row>
    <row r="499" spans="1:1" x14ac:dyDescent="0.25">
      <c r="A499" s="710"/>
    </row>
    <row r="500" spans="1:1" x14ac:dyDescent="0.25">
      <c r="A500" s="710"/>
    </row>
    <row r="501" spans="1:1" x14ac:dyDescent="0.25">
      <c r="A501" s="710"/>
    </row>
    <row r="502" spans="1:1" x14ac:dyDescent="0.25">
      <c r="A502" s="710"/>
    </row>
    <row r="503" spans="1:1" x14ac:dyDescent="0.25">
      <c r="A503" s="710"/>
    </row>
    <row r="504" spans="1:1" x14ac:dyDescent="0.25">
      <c r="A504" s="710"/>
    </row>
    <row r="505" spans="1:1" x14ac:dyDescent="0.25">
      <c r="A505" s="710"/>
    </row>
    <row r="506" spans="1:1" x14ac:dyDescent="0.25">
      <c r="A506" s="710"/>
    </row>
    <row r="507" spans="1:1" x14ac:dyDescent="0.25">
      <c r="A507" s="710"/>
    </row>
    <row r="508" spans="1:1" x14ac:dyDescent="0.25">
      <c r="A508" s="710"/>
    </row>
    <row r="509" spans="1:1" x14ac:dyDescent="0.25">
      <c r="A509" s="710"/>
    </row>
    <row r="510" spans="1:1" x14ac:dyDescent="0.25">
      <c r="A510" s="710"/>
    </row>
    <row r="511" spans="1:1" x14ac:dyDescent="0.25">
      <c r="A511" s="710"/>
    </row>
    <row r="512" spans="1:1" x14ac:dyDescent="0.25">
      <c r="A512" s="710"/>
    </row>
    <row r="513" spans="1:1" x14ac:dyDescent="0.25">
      <c r="A513" s="710"/>
    </row>
    <row r="514" spans="1:1" x14ac:dyDescent="0.25">
      <c r="A514" s="710"/>
    </row>
    <row r="515" spans="1:1" x14ac:dyDescent="0.25">
      <c r="A515" s="710"/>
    </row>
    <row r="516" spans="1:1" x14ac:dyDescent="0.25">
      <c r="A516" s="710"/>
    </row>
    <row r="517" spans="1:1" x14ac:dyDescent="0.25">
      <c r="A517" s="710"/>
    </row>
    <row r="518" spans="1:1" x14ac:dyDescent="0.25">
      <c r="A518" s="710"/>
    </row>
    <row r="519" spans="1:1" x14ac:dyDescent="0.25">
      <c r="A519" s="710"/>
    </row>
    <row r="520" spans="1:1" x14ac:dyDescent="0.25">
      <c r="A520" s="710"/>
    </row>
    <row r="521" spans="1:1" x14ac:dyDescent="0.25">
      <c r="A521" s="710"/>
    </row>
    <row r="522" spans="1:1" x14ac:dyDescent="0.25">
      <c r="A522" s="710"/>
    </row>
    <row r="523" spans="1:1" x14ac:dyDescent="0.25">
      <c r="A523" s="710"/>
    </row>
    <row r="524" spans="1:1" x14ac:dyDescent="0.25">
      <c r="A524" s="710"/>
    </row>
    <row r="525" spans="1:1" x14ac:dyDescent="0.25">
      <c r="A525" s="710"/>
    </row>
    <row r="526" spans="1:1" x14ac:dyDescent="0.25">
      <c r="A526" s="710"/>
    </row>
    <row r="527" spans="1:1" x14ac:dyDescent="0.25">
      <c r="A527" s="710"/>
    </row>
    <row r="528" spans="1:1" x14ac:dyDescent="0.25">
      <c r="A528" s="710"/>
    </row>
    <row r="529" spans="1:1" x14ac:dyDescent="0.25">
      <c r="A529" s="710"/>
    </row>
    <row r="530" spans="1:1" x14ac:dyDescent="0.25">
      <c r="A530" s="710"/>
    </row>
    <row r="531" spans="1:1" x14ac:dyDescent="0.25">
      <c r="A531" s="710"/>
    </row>
    <row r="532" spans="1:1" x14ac:dyDescent="0.25">
      <c r="A532" s="710"/>
    </row>
    <row r="533" spans="1:1" x14ac:dyDescent="0.25">
      <c r="A533" s="710"/>
    </row>
    <row r="534" spans="1:1" x14ac:dyDescent="0.25">
      <c r="A534" s="710"/>
    </row>
    <row r="535" spans="1:1" x14ac:dyDescent="0.25">
      <c r="A535" s="710"/>
    </row>
    <row r="536" spans="1:1" x14ac:dyDescent="0.25">
      <c r="A536" s="710"/>
    </row>
    <row r="537" spans="1:1" x14ac:dyDescent="0.25">
      <c r="A537" s="710"/>
    </row>
    <row r="538" spans="1:1" x14ac:dyDescent="0.25">
      <c r="A538" s="710"/>
    </row>
    <row r="539" spans="1:1" x14ac:dyDescent="0.25">
      <c r="A539" s="710"/>
    </row>
    <row r="540" spans="1:1" x14ac:dyDescent="0.25">
      <c r="A540" s="710"/>
    </row>
    <row r="541" spans="1:1" x14ac:dyDescent="0.25">
      <c r="A541" s="710"/>
    </row>
    <row r="542" spans="1:1" x14ac:dyDescent="0.25">
      <c r="A542" s="710"/>
    </row>
    <row r="543" spans="1:1" x14ac:dyDescent="0.25">
      <c r="A543" s="710"/>
    </row>
    <row r="544" spans="1:1" x14ac:dyDescent="0.25">
      <c r="A544" s="710"/>
    </row>
    <row r="545" spans="1:1" x14ac:dyDescent="0.25">
      <c r="A545" s="710"/>
    </row>
    <row r="546" spans="1:1" x14ac:dyDescent="0.25">
      <c r="A546" s="710"/>
    </row>
    <row r="547" spans="1:1" x14ac:dyDescent="0.25">
      <c r="A547" s="710"/>
    </row>
    <row r="548" spans="1:1" x14ac:dyDescent="0.25">
      <c r="A548" s="710"/>
    </row>
    <row r="549" spans="1:1" x14ac:dyDescent="0.25">
      <c r="A549" s="710"/>
    </row>
    <row r="550" spans="1:1" x14ac:dyDescent="0.25">
      <c r="A550" s="710"/>
    </row>
    <row r="551" spans="1:1" x14ac:dyDescent="0.25">
      <c r="A551" s="710"/>
    </row>
    <row r="552" spans="1:1" x14ac:dyDescent="0.25">
      <c r="A552" s="710"/>
    </row>
    <row r="553" spans="1:1" x14ac:dyDescent="0.25">
      <c r="A553" s="710"/>
    </row>
    <row r="554" spans="1:1" x14ac:dyDescent="0.25">
      <c r="A554" s="710"/>
    </row>
    <row r="555" spans="1:1" x14ac:dyDescent="0.25">
      <c r="A555" s="710"/>
    </row>
    <row r="556" spans="1:1" x14ac:dyDescent="0.25">
      <c r="A556" s="710"/>
    </row>
    <row r="557" spans="1:1" x14ac:dyDescent="0.25">
      <c r="A557" s="710"/>
    </row>
    <row r="558" spans="1:1" x14ac:dyDescent="0.25">
      <c r="A558" s="710"/>
    </row>
    <row r="559" spans="1:1" x14ac:dyDescent="0.25">
      <c r="A559" s="710"/>
    </row>
    <row r="560" spans="1:1" x14ac:dyDescent="0.25">
      <c r="A560" s="710"/>
    </row>
    <row r="561" spans="1:1" x14ac:dyDescent="0.25">
      <c r="A561" s="710"/>
    </row>
    <row r="562" spans="1:1" x14ac:dyDescent="0.25">
      <c r="A562" s="710"/>
    </row>
    <row r="563" spans="1:1" x14ac:dyDescent="0.25">
      <c r="A563" s="710"/>
    </row>
    <row r="564" spans="1:1" x14ac:dyDescent="0.25">
      <c r="A564" s="710"/>
    </row>
    <row r="565" spans="1:1" x14ac:dyDescent="0.25">
      <c r="A565" s="710"/>
    </row>
    <row r="566" spans="1:1" x14ac:dyDescent="0.25">
      <c r="A566" s="710"/>
    </row>
    <row r="567" spans="1:1" x14ac:dyDescent="0.25">
      <c r="A567" s="710"/>
    </row>
    <row r="568" spans="1:1" x14ac:dyDescent="0.25">
      <c r="A568" s="710"/>
    </row>
    <row r="569" spans="1:1" x14ac:dyDescent="0.25">
      <c r="A569" s="710"/>
    </row>
    <row r="570" spans="1:1" x14ac:dyDescent="0.25">
      <c r="A570" s="710"/>
    </row>
    <row r="571" spans="1:1" x14ac:dyDescent="0.25">
      <c r="A571" s="710"/>
    </row>
    <row r="572" spans="1:1" x14ac:dyDescent="0.25">
      <c r="A572" s="710"/>
    </row>
    <row r="573" spans="1:1" x14ac:dyDescent="0.25">
      <c r="A573" s="710"/>
    </row>
    <row r="574" spans="1:1" x14ac:dyDescent="0.25">
      <c r="A574" s="710"/>
    </row>
    <row r="575" spans="1:1" x14ac:dyDescent="0.25">
      <c r="A575" s="710"/>
    </row>
    <row r="576" spans="1:1" x14ac:dyDescent="0.25">
      <c r="A576" s="710"/>
    </row>
    <row r="577" spans="1:1" x14ac:dyDescent="0.25">
      <c r="A577" s="710"/>
    </row>
    <row r="578" spans="1:1" x14ac:dyDescent="0.25">
      <c r="A578" s="710"/>
    </row>
    <row r="579" spans="1:1" x14ac:dyDescent="0.25">
      <c r="A579" s="710"/>
    </row>
    <row r="580" spans="1:1" x14ac:dyDescent="0.25">
      <c r="A580" s="710"/>
    </row>
    <row r="581" spans="1:1" x14ac:dyDescent="0.25">
      <c r="A581" s="710"/>
    </row>
    <row r="582" spans="1:1" x14ac:dyDescent="0.25">
      <c r="A582" s="710"/>
    </row>
    <row r="583" spans="1:1" x14ac:dyDescent="0.25">
      <c r="A583" s="710"/>
    </row>
    <row r="584" spans="1:1" x14ac:dyDescent="0.25">
      <c r="A584" s="710"/>
    </row>
    <row r="585" spans="1:1" x14ac:dyDescent="0.25">
      <c r="A585" s="710"/>
    </row>
    <row r="586" spans="1:1" x14ac:dyDescent="0.25">
      <c r="A586" s="710"/>
    </row>
    <row r="587" spans="1:1" x14ac:dyDescent="0.25">
      <c r="A587" s="710"/>
    </row>
    <row r="588" spans="1:1" x14ac:dyDescent="0.25">
      <c r="A588" s="710"/>
    </row>
    <row r="589" spans="1:1" x14ac:dyDescent="0.25">
      <c r="A589" s="710"/>
    </row>
    <row r="590" spans="1:1" x14ac:dyDescent="0.25">
      <c r="A590" s="710"/>
    </row>
    <row r="591" spans="1:1" x14ac:dyDescent="0.25">
      <c r="A591" s="710"/>
    </row>
    <row r="592" spans="1:1" x14ac:dyDescent="0.25">
      <c r="A592" s="710"/>
    </row>
    <row r="593" spans="1:1" x14ac:dyDescent="0.25">
      <c r="A593" s="710"/>
    </row>
    <row r="594" spans="1:1" x14ac:dyDescent="0.25">
      <c r="A594" s="710"/>
    </row>
    <row r="595" spans="1:1" x14ac:dyDescent="0.25">
      <c r="A595" s="710"/>
    </row>
    <row r="596" spans="1:1" x14ac:dyDescent="0.25">
      <c r="A596" s="710"/>
    </row>
    <row r="597" spans="1:1" x14ac:dyDescent="0.25">
      <c r="A597" s="710"/>
    </row>
    <row r="598" spans="1:1" x14ac:dyDescent="0.25">
      <c r="A598" s="710"/>
    </row>
    <row r="599" spans="1:1" x14ac:dyDescent="0.25">
      <c r="A599" s="710"/>
    </row>
    <row r="600" spans="1:1" x14ac:dyDescent="0.25">
      <c r="A600" s="710"/>
    </row>
    <row r="601" spans="1:1" x14ac:dyDescent="0.25">
      <c r="A601" s="710"/>
    </row>
    <row r="602" spans="1:1" x14ac:dyDescent="0.25">
      <c r="A602" s="710"/>
    </row>
    <row r="603" spans="1:1" x14ac:dyDescent="0.25">
      <c r="A603" s="710"/>
    </row>
    <row r="604" spans="1:1" x14ac:dyDescent="0.25">
      <c r="A604" s="710"/>
    </row>
    <row r="605" spans="1:1" x14ac:dyDescent="0.25">
      <c r="A605" s="710"/>
    </row>
    <row r="606" spans="1:1" x14ac:dyDescent="0.25">
      <c r="A606" s="710"/>
    </row>
    <row r="607" spans="1:1" x14ac:dyDescent="0.25">
      <c r="A607" s="710"/>
    </row>
    <row r="608" spans="1:1" x14ac:dyDescent="0.25">
      <c r="A608" s="710"/>
    </row>
    <row r="609" spans="1:1" x14ac:dyDescent="0.25">
      <c r="A609" s="710"/>
    </row>
    <row r="610" spans="1:1" x14ac:dyDescent="0.25">
      <c r="A610" s="710"/>
    </row>
    <row r="611" spans="1:1" x14ac:dyDescent="0.25">
      <c r="A611" s="710"/>
    </row>
    <row r="612" spans="1:1" x14ac:dyDescent="0.25">
      <c r="A612" s="710"/>
    </row>
    <row r="613" spans="1:1" x14ac:dyDescent="0.25">
      <c r="A613" s="710"/>
    </row>
    <row r="614" spans="1:1" x14ac:dyDescent="0.25">
      <c r="A614" s="710"/>
    </row>
    <row r="615" spans="1:1" x14ac:dyDescent="0.25">
      <c r="A615" s="710"/>
    </row>
    <row r="616" spans="1:1" x14ac:dyDescent="0.25">
      <c r="A616" s="710"/>
    </row>
    <row r="617" spans="1:1" x14ac:dyDescent="0.25">
      <c r="A617" s="710"/>
    </row>
    <row r="618" spans="1:1" x14ac:dyDescent="0.25">
      <c r="A618" s="710"/>
    </row>
    <row r="619" spans="1:1" x14ac:dyDescent="0.25">
      <c r="A619" s="710"/>
    </row>
    <row r="620" spans="1:1" x14ac:dyDescent="0.25">
      <c r="A620" s="710"/>
    </row>
    <row r="621" spans="1:1" x14ac:dyDescent="0.25">
      <c r="A621" s="710"/>
    </row>
    <row r="622" spans="1:1" x14ac:dyDescent="0.25">
      <c r="A622" s="710"/>
    </row>
    <row r="623" spans="1:1" x14ac:dyDescent="0.25">
      <c r="A623" s="710"/>
    </row>
    <row r="624" spans="1:1" x14ac:dyDescent="0.25">
      <c r="A624" s="710"/>
    </row>
    <row r="625" spans="1:1" x14ac:dyDescent="0.25">
      <c r="A625" s="710"/>
    </row>
    <row r="626" spans="1:1" x14ac:dyDescent="0.25">
      <c r="A626" s="710"/>
    </row>
    <row r="627" spans="1:1" x14ac:dyDescent="0.25">
      <c r="A627" s="710"/>
    </row>
    <row r="628" spans="1:1" x14ac:dyDescent="0.25">
      <c r="A628" s="710"/>
    </row>
    <row r="629" spans="1:1" x14ac:dyDescent="0.25">
      <c r="A629" s="710"/>
    </row>
    <row r="630" spans="1:1" x14ac:dyDescent="0.25">
      <c r="A630" s="710"/>
    </row>
    <row r="631" spans="1:1" x14ac:dyDescent="0.25">
      <c r="A631" s="710"/>
    </row>
    <row r="632" spans="1:1" x14ac:dyDescent="0.25">
      <c r="A632" s="710"/>
    </row>
    <row r="633" spans="1:1" x14ac:dyDescent="0.25">
      <c r="A633" s="710"/>
    </row>
    <row r="634" spans="1:1" x14ac:dyDescent="0.25">
      <c r="A634" s="710"/>
    </row>
    <row r="635" spans="1:1" x14ac:dyDescent="0.25">
      <c r="A635" s="710"/>
    </row>
    <row r="636" spans="1:1" x14ac:dyDescent="0.25">
      <c r="A636" s="710"/>
    </row>
    <row r="637" spans="1:1" x14ac:dyDescent="0.25">
      <c r="A637" s="710"/>
    </row>
    <row r="638" spans="1:1" x14ac:dyDescent="0.25">
      <c r="A638" s="710"/>
    </row>
    <row r="639" spans="1:1" x14ac:dyDescent="0.25">
      <c r="A639" s="710"/>
    </row>
    <row r="640" spans="1:1" x14ac:dyDescent="0.25">
      <c r="A640" s="710"/>
    </row>
    <row r="641" spans="1:1" x14ac:dyDescent="0.25">
      <c r="A641" s="710"/>
    </row>
    <row r="642" spans="1:1" x14ac:dyDescent="0.25">
      <c r="A642" s="710"/>
    </row>
    <row r="643" spans="1:1" x14ac:dyDescent="0.25">
      <c r="A643" s="710"/>
    </row>
    <row r="644" spans="1:1" x14ac:dyDescent="0.25">
      <c r="A644" s="710"/>
    </row>
    <row r="645" spans="1:1" x14ac:dyDescent="0.25">
      <c r="A645" s="710"/>
    </row>
    <row r="646" spans="1:1" x14ac:dyDescent="0.25">
      <c r="A646" s="710"/>
    </row>
    <row r="647" spans="1:1" x14ac:dyDescent="0.25">
      <c r="A647" s="710"/>
    </row>
    <row r="648" spans="1:1" x14ac:dyDescent="0.25">
      <c r="A648" s="710"/>
    </row>
    <row r="649" spans="1:1" x14ac:dyDescent="0.25">
      <c r="A649" s="710"/>
    </row>
    <row r="650" spans="1:1" x14ac:dyDescent="0.25">
      <c r="A650" s="710"/>
    </row>
    <row r="651" spans="1:1" x14ac:dyDescent="0.25">
      <c r="A651" s="710"/>
    </row>
    <row r="652" spans="1:1" x14ac:dyDescent="0.25">
      <c r="A652" s="710"/>
    </row>
    <row r="653" spans="1:1" x14ac:dyDescent="0.25">
      <c r="A653" s="710"/>
    </row>
    <row r="654" spans="1:1" x14ac:dyDescent="0.25">
      <c r="A654" s="710"/>
    </row>
    <row r="655" spans="1:1" x14ac:dyDescent="0.25">
      <c r="A655" s="710"/>
    </row>
    <row r="656" spans="1:1" x14ac:dyDescent="0.25">
      <c r="A656" s="710"/>
    </row>
    <row r="657" spans="1:1" x14ac:dyDescent="0.25">
      <c r="A657" s="710"/>
    </row>
    <row r="658" spans="1:1" x14ac:dyDescent="0.25">
      <c r="A658" s="710"/>
    </row>
    <row r="659" spans="1:1" x14ac:dyDescent="0.25">
      <c r="A659" s="710"/>
    </row>
    <row r="660" spans="1:1" x14ac:dyDescent="0.25">
      <c r="A660" s="710"/>
    </row>
    <row r="661" spans="1:1" x14ac:dyDescent="0.25">
      <c r="A661" s="710"/>
    </row>
    <row r="662" spans="1:1" x14ac:dyDescent="0.25">
      <c r="A662" s="710"/>
    </row>
    <row r="663" spans="1:1" x14ac:dyDescent="0.25">
      <c r="A663" s="710"/>
    </row>
    <row r="664" spans="1:1" x14ac:dyDescent="0.25">
      <c r="A664" s="710"/>
    </row>
    <row r="665" spans="1:1" x14ac:dyDescent="0.25">
      <c r="A665" s="710"/>
    </row>
    <row r="666" spans="1:1" x14ac:dyDescent="0.25">
      <c r="A666" s="710"/>
    </row>
    <row r="667" spans="1:1" x14ac:dyDescent="0.25">
      <c r="A667" s="710"/>
    </row>
    <row r="668" spans="1:1" x14ac:dyDescent="0.25">
      <c r="A668" s="710"/>
    </row>
    <row r="669" spans="1:1" x14ac:dyDescent="0.25">
      <c r="A669" s="710"/>
    </row>
    <row r="670" spans="1:1" x14ac:dyDescent="0.25">
      <c r="A670" s="710"/>
    </row>
    <row r="671" spans="1:1" x14ac:dyDescent="0.25">
      <c r="A671" s="710"/>
    </row>
    <row r="672" spans="1:1" x14ac:dyDescent="0.25">
      <c r="A672" s="710"/>
    </row>
    <row r="673" spans="1:1" x14ac:dyDescent="0.25">
      <c r="A673" s="710"/>
    </row>
    <row r="674" spans="1:1" x14ac:dyDescent="0.25">
      <c r="A674" s="710"/>
    </row>
    <row r="675" spans="1:1" x14ac:dyDescent="0.25">
      <c r="A675" s="710"/>
    </row>
    <row r="676" spans="1:1" x14ac:dyDescent="0.25">
      <c r="A676" s="710"/>
    </row>
    <row r="677" spans="1:1" x14ac:dyDescent="0.25">
      <c r="A677" s="710"/>
    </row>
    <row r="678" spans="1:1" x14ac:dyDescent="0.25">
      <c r="A678" s="710"/>
    </row>
    <row r="679" spans="1:1" x14ac:dyDescent="0.25">
      <c r="A679" s="710"/>
    </row>
    <row r="680" spans="1:1" x14ac:dyDescent="0.25">
      <c r="A680" s="710"/>
    </row>
    <row r="681" spans="1:1" x14ac:dyDescent="0.25">
      <c r="A681" s="710"/>
    </row>
    <row r="682" spans="1:1" x14ac:dyDescent="0.25">
      <c r="A682" s="710"/>
    </row>
    <row r="683" spans="1:1" x14ac:dyDescent="0.25">
      <c r="A683" s="710"/>
    </row>
    <row r="684" spans="1:1" x14ac:dyDescent="0.25">
      <c r="A684" s="710"/>
    </row>
    <row r="685" spans="1:1" x14ac:dyDescent="0.25">
      <c r="A685" s="710"/>
    </row>
    <row r="686" spans="1:1" x14ac:dyDescent="0.25">
      <c r="A686" s="710"/>
    </row>
    <row r="687" spans="1:1" x14ac:dyDescent="0.25">
      <c r="A687" s="710"/>
    </row>
    <row r="688" spans="1:1" x14ac:dyDescent="0.25">
      <c r="A688" s="710"/>
    </row>
    <row r="689" spans="1:1" x14ac:dyDescent="0.25">
      <c r="A689" s="710"/>
    </row>
    <row r="690" spans="1:1" x14ac:dyDescent="0.25">
      <c r="A690" s="710"/>
    </row>
    <row r="691" spans="1:1" x14ac:dyDescent="0.25">
      <c r="A691" s="710"/>
    </row>
    <row r="692" spans="1:1" x14ac:dyDescent="0.25">
      <c r="A692" s="710"/>
    </row>
    <row r="693" spans="1:1" x14ac:dyDescent="0.25">
      <c r="A693" s="710"/>
    </row>
    <row r="694" spans="1:1" x14ac:dyDescent="0.25">
      <c r="A694" s="710"/>
    </row>
    <row r="695" spans="1:1" x14ac:dyDescent="0.25">
      <c r="A695" s="710"/>
    </row>
    <row r="696" spans="1:1" x14ac:dyDescent="0.25">
      <c r="A696" s="710"/>
    </row>
    <row r="697" spans="1:1" x14ac:dyDescent="0.25">
      <c r="A697" s="710"/>
    </row>
    <row r="698" spans="1:1" x14ac:dyDescent="0.25">
      <c r="A698" s="710"/>
    </row>
    <row r="699" spans="1:1" x14ac:dyDescent="0.25">
      <c r="A699" s="710"/>
    </row>
    <row r="700" spans="1:1" x14ac:dyDescent="0.25">
      <c r="A700" s="710"/>
    </row>
    <row r="701" spans="1:1" x14ac:dyDescent="0.25">
      <c r="A701" s="710"/>
    </row>
    <row r="702" spans="1:1" x14ac:dyDescent="0.25">
      <c r="A702" s="710"/>
    </row>
    <row r="703" spans="1:1" x14ac:dyDescent="0.25">
      <c r="A703" s="710"/>
    </row>
    <row r="704" spans="1:1" x14ac:dyDescent="0.25">
      <c r="A704" s="710"/>
    </row>
    <row r="705" spans="1:1" x14ac:dyDescent="0.25">
      <c r="A705" s="710"/>
    </row>
    <row r="706" spans="1:1" x14ac:dyDescent="0.25">
      <c r="A706" s="710"/>
    </row>
    <row r="707" spans="1:1" x14ac:dyDescent="0.25">
      <c r="A707" s="710"/>
    </row>
    <row r="708" spans="1:1" x14ac:dyDescent="0.25">
      <c r="A708" s="710"/>
    </row>
    <row r="709" spans="1:1" x14ac:dyDescent="0.25">
      <c r="A709" s="710"/>
    </row>
    <row r="710" spans="1:1" x14ac:dyDescent="0.25">
      <c r="A710" s="710"/>
    </row>
    <row r="711" spans="1:1" x14ac:dyDescent="0.25">
      <c r="A711" s="710"/>
    </row>
    <row r="712" spans="1:1" x14ac:dyDescent="0.25">
      <c r="A712" s="710"/>
    </row>
    <row r="713" spans="1:1" x14ac:dyDescent="0.25">
      <c r="A713" s="710"/>
    </row>
    <row r="714" spans="1:1" x14ac:dyDescent="0.25">
      <c r="A714" s="710"/>
    </row>
    <row r="715" spans="1:1" x14ac:dyDescent="0.25">
      <c r="A715" s="710"/>
    </row>
    <row r="716" spans="1:1" x14ac:dyDescent="0.25">
      <c r="A716" s="710"/>
    </row>
    <row r="717" spans="1:1" x14ac:dyDescent="0.25">
      <c r="A717" s="710"/>
    </row>
    <row r="718" spans="1:1" x14ac:dyDescent="0.25">
      <c r="A718" s="710"/>
    </row>
    <row r="719" spans="1:1" x14ac:dyDescent="0.25">
      <c r="A719" s="710"/>
    </row>
    <row r="720" spans="1:1" x14ac:dyDescent="0.25">
      <c r="A720" s="710"/>
    </row>
    <row r="721" spans="1:1" x14ac:dyDescent="0.25">
      <c r="A721" s="710"/>
    </row>
    <row r="722" spans="1:1" x14ac:dyDescent="0.25">
      <c r="A722" s="710"/>
    </row>
    <row r="723" spans="1:1" x14ac:dyDescent="0.25">
      <c r="A723" s="710"/>
    </row>
    <row r="724" spans="1:1" x14ac:dyDescent="0.25">
      <c r="A724" s="710"/>
    </row>
    <row r="725" spans="1:1" x14ac:dyDescent="0.25">
      <c r="A725" s="710"/>
    </row>
    <row r="726" spans="1:1" x14ac:dyDescent="0.25">
      <c r="A726" s="710"/>
    </row>
    <row r="727" spans="1:1" x14ac:dyDescent="0.25">
      <c r="A727" s="710"/>
    </row>
    <row r="728" spans="1:1" x14ac:dyDescent="0.25">
      <c r="A728" s="710"/>
    </row>
    <row r="729" spans="1:1" x14ac:dyDescent="0.25">
      <c r="A729" s="710"/>
    </row>
    <row r="730" spans="1:1" x14ac:dyDescent="0.25">
      <c r="A730" s="710"/>
    </row>
    <row r="731" spans="1:1" x14ac:dyDescent="0.25">
      <c r="A731" s="710"/>
    </row>
    <row r="732" spans="1:1" x14ac:dyDescent="0.25">
      <c r="A732" s="710"/>
    </row>
    <row r="733" spans="1:1" x14ac:dyDescent="0.25">
      <c r="A733" s="710"/>
    </row>
    <row r="734" spans="1:1" x14ac:dyDescent="0.25">
      <c r="A734" s="710"/>
    </row>
    <row r="735" spans="1:1" x14ac:dyDescent="0.25">
      <c r="A735" s="710"/>
    </row>
    <row r="736" spans="1:1" x14ac:dyDescent="0.25">
      <c r="A736" s="710"/>
    </row>
    <row r="737" spans="1:1" x14ac:dyDescent="0.25">
      <c r="A737" s="710"/>
    </row>
    <row r="738" spans="1:1" x14ac:dyDescent="0.25">
      <c r="A738" s="710"/>
    </row>
    <row r="739" spans="1:1" x14ac:dyDescent="0.25">
      <c r="A739" s="710"/>
    </row>
    <row r="740" spans="1:1" x14ac:dyDescent="0.25">
      <c r="A740" s="710"/>
    </row>
    <row r="741" spans="1:1" x14ac:dyDescent="0.25">
      <c r="A741" s="710"/>
    </row>
    <row r="742" spans="1:1" x14ac:dyDescent="0.25">
      <c r="A742" s="710"/>
    </row>
    <row r="743" spans="1:1" x14ac:dyDescent="0.25">
      <c r="A743" s="710"/>
    </row>
    <row r="744" spans="1:1" x14ac:dyDescent="0.25">
      <c r="A744" s="710"/>
    </row>
    <row r="745" spans="1:1" x14ac:dyDescent="0.25">
      <c r="A745" s="710"/>
    </row>
    <row r="746" spans="1:1" x14ac:dyDescent="0.25">
      <c r="A746" s="710"/>
    </row>
    <row r="747" spans="1:1" x14ac:dyDescent="0.25">
      <c r="A747" s="710"/>
    </row>
    <row r="748" spans="1:1" x14ac:dyDescent="0.25">
      <c r="A748" s="710"/>
    </row>
    <row r="749" spans="1:1" x14ac:dyDescent="0.25">
      <c r="A749" s="710"/>
    </row>
    <row r="750" spans="1:1" x14ac:dyDescent="0.25">
      <c r="A750" s="710"/>
    </row>
    <row r="751" spans="1:1" x14ac:dyDescent="0.25">
      <c r="A751" s="710"/>
    </row>
    <row r="752" spans="1:1" x14ac:dyDescent="0.25">
      <c r="A752" s="710"/>
    </row>
    <row r="753" spans="1:1" x14ac:dyDescent="0.25">
      <c r="A753" s="710"/>
    </row>
    <row r="754" spans="1:1" x14ac:dyDescent="0.25">
      <c r="A754" s="710"/>
    </row>
    <row r="755" spans="1:1" x14ac:dyDescent="0.25">
      <c r="A755" s="710"/>
    </row>
    <row r="756" spans="1:1" x14ac:dyDescent="0.25">
      <c r="A756" s="710"/>
    </row>
    <row r="757" spans="1:1" x14ac:dyDescent="0.25">
      <c r="A757" s="710"/>
    </row>
    <row r="758" spans="1:1" x14ac:dyDescent="0.25">
      <c r="A758" s="710"/>
    </row>
    <row r="759" spans="1:1" x14ac:dyDescent="0.25">
      <c r="A759" s="710"/>
    </row>
    <row r="760" spans="1:1" x14ac:dyDescent="0.25">
      <c r="A760" s="710"/>
    </row>
    <row r="761" spans="1:1" x14ac:dyDescent="0.25">
      <c r="A761" s="710"/>
    </row>
    <row r="762" spans="1:1" x14ac:dyDescent="0.25">
      <c r="A762" s="710"/>
    </row>
    <row r="763" spans="1:1" x14ac:dyDescent="0.25">
      <c r="A763" s="710"/>
    </row>
    <row r="764" spans="1:1" x14ac:dyDescent="0.25">
      <c r="A764" s="710"/>
    </row>
    <row r="765" spans="1:1" x14ac:dyDescent="0.25">
      <c r="A765" s="710"/>
    </row>
    <row r="766" spans="1:1" x14ac:dyDescent="0.25">
      <c r="A766" s="710"/>
    </row>
    <row r="767" spans="1:1" x14ac:dyDescent="0.25">
      <c r="A767" s="710"/>
    </row>
    <row r="768" spans="1:1" x14ac:dyDescent="0.25">
      <c r="A768" s="710"/>
    </row>
    <row r="769" spans="1:1" x14ac:dyDescent="0.25">
      <c r="A769" s="710"/>
    </row>
    <row r="770" spans="1:1" x14ac:dyDescent="0.25">
      <c r="A770" s="710"/>
    </row>
    <row r="771" spans="1:1" x14ac:dyDescent="0.25">
      <c r="A771" s="710"/>
    </row>
    <row r="772" spans="1:1" x14ac:dyDescent="0.25">
      <c r="A772" s="710"/>
    </row>
    <row r="773" spans="1:1" x14ac:dyDescent="0.25">
      <c r="A773" s="710"/>
    </row>
    <row r="774" spans="1:1" x14ac:dyDescent="0.25">
      <c r="A774" s="710"/>
    </row>
    <row r="775" spans="1:1" x14ac:dyDescent="0.25">
      <c r="A775" s="710"/>
    </row>
    <row r="776" spans="1:1" x14ac:dyDescent="0.25">
      <c r="A776" s="710"/>
    </row>
    <row r="777" spans="1:1" x14ac:dyDescent="0.25">
      <c r="A777" s="710"/>
    </row>
    <row r="778" spans="1:1" x14ac:dyDescent="0.25">
      <c r="A778" s="710"/>
    </row>
    <row r="779" spans="1:1" x14ac:dyDescent="0.25">
      <c r="A779" s="710"/>
    </row>
    <row r="780" spans="1:1" x14ac:dyDescent="0.25">
      <c r="A780" s="710"/>
    </row>
    <row r="781" spans="1:1" x14ac:dyDescent="0.25">
      <c r="A781" s="710"/>
    </row>
    <row r="782" spans="1:1" x14ac:dyDescent="0.25">
      <c r="A782" s="710"/>
    </row>
    <row r="783" spans="1:1" x14ac:dyDescent="0.25">
      <c r="A783" s="710"/>
    </row>
    <row r="784" spans="1:1" x14ac:dyDescent="0.25">
      <c r="A784" s="710"/>
    </row>
    <row r="785" spans="1:1" x14ac:dyDescent="0.25">
      <c r="A785" s="710"/>
    </row>
    <row r="786" spans="1:1" x14ac:dyDescent="0.25">
      <c r="A786" s="710"/>
    </row>
    <row r="787" spans="1:1" x14ac:dyDescent="0.25">
      <c r="A787" s="710"/>
    </row>
    <row r="788" spans="1:1" x14ac:dyDescent="0.25">
      <c r="A788" s="710"/>
    </row>
    <row r="789" spans="1:1" x14ac:dyDescent="0.25">
      <c r="A789" s="710"/>
    </row>
    <row r="790" spans="1:1" x14ac:dyDescent="0.25">
      <c r="A790" s="710"/>
    </row>
    <row r="791" spans="1:1" x14ac:dyDescent="0.25">
      <c r="A791" s="710"/>
    </row>
    <row r="792" spans="1:1" x14ac:dyDescent="0.25">
      <c r="A792" s="710"/>
    </row>
    <row r="793" spans="1:1" x14ac:dyDescent="0.25">
      <c r="A793" s="710"/>
    </row>
    <row r="794" spans="1:1" x14ac:dyDescent="0.25">
      <c r="A794" s="710"/>
    </row>
    <row r="795" spans="1:1" x14ac:dyDescent="0.25">
      <c r="A795" s="710"/>
    </row>
    <row r="796" spans="1:1" x14ac:dyDescent="0.25">
      <c r="A796" s="710"/>
    </row>
    <row r="797" spans="1:1" x14ac:dyDescent="0.25">
      <c r="A797" s="710"/>
    </row>
    <row r="798" spans="1:1" x14ac:dyDescent="0.25">
      <c r="A798" s="710"/>
    </row>
    <row r="799" spans="1:1" x14ac:dyDescent="0.25">
      <c r="A799" s="710"/>
    </row>
    <row r="800" spans="1:1" x14ac:dyDescent="0.25">
      <c r="A800" s="710"/>
    </row>
    <row r="801" spans="1:1" x14ac:dyDescent="0.25">
      <c r="A801" s="710"/>
    </row>
    <row r="802" spans="1:1" x14ac:dyDescent="0.25">
      <c r="A802" s="710"/>
    </row>
    <row r="803" spans="1:1" x14ac:dyDescent="0.25">
      <c r="A803" s="710"/>
    </row>
    <row r="804" spans="1:1" x14ac:dyDescent="0.25">
      <c r="A804" s="710"/>
    </row>
    <row r="805" spans="1:1" x14ac:dyDescent="0.25">
      <c r="A805" s="710"/>
    </row>
    <row r="806" spans="1:1" x14ac:dyDescent="0.25">
      <c r="A806" s="710"/>
    </row>
    <row r="807" spans="1:1" x14ac:dyDescent="0.25">
      <c r="A807" s="710"/>
    </row>
    <row r="808" spans="1:1" x14ac:dyDescent="0.25">
      <c r="A808" s="710"/>
    </row>
    <row r="809" spans="1:1" x14ac:dyDescent="0.25">
      <c r="A809" s="710"/>
    </row>
    <row r="810" spans="1:1" x14ac:dyDescent="0.25">
      <c r="A810" s="710"/>
    </row>
    <row r="811" spans="1:1" x14ac:dyDescent="0.25">
      <c r="A811" s="710"/>
    </row>
    <row r="812" spans="1:1" x14ac:dyDescent="0.25">
      <c r="A812" s="710"/>
    </row>
    <row r="813" spans="1:1" x14ac:dyDescent="0.25">
      <c r="A813" s="710"/>
    </row>
    <row r="814" spans="1:1" x14ac:dyDescent="0.25">
      <c r="A814" s="710"/>
    </row>
    <row r="815" spans="1:1" x14ac:dyDescent="0.25">
      <c r="A815" s="710"/>
    </row>
    <row r="816" spans="1:1" x14ac:dyDescent="0.25">
      <c r="A816" s="710"/>
    </row>
    <row r="817" spans="1:1" x14ac:dyDescent="0.25">
      <c r="A817" s="710"/>
    </row>
    <row r="818" spans="1:1" x14ac:dyDescent="0.25">
      <c r="A818" s="710"/>
    </row>
    <row r="819" spans="1:1" x14ac:dyDescent="0.25">
      <c r="A819" s="710"/>
    </row>
    <row r="820" spans="1:1" x14ac:dyDescent="0.25">
      <c r="A820" s="710"/>
    </row>
    <row r="821" spans="1:1" x14ac:dyDescent="0.25">
      <c r="A821" s="710"/>
    </row>
    <row r="822" spans="1:1" x14ac:dyDescent="0.25">
      <c r="A822" s="710"/>
    </row>
    <row r="823" spans="1:1" x14ac:dyDescent="0.25">
      <c r="A823" s="710"/>
    </row>
    <row r="824" spans="1:1" x14ac:dyDescent="0.25">
      <c r="A824" s="710"/>
    </row>
    <row r="825" spans="1:1" x14ac:dyDescent="0.25">
      <c r="A825" s="710"/>
    </row>
    <row r="826" spans="1:1" x14ac:dyDescent="0.25">
      <c r="A826" s="710"/>
    </row>
    <row r="827" spans="1:1" x14ac:dyDescent="0.25">
      <c r="A827" s="710"/>
    </row>
    <row r="828" spans="1:1" x14ac:dyDescent="0.25">
      <c r="A828" s="710"/>
    </row>
    <row r="829" spans="1:1" x14ac:dyDescent="0.25">
      <c r="A829" s="710"/>
    </row>
    <row r="830" spans="1:1" x14ac:dyDescent="0.25">
      <c r="A830" s="710"/>
    </row>
    <row r="831" spans="1:1" x14ac:dyDescent="0.25">
      <c r="A831" s="710"/>
    </row>
    <row r="832" spans="1:1" x14ac:dyDescent="0.25">
      <c r="A832" s="710"/>
    </row>
    <row r="833" spans="1:1" x14ac:dyDescent="0.25">
      <c r="A833" s="710"/>
    </row>
    <row r="834" spans="1:1" x14ac:dyDescent="0.25">
      <c r="A834" s="710"/>
    </row>
    <row r="835" spans="1:1" x14ac:dyDescent="0.25">
      <c r="A835" s="710"/>
    </row>
    <row r="836" spans="1:1" x14ac:dyDescent="0.25">
      <c r="A836" s="710"/>
    </row>
    <row r="837" spans="1:1" x14ac:dyDescent="0.25">
      <c r="A837" s="710"/>
    </row>
    <row r="838" spans="1:1" x14ac:dyDescent="0.25">
      <c r="A838" s="710"/>
    </row>
    <row r="839" spans="1:1" x14ac:dyDescent="0.25">
      <c r="A839" s="710"/>
    </row>
    <row r="840" spans="1:1" x14ac:dyDescent="0.25">
      <c r="A840" s="710"/>
    </row>
    <row r="841" spans="1:1" x14ac:dyDescent="0.25">
      <c r="A841" s="710"/>
    </row>
    <row r="842" spans="1:1" x14ac:dyDescent="0.25">
      <c r="A842" s="710"/>
    </row>
    <row r="843" spans="1:1" x14ac:dyDescent="0.25">
      <c r="A843" s="710"/>
    </row>
    <row r="844" spans="1:1" x14ac:dyDescent="0.25">
      <c r="A844" s="710"/>
    </row>
    <row r="845" spans="1:1" x14ac:dyDescent="0.25">
      <c r="A845" s="710"/>
    </row>
    <row r="846" spans="1:1" x14ac:dyDescent="0.25">
      <c r="A846" s="710"/>
    </row>
    <row r="847" spans="1:1" x14ac:dyDescent="0.25">
      <c r="A847" s="710"/>
    </row>
    <row r="848" spans="1:1" x14ac:dyDescent="0.25">
      <c r="A848" s="710"/>
    </row>
    <row r="849" spans="1:1" x14ac:dyDescent="0.25">
      <c r="A849" s="710"/>
    </row>
    <row r="850" spans="1:1" x14ac:dyDescent="0.25">
      <c r="A850" s="710"/>
    </row>
    <row r="851" spans="1:1" x14ac:dyDescent="0.25">
      <c r="A851" s="710"/>
    </row>
    <row r="852" spans="1:1" x14ac:dyDescent="0.25">
      <c r="A852" s="710"/>
    </row>
    <row r="853" spans="1:1" x14ac:dyDescent="0.25">
      <c r="A853" s="710"/>
    </row>
    <row r="854" spans="1:1" x14ac:dyDescent="0.25">
      <c r="A854" s="710"/>
    </row>
    <row r="855" spans="1:1" x14ac:dyDescent="0.25">
      <c r="A855" s="710"/>
    </row>
    <row r="856" spans="1:1" x14ac:dyDescent="0.25">
      <c r="A856" s="710"/>
    </row>
    <row r="857" spans="1:1" x14ac:dyDescent="0.25">
      <c r="A857" s="710"/>
    </row>
    <row r="858" spans="1:1" x14ac:dyDescent="0.25">
      <c r="A858" s="710"/>
    </row>
    <row r="859" spans="1:1" x14ac:dyDescent="0.25">
      <c r="A859" s="710"/>
    </row>
    <row r="860" spans="1:1" x14ac:dyDescent="0.25">
      <c r="A860" s="710"/>
    </row>
    <row r="861" spans="1:1" x14ac:dyDescent="0.25">
      <c r="A861" s="710"/>
    </row>
    <row r="862" spans="1:1" x14ac:dyDescent="0.25">
      <c r="A862" s="710"/>
    </row>
    <row r="863" spans="1:1" x14ac:dyDescent="0.25">
      <c r="A863" s="710"/>
    </row>
    <row r="864" spans="1:1" x14ac:dyDescent="0.25">
      <c r="A864" s="710"/>
    </row>
    <row r="865" spans="1:1" x14ac:dyDescent="0.25">
      <c r="A865" s="710"/>
    </row>
    <row r="866" spans="1:1" x14ac:dyDescent="0.25">
      <c r="A866" s="710"/>
    </row>
    <row r="867" spans="1:1" x14ac:dyDescent="0.25">
      <c r="A867" s="710"/>
    </row>
    <row r="868" spans="1:1" x14ac:dyDescent="0.25">
      <c r="A868" s="710"/>
    </row>
    <row r="869" spans="1:1" x14ac:dyDescent="0.25">
      <c r="A869" s="710"/>
    </row>
    <row r="870" spans="1:1" x14ac:dyDescent="0.25">
      <c r="A870" s="710"/>
    </row>
    <row r="871" spans="1:1" x14ac:dyDescent="0.25">
      <c r="A871" s="710"/>
    </row>
    <row r="872" spans="1:1" x14ac:dyDescent="0.25">
      <c r="A872" s="710"/>
    </row>
    <row r="873" spans="1:1" x14ac:dyDescent="0.25">
      <c r="A873" s="710"/>
    </row>
    <row r="874" spans="1:1" x14ac:dyDescent="0.25">
      <c r="A874" s="710"/>
    </row>
    <row r="875" spans="1:1" x14ac:dyDescent="0.25">
      <c r="A875" s="710"/>
    </row>
    <row r="876" spans="1:1" x14ac:dyDescent="0.25">
      <c r="A876" s="710"/>
    </row>
    <row r="877" spans="1:1" x14ac:dyDescent="0.25">
      <c r="A877" s="710"/>
    </row>
    <row r="878" spans="1:1" x14ac:dyDescent="0.25">
      <c r="A878" s="710"/>
    </row>
    <row r="879" spans="1:1" x14ac:dyDescent="0.25">
      <c r="A879" s="710"/>
    </row>
    <row r="880" spans="1:1" x14ac:dyDescent="0.25">
      <c r="A880" s="710"/>
    </row>
    <row r="881" spans="1:1" x14ac:dyDescent="0.25">
      <c r="A881" s="710"/>
    </row>
    <row r="882" spans="1:1" x14ac:dyDescent="0.25">
      <c r="A882" s="710"/>
    </row>
    <row r="883" spans="1:1" x14ac:dyDescent="0.25">
      <c r="A883" s="710"/>
    </row>
    <row r="884" spans="1:1" x14ac:dyDescent="0.25">
      <c r="A884" s="710"/>
    </row>
    <row r="885" spans="1:1" x14ac:dyDescent="0.25">
      <c r="A885" s="710"/>
    </row>
    <row r="886" spans="1:1" x14ac:dyDescent="0.25">
      <c r="A886" s="710"/>
    </row>
    <row r="887" spans="1:1" x14ac:dyDescent="0.25">
      <c r="A887" s="710"/>
    </row>
    <row r="888" spans="1:1" x14ac:dyDescent="0.25">
      <c r="A888" s="710"/>
    </row>
    <row r="889" spans="1:1" x14ac:dyDescent="0.25">
      <c r="A889" s="710"/>
    </row>
    <row r="890" spans="1:1" x14ac:dyDescent="0.25">
      <c r="A890" s="710"/>
    </row>
    <row r="891" spans="1:1" x14ac:dyDescent="0.25">
      <c r="A891" s="710"/>
    </row>
    <row r="892" spans="1:1" x14ac:dyDescent="0.25">
      <c r="A892" s="710"/>
    </row>
    <row r="893" spans="1:1" x14ac:dyDescent="0.25">
      <c r="A893" s="710"/>
    </row>
    <row r="894" spans="1:1" x14ac:dyDescent="0.25">
      <c r="A894" s="710"/>
    </row>
    <row r="895" spans="1:1" x14ac:dyDescent="0.25">
      <c r="A895" s="710"/>
    </row>
    <row r="896" spans="1:1" x14ac:dyDescent="0.25">
      <c r="A896" s="710"/>
    </row>
    <row r="897" spans="1:1" x14ac:dyDescent="0.25">
      <c r="A897" s="710"/>
    </row>
    <row r="898" spans="1:1" x14ac:dyDescent="0.25">
      <c r="A898" s="710"/>
    </row>
    <row r="899" spans="1:1" x14ac:dyDescent="0.25">
      <c r="A899" s="710"/>
    </row>
    <row r="900" spans="1:1" x14ac:dyDescent="0.25">
      <c r="A900" s="710"/>
    </row>
    <row r="901" spans="1:1" x14ac:dyDescent="0.25">
      <c r="A901" s="710"/>
    </row>
    <row r="902" spans="1:1" x14ac:dyDescent="0.25">
      <c r="A902" s="710"/>
    </row>
    <row r="903" spans="1:1" x14ac:dyDescent="0.25">
      <c r="A903" s="710"/>
    </row>
    <row r="904" spans="1:1" x14ac:dyDescent="0.25">
      <c r="A904" s="710"/>
    </row>
    <row r="905" spans="1:1" x14ac:dyDescent="0.25">
      <c r="A905" s="710"/>
    </row>
    <row r="906" spans="1:1" x14ac:dyDescent="0.25">
      <c r="A906" s="710"/>
    </row>
    <row r="907" spans="1:1" x14ac:dyDescent="0.25">
      <c r="A907" s="710"/>
    </row>
    <row r="908" spans="1:1" x14ac:dyDescent="0.25">
      <c r="A908" s="710"/>
    </row>
    <row r="909" spans="1:1" x14ac:dyDescent="0.25">
      <c r="A909" s="710"/>
    </row>
    <row r="910" spans="1:1" x14ac:dyDescent="0.25">
      <c r="A910" s="710"/>
    </row>
    <row r="911" spans="1:1" x14ac:dyDescent="0.25">
      <c r="A911" s="710"/>
    </row>
    <row r="912" spans="1:1" x14ac:dyDescent="0.25">
      <c r="A912" s="710"/>
    </row>
    <row r="913" spans="1:1" x14ac:dyDescent="0.25">
      <c r="A913" s="710"/>
    </row>
    <row r="914" spans="1:1" x14ac:dyDescent="0.25">
      <c r="A914" s="710"/>
    </row>
    <row r="915" spans="1:1" x14ac:dyDescent="0.25">
      <c r="A915" s="710"/>
    </row>
    <row r="916" spans="1:1" x14ac:dyDescent="0.25">
      <c r="A916" s="710"/>
    </row>
    <row r="917" spans="1:1" x14ac:dyDescent="0.25">
      <c r="A917" s="710"/>
    </row>
    <row r="918" spans="1:1" x14ac:dyDescent="0.25">
      <c r="A918" s="710"/>
    </row>
    <row r="919" spans="1:1" x14ac:dyDescent="0.25">
      <c r="A919" s="710"/>
    </row>
    <row r="920" spans="1:1" x14ac:dyDescent="0.25">
      <c r="A920" s="710"/>
    </row>
    <row r="921" spans="1:1" x14ac:dyDescent="0.25">
      <c r="A921" s="710"/>
    </row>
    <row r="922" spans="1:1" x14ac:dyDescent="0.25">
      <c r="A922" s="710"/>
    </row>
    <row r="923" spans="1:1" x14ac:dyDescent="0.25">
      <c r="A923" s="710"/>
    </row>
    <row r="924" spans="1:1" x14ac:dyDescent="0.25">
      <c r="A924" s="710"/>
    </row>
    <row r="925" spans="1:1" x14ac:dyDescent="0.25">
      <c r="A925" s="710"/>
    </row>
    <row r="926" spans="1:1" x14ac:dyDescent="0.25">
      <c r="A926" s="710"/>
    </row>
    <row r="927" spans="1:1" x14ac:dyDescent="0.25">
      <c r="A927" s="710"/>
    </row>
    <row r="928" spans="1:1" x14ac:dyDescent="0.25">
      <c r="A928" s="710"/>
    </row>
    <row r="929" spans="1:1" x14ac:dyDescent="0.25">
      <c r="A929" s="710"/>
    </row>
    <row r="930" spans="1:1" x14ac:dyDescent="0.25">
      <c r="A930" s="710"/>
    </row>
    <row r="931" spans="1:1" x14ac:dyDescent="0.25">
      <c r="A931" s="710"/>
    </row>
    <row r="932" spans="1:1" x14ac:dyDescent="0.25">
      <c r="A932" s="710"/>
    </row>
    <row r="933" spans="1:1" x14ac:dyDescent="0.25">
      <c r="A933" s="710"/>
    </row>
    <row r="934" spans="1:1" x14ac:dyDescent="0.25">
      <c r="A934" s="710"/>
    </row>
    <row r="935" spans="1:1" x14ac:dyDescent="0.25">
      <c r="A935" s="710"/>
    </row>
    <row r="936" spans="1:1" x14ac:dyDescent="0.25">
      <c r="A936" s="710"/>
    </row>
    <row r="937" spans="1:1" x14ac:dyDescent="0.25">
      <c r="A937" s="710"/>
    </row>
    <row r="938" spans="1:1" x14ac:dyDescent="0.25">
      <c r="A938" s="710"/>
    </row>
    <row r="939" spans="1:1" x14ac:dyDescent="0.25">
      <c r="A939" s="710"/>
    </row>
    <row r="940" spans="1:1" x14ac:dyDescent="0.25">
      <c r="A940" s="710"/>
    </row>
    <row r="941" spans="1:1" x14ac:dyDescent="0.25">
      <c r="A941" s="710"/>
    </row>
    <row r="942" spans="1:1" x14ac:dyDescent="0.25">
      <c r="A942" s="710"/>
    </row>
    <row r="943" spans="1:1" x14ac:dyDescent="0.25">
      <c r="A943" s="710"/>
    </row>
    <row r="944" spans="1:1" x14ac:dyDescent="0.25">
      <c r="A944" s="710"/>
    </row>
    <row r="945" spans="1:1" x14ac:dyDescent="0.25">
      <c r="A945" s="710"/>
    </row>
    <row r="946" spans="1:1" x14ac:dyDescent="0.25">
      <c r="A946" s="710"/>
    </row>
    <row r="947" spans="1:1" x14ac:dyDescent="0.25">
      <c r="A947" s="710"/>
    </row>
    <row r="948" spans="1:1" x14ac:dyDescent="0.25">
      <c r="A948" s="710"/>
    </row>
    <row r="949" spans="1:1" x14ac:dyDescent="0.25">
      <c r="A949" s="710"/>
    </row>
    <row r="950" spans="1:1" x14ac:dyDescent="0.25">
      <c r="A950" s="710"/>
    </row>
    <row r="951" spans="1:1" x14ac:dyDescent="0.25">
      <c r="A951" s="710"/>
    </row>
    <row r="952" spans="1:1" x14ac:dyDescent="0.25">
      <c r="A952" s="710"/>
    </row>
    <row r="953" spans="1:1" x14ac:dyDescent="0.25">
      <c r="A953" s="710"/>
    </row>
    <row r="954" spans="1:1" x14ac:dyDescent="0.25">
      <c r="A954" s="710"/>
    </row>
    <row r="955" spans="1:1" x14ac:dyDescent="0.25">
      <c r="A955" s="710"/>
    </row>
    <row r="956" spans="1:1" x14ac:dyDescent="0.25">
      <c r="A956" s="710"/>
    </row>
    <row r="957" spans="1:1" x14ac:dyDescent="0.25">
      <c r="A957" s="710"/>
    </row>
    <row r="958" spans="1:1" x14ac:dyDescent="0.25">
      <c r="A958" s="710"/>
    </row>
    <row r="959" spans="1:1" x14ac:dyDescent="0.25">
      <c r="A959" s="710"/>
    </row>
    <row r="960" spans="1:1" x14ac:dyDescent="0.25">
      <c r="A960" s="710"/>
    </row>
    <row r="961" spans="1:1" x14ac:dyDescent="0.25">
      <c r="A961" s="710"/>
    </row>
    <row r="962" spans="1:1" x14ac:dyDescent="0.25">
      <c r="A962" s="710"/>
    </row>
    <row r="963" spans="1:1" x14ac:dyDescent="0.25">
      <c r="A963" s="710"/>
    </row>
    <row r="964" spans="1:1" x14ac:dyDescent="0.25">
      <c r="A964" s="710"/>
    </row>
    <row r="965" spans="1:1" x14ac:dyDescent="0.25">
      <c r="A965" s="710"/>
    </row>
    <row r="966" spans="1:1" x14ac:dyDescent="0.25">
      <c r="A966" s="710"/>
    </row>
    <row r="967" spans="1:1" x14ac:dyDescent="0.25">
      <c r="A967" s="710"/>
    </row>
    <row r="968" spans="1:1" x14ac:dyDescent="0.25">
      <c r="A968" s="710"/>
    </row>
    <row r="969" spans="1:1" x14ac:dyDescent="0.25">
      <c r="A969" s="710"/>
    </row>
    <row r="970" spans="1:1" x14ac:dyDescent="0.25">
      <c r="A970" s="710"/>
    </row>
    <row r="971" spans="1:1" x14ac:dyDescent="0.25">
      <c r="A971" s="710"/>
    </row>
    <row r="972" spans="1:1" x14ac:dyDescent="0.25">
      <c r="A972" s="710"/>
    </row>
    <row r="973" spans="1:1" x14ac:dyDescent="0.25">
      <c r="A973" s="710"/>
    </row>
    <row r="974" spans="1:1" x14ac:dyDescent="0.25">
      <c r="A974" s="710"/>
    </row>
    <row r="975" spans="1:1" x14ac:dyDescent="0.25">
      <c r="A975" s="710"/>
    </row>
    <row r="976" spans="1:1" x14ac:dyDescent="0.25">
      <c r="A976" s="710"/>
    </row>
    <row r="977" spans="1:1" x14ac:dyDescent="0.25">
      <c r="A977" s="710"/>
    </row>
    <row r="978" spans="1:1" x14ac:dyDescent="0.25">
      <c r="A978" s="710"/>
    </row>
    <row r="979" spans="1:1" x14ac:dyDescent="0.25">
      <c r="A979" s="710"/>
    </row>
    <row r="980" spans="1:1" x14ac:dyDescent="0.25">
      <c r="A980" s="710"/>
    </row>
    <row r="981" spans="1:1" x14ac:dyDescent="0.25">
      <c r="A981" s="710"/>
    </row>
    <row r="982" spans="1:1" x14ac:dyDescent="0.25">
      <c r="A982" s="710"/>
    </row>
    <row r="983" spans="1:1" x14ac:dyDescent="0.25">
      <c r="A983" s="710"/>
    </row>
    <row r="984" spans="1:1" x14ac:dyDescent="0.25">
      <c r="A984" s="710"/>
    </row>
    <row r="985" spans="1:1" x14ac:dyDescent="0.25">
      <c r="A985" s="710"/>
    </row>
    <row r="986" spans="1:1" x14ac:dyDescent="0.25">
      <c r="A986" s="710"/>
    </row>
    <row r="987" spans="1:1" x14ac:dyDescent="0.25">
      <c r="A987" s="710"/>
    </row>
    <row r="988" spans="1:1" x14ac:dyDescent="0.25">
      <c r="A988" s="710"/>
    </row>
    <row r="989" spans="1:1" x14ac:dyDescent="0.25">
      <c r="A989" s="710"/>
    </row>
    <row r="990" spans="1:1" x14ac:dyDescent="0.25">
      <c r="A990" s="710"/>
    </row>
    <row r="991" spans="1:1" x14ac:dyDescent="0.25">
      <c r="A991" s="710"/>
    </row>
    <row r="992" spans="1:1" x14ac:dyDescent="0.25">
      <c r="A992" s="710"/>
    </row>
    <row r="993" spans="1:1" x14ac:dyDescent="0.25">
      <c r="A993" s="710"/>
    </row>
    <row r="994" spans="1:1" x14ac:dyDescent="0.25">
      <c r="A994" s="710"/>
    </row>
    <row r="995" spans="1:1" x14ac:dyDescent="0.25">
      <c r="A995" s="710"/>
    </row>
    <row r="996" spans="1:1" x14ac:dyDescent="0.25">
      <c r="A996" s="710"/>
    </row>
    <row r="997" spans="1:1" x14ac:dyDescent="0.25">
      <c r="A997" s="710"/>
    </row>
    <row r="998" spans="1:1" x14ac:dyDescent="0.25">
      <c r="A998" s="710"/>
    </row>
    <row r="999" spans="1:1" x14ac:dyDescent="0.25">
      <c r="A999" s="710"/>
    </row>
    <row r="1000" spans="1:1" x14ac:dyDescent="0.25">
      <c r="A1000" s="710"/>
    </row>
    <row r="1001" spans="1:1" x14ac:dyDescent="0.25">
      <c r="A1001" s="710"/>
    </row>
    <row r="1002" spans="1:1" x14ac:dyDescent="0.25">
      <c r="A1002" s="710"/>
    </row>
    <row r="1003" spans="1:1" x14ac:dyDescent="0.25">
      <c r="A1003" s="710"/>
    </row>
    <row r="1004" spans="1:1" x14ac:dyDescent="0.25">
      <c r="A1004" s="710"/>
    </row>
    <row r="1005" spans="1:1" x14ac:dyDescent="0.25">
      <c r="A1005" s="710"/>
    </row>
    <row r="1006" spans="1:1" x14ac:dyDescent="0.25">
      <c r="A1006" s="710"/>
    </row>
    <row r="1007" spans="1:1" x14ac:dyDescent="0.25">
      <c r="A1007" s="710"/>
    </row>
    <row r="1008" spans="1:1" x14ac:dyDescent="0.25">
      <c r="A1008" s="710"/>
    </row>
    <row r="1009" spans="1:1" x14ac:dyDescent="0.25">
      <c r="A1009" s="710"/>
    </row>
    <row r="1010" spans="1:1" x14ac:dyDescent="0.25">
      <c r="A1010" s="710"/>
    </row>
    <row r="1011" spans="1:1" x14ac:dyDescent="0.25">
      <c r="A1011" s="710"/>
    </row>
    <row r="1012" spans="1:1" x14ac:dyDescent="0.25">
      <c r="A1012" s="710"/>
    </row>
    <row r="1013" spans="1:1" x14ac:dyDescent="0.25">
      <c r="A1013" s="710"/>
    </row>
    <row r="1014" spans="1:1" x14ac:dyDescent="0.25">
      <c r="A1014" s="710"/>
    </row>
    <row r="1015" spans="1:1" x14ac:dyDescent="0.25">
      <c r="A1015" s="710"/>
    </row>
    <row r="1016" spans="1:1" x14ac:dyDescent="0.25">
      <c r="A1016" s="710"/>
    </row>
    <row r="1017" spans="1:1" x14ac:dyDescent="0.25">
      <c r="A1017" s="710"/>
    </row>
    <row r="1018" spans="1:1" x14ac:dyDescent="0.25">
      <c r="A1018" s="710"/>
    </row>
    <row r="1019" spans="1:1" x14ac:dyDescent="0.25">
      <c r="A1019" s="710"/>
    </row>
    <row r="1020" spans="1:1" x14ac:dyDescent="0.25">
      <c r="A1020" s="710"/>
    </row>
    <row r="1021" spans="1:1" x14ac:dyDescent="0.25">
      <c r="A1021" s="710"/>
    </row>
    <row r="1022" spans="1:1" x14ac:dyDescent="0.25">
      <c r="A1022" s="710"/>
    </row>
    <row r="1023" spans="1:1" x14ac:dyDescent="0.25">
      <c r="A1023" s="710"/>
    </row>
    <row r="1024" spans="1:1" x14ac:dyDescent="0.25">
      <c r="A1024" s="710"/>
    </row>
    <row r="1025" spans="1:1" x14ac:dyDescent="0.25">
      <c r="A1025" s="710"/>
    </row>
    <row r="1026" spans="1:1" x14ac:dyDescent="0.25">
      <c r="A1026" s="710"/>
    </row>
    <row r="1027" spans="1:1" x14ac:dyDescent="0.25">
      <c r="A1027" s="710"/>
    </row>
    <row r="1028" spans="1:1" x14ac:dyDescent="0.25">
      <c r="A1028" s="710"/>
    </row>
    <row r="1029" spans="1:1" x14ac:dyDescent="0.25">
      <c r="A1029" s="710"/>
    </row>
    <row r="1030" spans="1:1" x14ac:dyDescent="0.25">
      <c r="A1030" s="710"/>
    </row>
    <row r="1031" spans="1:1" x14ac:dyDescent="0.25">
      <c r="A1031" s="710"/>
    </row>
    <row r="1032" spans="1:1" x14ac:dyDescent="0.25">
      <c r="A1032" s="710"/>
    </row>
    <row r="1033" spans="1:1" x14ac:dyDescent="0.25">
      <c r="A1033" s="710"/>
    </row>
    <row r="1034" spans="1:1" x14ac:dyDescent="0.25">
      <c r="A1034" s="710"/>
    </row>
    <row r="1035" spans="1:1" x14ac:dyDescent="0.25">
      <c r="A1035" s="710"/>
    </row>
    <row r="1036" spans="1:1" x14ac:dyDescent="0.25">
      <c r="A1036" s="710"/>
    </row>
    <row r="1037" spans="1:1" x14ac:dyDescent="0.25">
      <c r="A1037" s="710"/>
    </row>
    <row r="1038" spans="1:1" x14ac:dyDescent="0.25">
      <c r="A1038" s="710"/>
    </row>
    <row r="1039" spans="1:1" x14ac:dyDescent="0.25">
      <c r="A1039" s="710"/>
    </row>
    <row r="1040" spans="1:1" x14ac:dyDescent="0.25">
      <c r="A1040" s="710"/>
    </row>
    <row r="1041" spans="1:1" x14ac:dyDescent="0.25">
      <c r="A1041" s="710"/>
    </row>
    <row r="1042" spans="1:1" x14ac:dyDescent="0.25">
      <c r="A1042" s="710"/>
    </row>
    <row r="1043" spans="1:1" x14ac:dyDescent="0.25">
      <c r="A1043" s="710"/>
    </row>
    <row r="1044" spans="1:1" x14ac:dyDescent="0.25">
      <c r="A1044" s="710"/>
    </row>
    <row r="1045" spans="1:1" x14ac:dyDescent="0.25">
      <c r="A1045" s="710"/>
    </row>
    <row r="1046" spans="1:1" x14ac:dyDescent="0.25">
      <c r="A1046" s="710"/>
    </row>
    <row r="1047" spans="1:1" x14ac:dyDescent="0.25">
      <c r="A1047" s="710"/>
    </row>
    <row r="1048" spans="1:1" x14ac:dyDescent="0.25">
      <c r="A1048" s="710"/>
    </row>
    <row r="1049" spans="1:1" x14ac:dyDescent="0.25">
      <c r="A1049" s="710"/>
    </row>
    <row r="1050" spans="1:1" x14ac:dyDescent="0.25">
      <c r="A1050" s="710"/>
    </row>
    <row r="1051" spans="1:1" x14ac:dyDescent="0.25">
      <c r="A1051" s="710"/>
    </row>
    <row r="1052" spans="1:1" x14ac:dyDescent="0.25">
      <c r="A1052" s="710"/>
    </row>
    <row r="1053" spans="1:1" x14ac:dyDescent="0.25">
      <c r="A1053" s="710"/>
    </row>
    <row r="1054" spans="1:1" x14ac:dyDescent="0.25">
      <c r="A1054" s="710"/>
    </row>
    <row r="1055" spans="1:1" x14ac:dyDescent="0.25">
      <c r="A1055" s="710"/>
    </row>
    <row r="1056" spans="1:1" x14ac:dyDescent="0.25">
      <c r="A1056" s="710"/>
    </row>
    <row r="1057" spans="1:1" x14ac:dyDescent="0.25">
      <c r="A1057" s="710"/>
    </row>
    <row r="1058" spans="1:1" x14ac:dyDescent="0.25">
      <c r="A1058" s="710"/>
    </row>
    <row r="1059" spans="1:1" x14ac:dyDescent="0.25">
      <c r="A1059" s="710"/>
    </row>
    <row r="1060" spans="1:1" x14ac:dyDescent="0.25">
      <c r="A1060" s="710"/>
    </row>
    <row r="1061" spans="1:1" x14ac:dyDescent="0.25">
      <c r="A1061" s="710"/>
    </row>
    <row r="1062" spans="1:1" x14ac:dyDescent="0.25">
      <c r="A1062" s="710"/>
    </row>
    <row r="1063" spans="1:1" x14ac:dyDescent="0.25">
      <c r="A1063" s="710"/>
    </row>
    <row r="1064" spans="1:1" x14ac:dyDescent="0.25">
      <c r="A1064" s="710"/>
    </row>
    <row r="1065" spans="1:1" x14ac:dyDescent="0.25">
      <c r="A1065" s="710"/>
    </row>
    <row r="1066" spans="1:1" x14ac:dyDescent="0.25">
      <c r="A1066" s="710"/>
    </row>
    <row r="1067" spans="1:1" x14ac:dyDescent="0.25">
      <c r="A1067" s="710"/>
    </row>
    <row r="1068" spans="1:1" x14ac:dyDescent="0.25">
      <c r="A1068" s="710"/>
    </row>
    <row r="1069" spans="1:1" x14ac:dyDescent="0.25">
      <c r="A1069" s="710"/>
    </row>
    <row r="1070" spans="1:1" x14ac:dyDescent="0.25">
      <c r="A1070" s="710"/>
    </row>
    <row r="1071" spans="1:1" x14ac:dyDescent="0.25">
      <c r="A1071" s="710"/>
    </row>
    <row r="1072" spans="1:1" x14ac:dyDescent="0.25">
      <c r="A1072" s="710"/>
    </row>
    <row r="1073" spans="1:1" x14ac:dyDescent="0.25">
      <c r="A1073" s="710"/>
    </row>
    <row r="1074" spans="1:1" x14ac:dyDescent="0.25">
      <c r="A1074" s="710"/>
    </row>
    <row r="1075" spans="1:1" x14ac:dyDescent="0.25">
      <c r="A1075" s="710"/>
    </row>
    <row r="1076" spans="1:1" x14ac:dyDescent="0.25">
      <c r="A1076" s="710"/>
    </row>
    <row r="1077" spans="1:1" x14ac:dyDescent="0.25">
      <c r="A1077" s="710"/>
    </row>
    <row r="1078" spans="1:1" x14ac:dyDescent="0.25">
      <c r="A1078" s="710"/>
    </row>
    <row r="1079" spans="1:1" x14ac:dyDescent="0.25">
      <c r="A1079" s="710"/>
    </row>
    <row r="1080" spans="1:1" x14ac:dyDescent="0.25">
      <c r="A1080" s="710"/>
    </row>
    <row r="1081" spans="1:1" x14ac:dyDescent="0.25">
      <c r="A1081" s="710"/>
    </row>
    <row r="1082" spans="1:1" x14ac:dyDescent="0.25">
      <c r="A1082" s="710"/>
    </row>
    <row r="1083" spans="1:1" x14ac:dyDescent="0.25">
      <c r="A1083" s="710"/>
    </row>
    <row r="1084" spans="1:1" x14ac:dyDescent="0.25">
      <c r="A1084" s="710"/>
    </row>
    <row r="1085" spans="1:1" x14ac:dyDescent="0.25">
      <c r="A1085" s="710"/>
    </row>
    <row r="1086" spans="1:1" x14ac:dyDescent="0.25">
      <c r="A1086" s="710"/>
    </row>
    <row r="1087" spans="1:1" x14ac:dyDescent="0.25">
      <c r="A1087" s="710"/>
    </row>
    <row r="1088" spans="1:1" x14ac:dyDescent="0.25">
      <c r="A1088" s="710"/>
    </row>
    <row r="1089" spans="1:1" x14ac:dyDescent="0.25">
      <c r="A1089" s="710"/>
    </row>
    <row r="1090" spans="1:1" x14ac:dyDescent="0.25">
      <c r="A1090" s="710"/>
    </row>
    <row r="1091" spans="1:1" x14ac:dyDescent="0.25">
      <c r="A1091" s="710"/>
    </row>
    <row r="1092" spans="1:1" x14ac:dyDescent="0.25">
      <c r="A1092" s="710"/>
    </row>
    <row r="1093" spans="1:1" x14ac:dyDescent="0.25">
      <c r="A1093" s="710"/>
    </row>
    <row r="1094" spans="1:1" x14ac:dyDescent="0.25">
      <c r="A1094" s="710"/>
    </row>
    <row r="1095" spans="1:1" x14ac:dyDescent="0.25">
      <c r="A1095" s="710"/>
    </row>
    <row r="1096" spans="1:1" x14ac:dyDescent="0.25">
      <c r="A1096" s="710"/>
    </row>
    <row r="1097" spans="1:1" x14ac:dyDescent="0.25">
      <c r="A1097" s="710"/>
    </row>
    <row r="1098" spans="1:1" x14ac:dyDescent="0.25">
      <c r="A1098" s="710"/>
    </row>
    <row r="1099" spans="1:1" x14ac:dyDescent="0.25">
      <c r="A1099" s="710"/>
    </row>
    <row r="1100" spans="1:1" x14ac:dyDescent="0.25">
      <c r="A1100" s="710"/>
    </row>
    <row r="1101" spans="1:1" x14ac:dyDescent="0.25">
      <c r="A1101" s="710"/>
    </row>
    <row r="1102" spans="1:1" x14ac:dyDescent="0.25">
      <c r="A1102" s="710"/>
    </row>
    <row r="1103" spans="1:1" x14ac:dyDescent="0.25">
      <c r="A1103" s="710"/>
    </row>
    <row r="1104" spans="1:1" x14ac:dyDescent="0.25">
      <c r="A1104" s="710"/>
    </row>
    <row r="1105" spans="1:1" x14ac:dyDescent="0.25">
      <c r="A1105" s="710"/>
    </row>
    <row r="1106" spans="1:1" x14ac:dyDescent="0.25">
      <c r="A1106" s="710"/>
    </row>
    <row r="1107" spans="1:1" x14ac:dyDescent="0.25">
      <c r="A1107" s="710"/>
    </row>
    <row r="1108" spans="1:1" x14ac:dyDescent="0.25">
      <c r="A1108" s="710"/>
    </row>
    <row r="1109" spans="1:1" x14ac:dyDescent="0.25">
      <c r="A1109" s="710"/>
    </row>
    <row r="1110" spans="1:1" x14ac:dyDescent="0.25">
      <c r="A1110" s="710"/>
    </row>
    <row r="1111" spans="1:1" x14ac:dyDescent="0.25">
      <c r="A1111" s="710"/>
    </row>
    <row r="1112" spans="1:1" x14ac:dyDescent="0.25">
      <c r="A1112" s="710"/>
    </row>
    <row r="1113" spans="1:1" x14ac:dyDescent="0.25">
      <c r="A1113" s="710"/>
    </row>
    <row r="1114" spans="1:1" x14ac:dyDescent="0.25">
      <c r="A1114" s="710"/>
    </row>
    <row r="1115" spans="1:1" x14ac:dyDescent="0.25">
      <c r="A1115" s="710"/>
    </row>
    <row r="1116" spans="1:1" x14ac:dyDescent="0.25">
      <c r="A1116" s="710"/>
    </row>
    <row r="1117" spans="1:1" x14ac:dyDescent="0.25">
      <c r="A1117" s="710"/>
    </row>
    <row r="1118" spans="1:1" x14ac:dyDescent="0.25">
      <c r="A1118" s="710"/>
    </row>
    <row r="1119" spans="1:1" x14ac:dyDescent="0.25">
      <c r="A1119" s="710"/>
    </row>
    <row r="1120" spans="1:1" x14ac:dyDescent="0.25">
      <c r="A1120" s="710"/>
    </row>
    <row r="1121" spans="1:1" x14ac:dyDescent="0.25">
      <c r="A1121" s="710"/>
    </row>
    <row r="1122" spans="1:1" x14ac:dyDescent="0.25">
      <c r="A1122" s="710"/>
    </row>
    <row r="1123" spans="1:1" x14ac:dyDescent="0.25">
      <c r="A1123" s="710"/>
    </row>
    <row r="1124" spans="1:1" x14ac:dyDescent="0.25">
      <c r="A1124" s="710"/>
    </row>
    <row r="1125" spans="1:1" x14ac:dyDescent="0.25">
      <c r="A1125" s="710"/>
    </row>
    <row r="1126" spans="1:1" x14ac:dyDescent="0.25">
      <c r="A1126" s="710"/>
    </row>
    <row r="1127" spans="1:1" x14ac:dyDescent="0.25">
      <c r="A1127" s="710"/>
    </row>
    <row r="1128" spans="1:1" x14ac:dyDescent="0.25">
      <c r="A1128" s="710"/>
    </row>
    <row r="1129" spans="1:1" x14ac:dyDescent="0.25">
      <c r="A1129" s="710"/>
    </row>
    <row r="1130" spans="1:1" x14ac:dyDescent="0.25">
      <c r="A1130" s="710"/>
    </row>
    <row r="1131" spans="1:1" x14ac:dyDescent="0.25">
      <c r="A1131" s="710"/>
    </row>
    <row r="1132" spans="1:1" x14ac:dyDescent="0.25">
      <c r="A1132" s="710"/>
    </row>
    <row r="1133" spans="1:1" x14ac:dyDescent="0.25">
      <c r="A1133" s="710"/>
    </row>
    <row r="1134" spans="1:1" x14ac:dyDescent="0.25">
      <c r="A1134" s="710"/>
    </row>
    <row r="1135" spans="1:1" x14ac:dyDescent="0.25">
      <c r="A1135" s="710"/>
    </row>
    <row r="1136" spans="1:1" x14ac:dyDescent="0.25">
      <c r="A1136" s="710"/>
    </row>
    <row r="1137" spans="1:1" x14ac:dyDescent="0.25">
      <c r="A1137" s="710"/>
    </row>
    <row r="1138" spans="1:1" x14ac:dyDescent="0.25">
      <c r="A1138" s="710"/>
    </row>
    <row r="1139" spans="1:1" x14ac:dyDescent="0.25">
      <c r="A1139" s="710"/>
    </row>
    <row r="1140" spans="1:1" x14ac:dyDescent="0.25">
      <c r="A1140" s="710"/>
    </row>
    <row r="1141" spans="1:1" x14ac:dyDescent="0.25">
      <c r="A1141" s="710"/>
    </row>
    <row r="1142" spans="1:1" x14ac:dyDescent="0.25">
      <c r="A1142" s="710"/>
    </row>
    <row r="1143" spans="1:1" x14ac:dyDescent="0.25">
      <c r="A1143" s="710"/>
    </row>
    <row r="1144" spans="1:1" x14ac:dyDescent="0.25">
      <c r="A1144" s="710"/>
    </row>
    <row r="1145" spans="1:1" x14ac:dyDescent="0.25">
      <c r="A1145" s="710"/>
    </row>
    <row r="1146" spans="1:1" x14ac:dyDescent="0.25">
      <c r="A1146" s="710"/>
    </row>
    <row r="1147" spans="1:1" x14ac:dyDescent="0.25">
      <c r="A1147" s="710"/>
    </row>
    <row r="1148" spans="1:1" x14ac:dyDescent="0.25">
      <c r="A1148" s="710"/>
    </row>
    <row r="1149" spans="1:1" x14ac:dyDescent="0.25">
      <c r="A1149" s="710"/>
    </row>
    <row r="1150" spans="1:1" x14ac:dyDescent="0.25">
      <c r="A1150" s="710"/>
    </row>
    <row r="1151" spans="1:1" x14ac:dyDescent="0.25">
      <c r="A1151" s="710"/>
    </row>
    <row r="1152" spans="1:1" x14ac:dyDescent="0.25">
      <c r="A1152" s="710"/>
    </row>
    <row r="1153" spans="1:1" x14ac:dyDescent="0.25">
      <c r="A1153" s="710"/>
    </row>
    <row r="1154" spans="1:1" x14ac:dyDescent="0.25">
      <c r="A1154" s="710"/>
    </row>
    <row r="1155" spans="1:1" x14ac:dyDescent="0.25">
      <c r="A1155" s="710"/>
    </row>
    <row r="1156" spans="1:1" x14ac:dyDescent="0.25">
      <c r="A1156" s="710"/>
    </row>
    <row r="1157" spans="1:1" x14ac:dyDescent="0.25">
      <c r="A1157" s="710"/>
    </row>
    <row r="1158" spans="1:1" x14ac:dyDescent="0.25">
      <c r="A1158" s="710"/>
    </row>
    <row r="1159" spans="1:1" x14ac:dyDescent="0.25">
      <c r="A1159" s="710"/>
    </row>
    <row r="1160" spans="1:1" x14ac:dyDescent="0.25">
      <c r="A1160" s="710"/>
    </row>
    <row r="1161" spans="1:1" x14ac:dyDescent="0.25">
      <c r="A1161" s="710"/>
    </row>
    <row r="1162" spans="1:1" x14ac:dyDescent="0.25">
      <c r="A1162" s="710"/>
    </row>
    <row r="1163" spans="1:1" x14ac:dyDescent="0.25">
      <c r="A1163" s="710"/>
    </row>
    <row r="1164" spans="1:1" x14ac:dyDescent="0.25">
      <c r="A1164" s="710"/>
    </row>
    <row r="1165" spans="1:1" x14ac:dyDescent="0.25">
      <c r="A1165" s="710"/>
    </row>
    <row r="1166" spans="1:1" x14ac:dyDescent="0.25">
      <c r="A1166" s="710"/>
    </row>
    <row r="1167" spans="1:1" x14ac:dyDescent="0.25">
      <c r="A1167" s="710"/>
    </row>
    <row r="1168" spans="1:1" x14ac:dyDescent="0.25">
      <c r="A1168" s="710"/>
    </row>
    <row r="1169" spans="1:1" x14ac:dyDescent="0.25">
      <c r="A1169" s="710"/>
    </row>
    <row r="1170" spans="1:1" x14ac:dyDescent="0.25">
      <c r="A1170" s="710"/>
    </row>
    <row r="1171" spans="1:1" x14ac:dyDescent="0.25">
      <c r="A1171" s="710"/>
    </row>
    <row r="1172" spans="1:1" x14ac:dyDescent="0.25">
      <c r="A1172" s="710"/>
    </row>
    <row r="1173" spans="1:1" x14ac:dyDescent="0.25">
      <c r="A1173" s="710"/>
    </row>
    <row r="1174" spans="1:1" x14ac:dyDescent="0.25">
      <c r="A1174" s="710"/>
    </row>
    <row r="1175" spans="1:1" x14ac:dyDescent="0.25">
      <c r="A1175" s="710"/>
    </row>
    <row r="1176" spans="1:1" x14ac:dyDescent="0.25">
      <c r="A1176" s="710"/>
    </row>
    <row r="1177" spans="1:1" x14ac:dyDescent="0.25">
      <c r="A1177" s="710"/>
    </row>
    <row r="1178" spans="1:1" x14ac:dyDescent="0.25">
      <c r="A1178" s="710"/>
    </row>
    <row r="1179" spans="1:1" x14ac:dyDescent="0.25">
      <c r="A1179" s="710"/>
    </row>
    <row r="1180" spans="1:1" x14ac:dyDescent="0.25">
      <c r="A1180" s="710"/>
    </row>
    <row r="1181" spans="1:1" x14ac:dyDescent="0.25">
      <c r="A1181" s="710"/>
    </row>
    <row r="1182" spans="1:1" x14ac:dyDescent="0.25">
      <c r="A1182" s="710"/>
    </row>
    <row r="1183" spans="1:1" x14ac:dyDescent="0.25">
      <c r="A1183" s="710"/>
    </row>
    <row r="1184" spans="1:1" x14ac:dyDescent="0.25">
      <c r="A1184" s="710"/>
    </row>
    <row r="1185" spans="1:1" x14ac:dyDescent="0.25">
      <c r="A1185" s="710"/>
    </row>
    <row r="1186" spans="1:1" x14ac:dyDescent="0.25">
      <c r="A1186" s="710"/>
    </row>
    <row r="1187" spans="1:1" x14ac:dyDescent="0.25">
      <c r="A1187" s="710"/>
    </row>
    <row r="1188" spans="1:1" x14ac:dyDescent="0.25">
      <c r="A1188" s="710"/>
    </row>
    <row r="1189" spans="1:1" x14ac:dyDescent="0.25">
      <c r="A1189" s="710"/>
    </row>
    <row r="1190" spans="1:1" x14ac:dyDescent="0.25">
      <c r="A1190" s="710"/>
    </row>
    <row r="1191" spans="1:1" x14ac:dyDescent="0.25">
      <c r="A1191" s="710"/>
    </row>
    <row r="1192" spans="1:1" x14ac:dyDescent="0.25">
      <c r="A1192" s="710"/>
    </row>
    <row r="1193" spans="1:1" x14ac:dyDescent="0.25">
      <c r="A1193" s="710"/>
    </row>
    <row r="1194" spans="1:1" x14ac:dyDescent="0.25">
      <c r="A1194" s="710"/>
    </row>
    <row r="1195" spans="1:1" x14ac:dyDescent="0.25">
      <c r="A1195" s="710"/>
    </row>
    <row r="1196" spans="1:1" x14ac:dyDescent="0.25">
      <c r="A1196" s="710"/>
    </row>
    <row r="1197" spans="1:1" x14ac:dyDescent="0.25">
      <c r="A1197" s="710"/>
    </row>
    <row r="1198" spans="1:1" x14ac:dyDescent="0.25">
      <c r="A1198" s="710"/>
    </row>
    <row r="1199" spans="1:1" x14ac:dyDescent="0.25">
      <c r="A1199" s="710"/>
    </row>
    <row r="1200" spans="1:1" x14ac:dyDescent="0.25">
      <c r="A1200" s="710"/>
    </row>
    <row r="1201" spans="1:1" x14ac:dyDescent="0.25">
      <c r="A1201" s="710"/>
    </row>
    <row r="1202" spans="1:1" x14ac:dyDescent="0.25">
      <c r="A1202" s="710"/>
    </row>
    <row r="1203" spans="1:1" x14ac:dyDescent="0.25">
      <c r="A1203" s="710"/>
    </row>
    <row r="1204" spans="1:1" x14ac:dyDescent="0.25">
      <c r="A1204" s="710"/>
    </row>
    <row r="1205" spans="1:1" x14ac:dyDescent="0.25">
      <c r="A1205" s="710"/>
    </row>
    <row r="1206" spans="1:1" x14ac:dyDescent="0.25">
      <c r="A1206" s="710"/>
    </row>
    <row r="1207" spans="1:1" x14ac:dyDescent="0.25">
      <c r="A1207" s="710"/>
    </row>
    <row r="1208" spans="1:1" x14ac:dyDescent="0.25">
      <c r="A1208" s="710"/>
    </row>
    <row r="1209" spans="1:1" x14ac:dyDescent="0.25">
      <c r="A1209" s="710"/>
    </row>
    <row r="1210" spans="1:1" x14ac:dyDescent="0.25">
      <c r="A1210" s="710"/>
    </row>
    <row r="1211" spans="1:1" x14ac:dyDescent="0.25">
      <c r="A1211" s="710"/>
    </row>
    <row r="1212" spans="1:1" x14ac:dyDescent="0.25">
      <c r="A1212" s="710"/>
    </row>
    <row r="1213" spans="1:1" x14ac:dyDescent="0.25">
      <c r="A1213" s="710"/>
    </row>
    <row r="1214" spans="1:1" x14ac:dyDescent="0.25">
      <c r="A1214" s="710"/>
    </row>
    <row r="1215" spans="1:1" x14ac:dyDescent="0.25">
      <c r="A1215" s="710"/>
    </row>
    <row r="1216" spans="1:1" x14ac:dyDescent="0.25">
      <c r="A1216" s="710"/>
    </row>
    <row r="1217" spans="1:1" x14ac:dyDescent="0.25">
      <c r="A1217" s="710"/>
    </row>
    <row r="1218" spans="1:1" x14ac:dyDescent="0.25">
      <c r="A1218" s="710"/>
    </row>
    <row r="1219" spans="1:1" x14ac:dyDescent="0.25">
      <c r="A1219" s="710"/>
    </row>
    <row r="1220" spans="1:1" x14ac:dyDescent="0.25">
      <c r="A1220" s="710"/>
    </row>
    <row r="1221" spans="1:1" x14ac:dyDescent="0.25">
      <c r="A1221" s="710"/>
    </row>
    <row r="1222" spans="1:1" x14ac:dyDescent="0.25">
      <c r="A1222" s="710"/>
    </row>
    <row r="1223" spans="1:1" x14ac:dyDescent="0.25">
      <c r="A1223" s="710"/>
    </row>
    <row r="1224" spans="1:1" x14ac:dyDescent="0.25">
      <c r="A1224" s="710"/>
    </row>
    <row r="1225" spans="1:1" x14ac:dyDescent="0.25">
      <c r="A1225" s="710"/>
    </row>
    <row r="1226" spans="1:1" x14ac:dyDescent="0.25">
      <c r="A1226" s="710"/>
    </row>
    <row r="1227" spans="1:1" x14ac:dyDescent="0.25">
      <c r="A1227" s="710"/>
    </row>
    <row r="1228" spans="1:1" x14ac:dyDescent="0.25">
      <c r="A1228" s="710"/>
    </row>
    <row r="1229" spans="1:1" x14ac:dyDescent="0.25">
      <c r="A1229" s="710"/>
    </row>
    <row r="1230" spans="1:1" x14ac:dyDescent="0.25">
      <c r="A1230" s="710"/>
    </row>
    <row r="1231" spans="1:1" x14ac:dyDescent="0.25">
      <c r="A1231" s="710"/>
    </row>
    <row r="1232" spans="1:1" x14ac:dyDescent="0.25">
      <c r="A1232" s="710"/>
    </row>
    <row r="1233" spans="1:1" x14ac:dyDescent="0.25">
      <c r="A1233" s="710"/>
    </row>
    <row r="1234" spans="1:1" x14ac:dyDescent="0.25">
      <c r="A1234" s="710"/>
    </row>
    <row r="1235" spans="1:1" x14ac:dyDescent="0.25">
      <c r="A1235" s="710"/>
    </row>
    <row r="1236" spans="1:1" x14ac:dyDescent="0.25">
      <c r="A1236" s="710"/>
    </row>
    <row r="1237" spans="1:1" x14ac:dyDescent="0.25">
      <c r="A1237" s="710"/>
    </row>
    <row r="1238" spans="1:1" x14ac:dyDescent="0.25">
      <c r="A1238" s="710"/>
    </row>
    <row r="1239" spans="1:1" x14ac:dyDescent="0.25">
      <c r="A1239" s="710"/>
    </row>
    <row r="1240" spans="1:1" x14ac:dyDescent="0.25">
      <c r="A1240" s="710"/>
    </row>
    <row r="1241" spans="1:1" x14ac:dyDescent="0.25">
      <c r="A1241" s="710"/>
    </row>
    <row r="1242" spans="1:1" x14ac:dyDescent="0.25">
      <c r="A1242" s="710"/>
    </row>
    <row r="1243" spans="1:1" x14ac:dyDescent="0.25">
      <c r="A1243" s="710"/>
    </row>
    <row r="1244" spans="1:1" x14ac:dyDescent="0.25">
      <c r="A1244" s="710"/>
    </row>
    <row r="1245" spans="1:1" x14ac:dyDescent="0.25">
      <c r="A1245" s="710"/>
    </row>
    <row r="1246" spans="1:1" x14ac:dyDescent="0.25">
      <c r="A1246" s="710"/>
    </row>
    <row r="1247" spans="1:1" x14ac:dyDescent="0.25">
      <c r="A1247" s="710"/>
    </row>
    <row r="1248" spans="1:1" x14ac:dyDescent="0.25">
      <c r="A1248" s="710"/>
    </row>
    <row r="1249" spans="1:1" x14ac:dyDescent="0.25">
      <c r="A1249" s="710"/>
    </row>
    <row r="1250" spans="1:1" x14ac:dyDescent="0.25">
      <c r="A1250" s="710"/>
    </row>
    <row r="1251" spans="1:1" x14ac:dyDescent="0.25">
      <c r="A1251" s="710"/>
    </row>
    <row r="1252" spans="1:1" x14ac:dyDescent="0.25">
      <c r="A1252" s="710"/>
    </row>
    <row r="1253" spans="1:1" x14ac:dyDescent="0.25">
      <c r="A1253" s="710"/>
    </row>
    <row r="1254" spans="1:1" x14ac:dyDescent="0.25">
      <c r="A1254" s="710"/>
    </row>
    <row r="1255" spans="1:1" x14ac:dyDescent="0.25">
      <c r="A1255" s="710"/>
    </row>
    <row r="1256" spans="1:1" x14ac:dyDescent="0.25">
      <c r="A1256" s="710"/>
    </row>
    <row r="1257" spans="1:1" x14ac:dyDescent="0.25">
      <c r="A1257" s="710"/>
    </row>
    <row r="1258" spans="1:1" x14ac:dyDescent="0.25">
      <c r="A1258" s="710"/>
    </row>
    <row r="1259" spans="1:1" x14ac:dyDescent="0.25">
      <c r="A1259" s="710"/>
    </row>
    <row r="1260" spans="1:1" x14ac:dyDescent="0.25">
      <c r="A1260" s="710"/>
    </row>
    <row r="1261" spans="1:1" x14ac:dyDescent="0.25">
      <c r="A1261" s="710"/>
    </row>
    <row r="1262" spans="1:1" x14ac:dyDescent="0.25">
      <c r="A1262" s="710"/>
    </row>
    <row r="1263" spans="1:1" x14ac:dyDescent="0.25">
      <c r="A1263" s="710"/>
    </row>
    <row r="1264" spans="1:1" x14ac:dyDescent="0.25">
      <c r="A1264" s="710"/>
    </row>
    <row r="1265" spans="1:1" x14ac:dyDescent="0.25">
      <c r="A1265" s="710"/>
    </row>
    <row r="1266" spans="1:1" x14ac:dyDescent="0.25">
      <c r="A1266" s="710"/>
    </row>
    <row r="1267" spans="1:1" x14ac:dyDescent="0.25">
      <c r="A1267" s="710"/>
    </row>
    <row r="1268" spans="1:1" x14ac:dyDescent="0.25">
      <c r="A1268" s="710"/>
    </row>
    <row r="1269" spans="1:1" x14ac:dyDescent="0.25">
      <c r="A1269" s="710"/>
    </row>
    <row r="1270" spans="1:1" x14ac:dyDescent="0.25">
      <c r="A1270" s="710"/>
    </row>
    <row r="1271" spans="1:1" x14ac:dyDescent="0.25">
      <c r="A1271" s="710"/>
    </row>
    <row r="1272" spans="1:1" x14ac:dyDescent="0.25">
      <c r="A1272" s="710"/>
    </row>
    <row r="1273" spans="1:1" x14ac:dyDescent="0.25">
      <c r="A1273" s="710"/>
    </row>
    <row r="1274" spans="1:1" x14ac:dyDescent="0.25">
      <c r="A1274" s="710"/>
    </row>
    <row r="1275" spans="1:1" x14ac:dyDescent="0.25">
      <c r="A1275" s="710"/>
    </row>
    <row r="1276" spans="1:1" x14ac:dyDescent="0.25">
      <c r="A1276" s="710"/>
    </row>
    <row r="1277" spans="1:1" x14ac:dyDescent="0.25">
      <c r="A1277" s="710"/>
    </row>
    <row r="1278" spans="1:1" x14ac:dyDescent="0.25">
      <c r="A1278" s="710"/>
    </row>
    <row r="1279" spans="1:1" x14ac:dyDescent="0.25">
      <c r="A1279" s="710"/>
    </row>
    <row r="1280" spans="1:1" x14ac:dyDescent="0.25">
      <c r="A1280" s="710"/>
    </row>
    <row r="1281" spans="1:1" x14ac:dyDescent="0.25">
      <c r="A1281" s="710"/>
    </row>
    <row r="1282" spans="1:1" x14ac:dyDescent="0.25">
      <c r="A1282" s="710"/>
    </row>
    <row r="1283" spans="1:1" x14ac:dyDescent="0.25">
      <c r="A1283" s="710"/>
    </row>
    <row r="1284" spans="1:1" x14ac:dyDescent="0.25">
      <c r="A1284" s="710"/>
    </row>
    <row r="1285" spans="1:1" x14ac:dyDescent="0.25">
      <c r="A1285" s="710"/>
    </row>
    <row r="1286" spans="1:1" x14ac:dyDescent="0.25">
      <c r="A1286" s="710"/>
    </row>
    <row r="1287" spans="1:1" x14ac:dyDescent="0.25">
      <c r="A1287" s="710"/>
    </row>
    <row r="1288" spans="1:1" x14ac:dyDescent="0.25">
      <c r="A1288" s="710"/>
    </row>
    <row r="1289" spans="1:1" x14ac:dyDescent="0.25">
      <c r="A1289" s="710"/>
    </row>
    <row r="1290" spans="1:1" x14ac:dyDescent="0.25">
      <c r="A1290" s="710"/>
    </row>
    <row r="1291" spans="1:1" x14ac:dyDescent="0.25">
      <c r="A1291" s="710"/>
    </row>
    <row r="1292" spans="1:1" x14ac:dyDescent="0.25">
      <c r="A1292" s="710"/>
    </row>
    <row r="1293" spans="1:1" x14ac:dyDescent="0.25">
      <c r="A1293" s="710"/>
    </row>
    <row r="1294" spans="1:1" x14ac:dyDescent="0.25">
      <c r="A1294" s="710"/>
    </row>
    <row r="1295" spans="1:1" x14ac:dyDescent="0.25">
      <c r="A1295" s="710"/>
    </row>
    <row r="1296" spans="1:1" x14ac:dyDescent="0.25">
      <c r="A1296" s="710"/>
    </row>
    <row r="1297" spans="1:1" x14ac:dyDescent="0.25">
      <c r="A1297" s="710"/>
    </row>
    <row r="1298" spans="1:1" x14ac:dyDescent="0.25">
      <c r="A1298" s="710"/>
    </row>
    <row r="1299" spans="1:1" x14ac:dyDescent="0.25">
      <c r="A1299" s="710"/>
    </row>
    <row r="1300" spans="1:1" x14ac:dyDescent="0.25">
      <c r="A1300" s="710"/>
    </row>
    <row r="1301" spans="1:1" x14ac:dyDescent="0.25">
      <c r="A1301" s="710"/>
    </row>
    <row r="1302" spans="1:1" x14ac:dyDescent="0.25">
      <c r="A1302" s="710"/>
    </row>
    <row r="1303" spans="1:1" x14ac:dyDescent="0.25">
      <c r="A1303" s="710"/>
    </row>
    <row r="1304" spans="1:1" x14ac:dyDescent="0.25">
      <c r="A1304" s="710"/>
    </row>
    <row r="1305" spans="1:1" x14ac:dyDescent="0.25">
      <c r="A1305" s="710"/>
    </row>
    <row r="1306" spans="1:1" x14ac:dyDescent="0.25">
      <c r="A1306" s="710"/>
    </row>
    <row r="1307" spans="1:1" x14ac:dyDescent="0.25">
      <c r="A1307" s="710"/>
    </row>
    <row r="1308" spans="1:1" x14ac:dyDescent="0.25">
      <c r="A1308" s="710"/>
    </row>
    <row r="1309" spans="1:1" x14ac:dyDescent="0.25">
      <c r="A1309" s="710"/>
    </row>
    <row r="1310" spans="1:1" x14ac:dyDescent="0.25">
      <c r="A1310" s="710"/>
    </row>
    <row r="1311" spans="1:1" x14ac:dyDescent="0.25">
      <c r="A1311" s="710"/>
    </row>
    <row r="1312" spans="1:1" x14ac:dyDescent="0.25">
      <c r="A1312" s="710"/>
    </row>
    <row r="1313" spans="1:1" x14ac:dyDescent="0.25">
      <c r="A1313" s="710"/>
    </row>
    <row r="1314" spans="1:1" x14ac:dyDescent="0.25">
      <c r="A1314" s="710"/>
    </row>
    <row r="1315" spans="1:1" x14ac:dyDescent="0.25">
      <c r="A1315" s="710"/>
    </row>
    <row r="1316" spans="1:1" x14ac:dyDescent="0.25">
      <c r="A1316" s="710"/>
    </row>
    <row r="1317" spans="1:1" x14ac:dyDescent="0.25">
      <c r="A1317" s="710"/>
    </row>
    <row r="1318" spans="1:1" x14ac:dyDescent="0.25">
      <c r="A1318" s="710"/>
    </row>
    <row r="1319" spans="1:1" x14ac:dyDescent="0.25">
      <c r="A1319" s="710"/>
    </row>
    <row r="1320" spans="1:1" x14ac:dyDescent="0.25">
      <c r="A1320" s="710"/>
    </row>
    <row r="1321" spans="1:1" x14ac:dyDescent="0.25">
      <c r="A1321" s="710"/>
    </row>
    <row r="1322" spans="1:1" x14ac:dyDescent="0.25">
      <c r="A1322" s="710"/>
    </row>
    <row r="1323" spans="1:1" x14ac:dyDescent="0.25">
      <c r="A1323" s="710"/>
    </row>
    <row r="1324" spans="1:1" x14ac:dyDescent="0.25">
      <c r="A1324" s="710"/>
    </row>
    <row r="1325" spans="1:1" x14ac:dyDescent="0.25">
      <c r="A1325" s="710"/>
    </row>
    <row r="1326" spans="1:1" x14ac:dyDescent="0.25">
      <c r="A1326" s="710"/>
    </row>
    <row r="1327" spans="1:1" x14ac:dyDescent="0.25">
      <c r="A1327" s="710"/>
    </row>
    <row r="1328" spans="1:1" x14ac:dyDescent="0.25">
      <c r="A1328" s="710"/>
    </row>
    <row r="1329" spans="1:1" x14ac:dyDescent="0.25">
      <c r="A1329" s="710"/>
    </row>
    <row r="1330" spans="1:1" x14ac:dyDescent="0.25">
      <c r="A1330" s="710"/>
    </row>
    <row r="1331" spans="1:1" x14ac:dyDescent="0.25">
      <c r="A1331" s="710"/>
    </row>
    <row r="1332" spans="1:1" x14ac:dyDescent="0.25">
      <c r="A1332" s="710"/>
    </row>
    <row r="1333" spans="1:1" x14ac:dyDescent="0.25">
      <c r="A1333" s="710"/>
    </row>
    <row r="1334" spans="1:1" x14ac:dyDescent="0.25">
      <c r="A1334" s="710"/>
    </row>
    <row r="1335" spans="1:1" x14ac:dyDescent="0.25">
      <c r="A1335" s="710"/>
    </row>
    <row r="1336" spans="1:1" x14ac:dyDescent="0.25">
      <c r="A1336" s="710"/>
    </row>
    <row r="1337" spans="1:1" x14ac:dyDescent="0.25">
      <c r="A1337" s="710"/>
    </row>
    <row r="1338" spans="1:1" x14ac:dyDescent="0.25">
      <c r="A1338" s="710"/>
    </row>
    <row r="1339" spans="1:1" x14ac:dyDescent="0.25">
      <c r="A1339" s="710"/>
    </row>
    <row r="1340" spans="1:1" x14ac:dyDescent="0.25">
      <c r="A1340" s="710"/>
    </row>
    <row r="1341" spans="1:1" x14ac:dyDescent="0.25">
      <c r="A1341" s="710"/>
    </row>
    <row r="1342" spans="1:1" x14ac:dyDescent="0.25">
      <c r="A1342" s="710"/>
    </row>
    <row r="1343" spans="1:1" x14ac:dyDescent="0.25">
      <c r="A1343" s="710"/>
    </row>
    <row r="1344" spans="1:1" x14ac:dyDescent="0.25">
      <c r="A1344" s="710"/>
    </row>
    <row r="1345" spans="1:1" x14ac:dyDescent="0.25">
      <c r="A1345" s="710"/>
    </row>
    <row r="1346" spans="1:1" x14ac:dyDescent="0.25">
      <c r="A1346" s="710"/>
    </row>
    <row r="1347" spans="1:1" x14ac:dyDescent="0.25">
      <c r="A1347" s="710"/>
    </row>
    <row r="1348" spans="1:1" x14ac:dyDescent="0.25">
      <c r="A1348" s="710"/>
    </row>
    <row r="1349" spans="1:1" x14ac:dyDescent="0.25">
      <c r="A1349" s="710"/>
    </row>
    <row r="1350" spans="1:1" x14ac:dyDescent="0.25">
      <c r="A1350" s="710"/>
    </row>
    <row r="1351" spans="1:1" x14ac:dyDescent="0.25">
      <c r="A1351" s="710"/>
    </row>
    <row r="1352" spans="1:1" x14ac:dyDescent="0.25">
      <c r="A1352" s="710"/>
    </row>
    <row r="1353" spans="1:1" x14ac:dyDescent="0.25">
      <c r="A1353" s="710"/>
    </row>
    <row r="1354" spans="1:1" x14ac:dyDescent="0.25">
      <c r="A1354" s="710"/>
    </row>
    <row r="1355" spans="1:1" x14ac:dyDescent="0.25">
      <c r="A1355" s="710"/>
    </row>
    <row r="1356" spans="1:1" x14ac:dyDescent="0.25">
      <c r="A1356" s="710"/>
    </row>
    <row r="1357" spans="1:1" x14ac:dyDescent="0.25">
      <c r="A1357" s="710"/>
    </row>
    <row r="1358" spans="1:1" x14ac:dyDescent="0.25">
      <c r="A1358" s="710"/>
    </row>
    <row r="1359" spans="1:1" x14ac:dyDescent="0.25">
      <c r="A1359" s="710"/>
    </row>
    <row r="1360" spans="1:1" x14ac:dyDescent="0.25">
      <c r="A1360" s="710"/>
    </row>
    <row r="1361" spans="1:1" x14ac:dyDescent="0.25">
      <c r="A1361" s="710"/>
    </row>
    <row r="1362" spans="1:1" x14ac:dyDescent="0.25">
      <c r="A1362" s="710"/>
    </row>
    <row r="1363" spans="1:1" x14ac:dyDescent="0.25">
      <c r="A1363" s="710"/>
    </row>
    <row r="1364" spans="1:1" x14ac:dyDescent="0.25">
      <c r="A1364" s="710"/>
    </row>
    <row r="1365" spans="1:1" x14ac:dyDescent="0.25">
      <c r="A1365" s="710"/>
    </row>
    <row r="1366" spans="1:1" x14ac:dyDescent="0.25">
      <c r="A1366" s="710"/>
    </row>
    <row r="1367" spans="1:1" x14ac:dyDescent="0.25">
      <c r="A1367" s="710"/>
    </row>
    <row r="1368" spans="1:1" x14ac:dyDescent="0.25">
      <c r="A1368" s="710"/>
    </row>
    <row r="1369" spans="1:1" x14ac:dyDescent="0.25">
      <c r="A1369" s="710"/>
    </row>
    <row r="1370" spans="1:1" x14ac:dyDescent="0.25">
      <c r="A1370" s="710"/>
    </row>
    <row r="1371" spans="1:1" x14ac:dyDescent="0.25">
      <c r="A1371" s="710"/>
    </row>
    <row r="1372" spans="1:1" x14ac:dyDescent="0.25">
      <c r="A1372" s="710"/>
    </row>
    <row r="1373" spans="1:1" x14ac:dyDescent="0.25">
      <c r="A1373" s="710"/>
    </row>
    <row r="1374" spans="1:1" x14ac:dyDescent="0.25">
      <c r="A1374" s="710"/>
    </row>
    <row r="1375" spans="1:1" x14ac:dyDescent="0.25">
      <c r="A1375" s="710"/>
    </row>
    <row r="1376" spans="1:1" x14ac:dyDescent="0.25">
      <c r="A1376" s="710"/>
    </row>
    <row r="1377" spans="1:1" x14ac:dyDescent="0.25">
      <c r="A1377" s="710"/>
    </row>
    <row r="1378" spans="1:1" x14ac:dyDescent="0.25">
      <c r="A1378" s="710"/>
    </row>
    <row r="1379" spans="1:1" x14ac:dyDescent="0.25">
      <c r="A1379" s="710"/>
    </row>
    <row r="1380" spans="1:1" x14ac:dyDescent="0.25">
      <c r="A1380" s="710"/>
    </row>
    <row r="1381" spans="1:1" x14ac:dyDescent="0.25">
      <c r="A1381" s="710"/>
    </row>
    <row r="1382" spans="1:1" x14ac:dyDescent="0.25">
      <c r="A1382" s="710"/>
    </row>
    <row r="1383" spans="1:1" x14ac:dyDescent="0.25">
      <c r="A1383" s="710"/>
    </row>
    <row r="1384" spans="1:1" x14ac:dyDescent="0.25">
      <c r="A1384" s="710"/>
    </row>
    <row r="1385" spans="1:1" x14ac:dyDescent="0.25">
      <c r="A1385" s="710"/>
    </row>
    <row r="1386" spans="1:1" x14ac:dyDescent="0.25">
      <c r="A1386" s="710"/>
    </row>
    <row r="1387" spans="1:1" x14ac:dyDescent="0.25">
      <c r="A1387" s="710"/>
    </row>
    <row r="1388" spans="1:1" x14ac:dyDescent="0.25">
      <c r="A1388" s="710"/>
    </row>
    <row r="1389" spans="1:1" x14ac:dyDescent="0.25">
      <c r="A1389" s="710"/>
    </row>
    <row r="1390" spans="1:1" x14ac:dyDescent="0.25">
      <c r="A1390" s="710"/>
    </row>
    <row r="1391" spans="1:1" x14ac:dyDescent="0.25">
      <c r="A1391" s="710"/>
    </row>
    <row r="1392" spans="1:1" x14ac:dyDescent="0.25">
      <c r="A1392" s="710"/>
    </row>
    <row r="1393" spans="1:1" x14ac:dyDescent="0.25">
      <c r="A1393" s="710"/>
    </row>
    <row r="1394" spans="1:1" x14ac:dyDescent="0.25">
      <c r="A1394" s="710"/>
    </row>
    <row r="1395" spans="1:1" x14ac:dyDescent="0.25">
      <c r="A1395" s="710"/>
    </row>
    <row r="1396" spans="1:1" x14ac:dyDescent="0.25">
      <c r="A1396" s="710"/>
    </row>
    <row r="1397" spans="1:1" x14ac:dyDescent="0.25">
      <c r="A1397" s="710"/>
    </row>
    <row r="1398" spans="1:1" x14ac:dyDescent="0.25">
      <c r="A1398" s="710"/>
    </row>
    <row r="1399" spans="1:1" x14ac:dyDescent="0.25">
      <c r="A1399" s="710"/>
    </row>
    <row r="1400" spans="1:1" x14ac:dyDescent="0.25">
      <c r="A1400" s="710"/>
    </row>
    <row r="1401" spans="1:1" x14ac:dyDescent="0.25">
      <c r="A1401" s="710"/>
    </row>
    <row r="1402" spans="1:1" x14ac:dyDescent="0.25">
      <c r="A1402" s="710"/>
    </row>
    <row r="1403" spans="1:1" x14ac:dyDescent="0.25">
      <c r="A1403" s="710"/>
    </row>
    <row r="1404" spans="1:1" x14ac:dyDescent="0.25">
      <c r="A1404" s="710"/>
    </row>
    <row r="1405" spans="1:1" x14ac:dyDescent="0.25">
      <c r="A1405" s="710"/>
    </row>
    <row r="1406" spans="1:1" x14ac:dyDescent="0.25">
      <c r="A1406" s="710"/>
    </row>
    <row r="1407" spans="1:1" x14ac:dyDescent="0.25">
      <c r="A1407" s="710"/>
    </row>
    <row r="1408" spans="1:1" x14ac:dyDescent="0.25">
      <c r="A1408" s="710"/>
    </row>
    <row r="1409" spans="1:1" x14ac:dyDescent="0.25">
      <c r="A1409" s="710"/>
    </row>
    <row r="1410" spans="1:1" x14ac:dyDescent="0.25">
      <c r="A1410" s="710"/>
    </row>
    <row r="1411" spans="1:1" x14ac:dyDescent="0.25">
      <c r="A1411" s="710"/>
    </row>
    <row r="1412" spans="1:1" x14ac:dyDescent="0.25">
      <c r="A1412" s="710"/>
    </row>
    <row r="1413" spans="1:1" x14ac:dyDescent="0.25">
      <c r="A1413" s="710"/>
    </row>
    <row r="1414" spans="1:1" x14ac:dyDescent="0.25">
      <c r="A1414" s="710"/>
    </row>
    <row r="1415" spans="1:1" x14ac:dyDescent="0.25">
      <c r="A1415" s="710"/>
    </row>
    <row r="1416" spans="1:1" x14ac:dyDescent="0.25">
      <c r="A1416" s="710"/>
    </row>
    <row r="1417" spans="1:1" x14ac:dyDescent="0.25">
      <c r="A1417" s="710"/>
    </row>
    <row r="1418" spans="1:1" x14ac:dyDescent="0.25">
      <c r="A1418" s="710"/>
    </row>
    <row r="1419" spans="1:1" x14ac:dyDescent="0.25">
      <c r="A1419" s="710"/>
    </row>
    <row r="1420" spans="1:1" x14ac:dyDescent="0.25">
      <c r="A1420" s="710"/>
    </row>
    <row r="1421" spans="1:1" x14ac:dyDescent="0.25">
      <c r="A1421" s="710"/>
    </row>
    <row r="1422" spans="1:1" x14ac:dyDescent="0.25">
      <c r="A1422" s="710"/>
    </row>
    <row r="1423" spans="1:1" x14ac:dyDescent="0.25">
      <c r="A1423" s="710"/>
    </row>
    <row r="1424" spans="1:1" x14ac:dyDescent="0.25">
      <c r="A1424" s="710"/>
    </row>
    <row r="1425" spans="1:1" x14ac:dyDescent="0.25">
      <c r="A1425" s="710"/>
    </row>
    <row r="1426" spans="1:1" x14ac:dyDescent="0.25">
      <c r="A1426" s="710"/>
    </row>
    <row r="1427" spans="1:1" x14ac:dyDescent="0.25">
      <c r="A1427" s="710"/>
    </row>
    <row r="1428" spans="1:1" x14ac:dyDescent="0.25">
      <c r="A1428" s="710"/>
    </row>
    <row r="1429" spans="1:1" x14ac:dyDescent="0.25">
      <c r="A1429" s="710"/>
    </row>
    <row r="1430" spans="1:1" x14ac:dyDescent="0.25">
      <c r="A1430" s="710"/>
    </row>
    <row r="1431" spans="1:1" x14ac:dyDescent="0.25">
      <c r="A1431" s="710"/>
    </row>
    <row r="1432" spans="1:1" x14ac:dyDescent="0.25">
      <c r="A1432" s="710"/>
    </row>
    <row r="1433" spans="1:1" x14ac:dyDescent="0.25">
      <c r="A1433" s="710"/>
    </row>
    <row r="1434" spans="1:1" x14ac:dyDescent="0.25">
      <c r="A1434" s="710"/>
    </row>
    <row r="1435" spans="1:1" x14ac:dyDescent="0.25">
      <c r="A1435" s="710"/>
    </row>
    <row r="1436" spans="1:1" x14ac:dyDescent="0.25">
      <c r="A1436" s="710"/>
    </row>
    <row r="1437" spans="1:1" x14ac:dyDescent="0.25">
      <c r="A1437" s="710"/>
    </row>
    <row r="1438" spans="1:1" x14ac:dyDescent="0.25">
      <c r="A1438" s="710"/>
    </row>
    <row r="1439" spans="1:1" x14ac:dyDescent="0.25">
      <c r="A1439" s="710"/>
    </row>
    <row r="1440" spans="1:1" x14ac:dyDescent="0.25">
      <c r="A1440" s="710"/>
    </row>
    <row r="1441" spans="1:1" x14ac:dyDescent="0.25">
      <c r="A1441" s="710"/>
    </row>
    <row r="1442" spans="1:1" x14ac:dyDescent="0.25">
      <c r="A1442" s="710"/>
    </row>
    <row r="1443" spans="1:1" x14ac:dyDescent="0.25">
      <c r="A1443" s="710"/>
    </row>
    <row r="1444" spans="1:1" x14ac:dyDescent="0.25">
      <c r="A1444" s="710"/>
    </row>
    <row r="1445" spans="1:1" x14ac:dyDescent="0.25">
      <c r="A1445" s="710"/>
    </row>
    <row r="1446" spans="1:1" x14ac:dyDescent="0.25">
      <c r="A1446" s="710"/>
    </row>
    <row r="1447" spans="1:1" x14ac:dyDescent="0.25">
      <c r="A1447" s="710"/>
    </row>
    <row r="1448" spans="1:1" x14ac:dyDescent="0.25">
      <c r="A1448" s="710"/>
    </row>
    <row r="1449" spans="1:1" x14ac:dyDescent="0.25">
      <c r="A1449" s="710"/>
    </row>
    <row r="1450" spans="1:1" x14ac:dyDescent="0.25">
      <c r="A1450" s="710"/>
    </row>
    <row r="1451" spans="1:1" x14ac:dyDescent="0.25">
      <c r="A1451" s="710"/>
    </row>
    <row r="1452" spans="1:1" x14ac:dyDescent="0.25">
      <c r="A1452" s="710"/>
    </row>
    <row r="1453" spans="1:1" x14ac:dyDescent="0.25">
      <c r="A1453" s="710"/>
    </row>
    <row r="1454" spans="1:1" x14ac:dyDescent="0.25">
      <c r="A1454" s="710"/>
    </row>
    <row r="1455" spans="1:1" x14ac:dyDescent="0.25">
      <c r="A1455" s="710"/>
    </row>
    <row r="1456" spans="1:1" x14ac:dyDescent="0.25">
      <c r="A1456" s="710"/>
    </row>
    <row r="1457" spans="1:1" x14ac:dyDescent="0.25">
      <c r="A1457" s="710"/>
    </row>
    <row r="1458" spans="1:1" x14ac:dyDescent="0.25">
      <c r="A1458" s="710"/>
    </row>
    <row r="1459" spans="1:1" x14ac:dyDescent="0.25">
      <c r="A1459" s="710"/>
    </row>
    <row r="1460" spans="1:1" x14ac:dyDescent="0.25">
      <c r="A1460" s="710"/>
    </row>
    <row r="1461" spans="1:1" x14ac:dyDescent="0.25">
      <c r="A1461" s="710"/>
    </row>
    <row r="1462" spans="1:1" x14ac:dyDescent="0.25">
      <c r="A1462" s="710"/>
    </row>
    <row r="1463" spans="1:1" x14ac:dyDescent="0.25">
      <c r="A1463" s="710"/>
    </row>
    <row r="1464" spans="1:1" x14ac:dyDescent="0.25">
      <c r="A1464" s="710"/>
    </row>
    <row r="1465" spans="1:1" x14ac:dyDescent="0.25">
      <c r="A1465" s="710"/>
    </row>
    <row r="1466" spans="1:1" x14ac:dyDescent="0.25">
      <c r="A1466" s="710"/>
    </row>
    <row r="1467" spans="1:1" x14ac:dyDescent="0.25">
      <c r="A1467" s="710"/>
    </row>
    <row r="1468" spans="1:1" x14ac:dyDescent="0.25">
      <c r="A1468" s="710"/>
    </row>
    <row r="1469" spans="1:1" x14ac:dyDescent="0.25">
      <c r="A1469" s="710"/>
    </row>
    <row r="1470" spans="1:1" x14ac:dyDescent="0.25">
      <c r="A1470" s="710"/>
    </row>
    <row r="1471" spans="1:1" x14ac:dyDescent="0.25">
      <c r="A1471" s="710"/>
    </row>
    <row r="1472" spans="1:1" x14ac:dyDescent="0.25">
      <c r="A1472" s="710"/>
    </row>
    <row r="1473" spans="1:1" x14ac:dyDescent="0.25">
      <c r="A1473" s="710"/>
    </row>
    <row r="1474" spans="1:1" x14ac:dyDescent="0.25">
      <c r="A1474" s="710"/>
    </row>
    <row r="1475" spans="1:1" x14ac:dyDescent="0.25">
      <c r="A1475" s="710"/>
    </row>
    <row r="1476" spans="1:1" x14ac:dyDescent="0.25">
      <c r="A1476" s="710"/>
    </row>
    <row r="1477" spans="1:1" x14ac:dyDescent="0.25">
      <c r="A1477" s="710"/>
    </row>
    <row r="1478" spans="1:1" x14ac:dyDescent="0.25">
      <c r="A1478" s="710"/>
    </row>
    <row r="1479" spans="1:1" x14ac:dyDescent="0.25">
      <c r="A1479" s="710"/>
    </row>
    <row r="1480" spans="1:1" x14ac:dyDescent="0.25">
      <c r="A1480" s="710"/>
    </row>
    <row r="1481" spans="1:1" x14ac:dyDescent="0.25">
      <c r="A1481" s="710"/>
    </row>
    <row r="1482" spans="1:1" x14ac:dyDescent="0.25">
      <c r="A1482" s="710"/>
    </row>
    <row r="1483" spans="1:1" x14ac:dyDescent="0.25">
      <c r="A1483" s="710"/>
    </row>
    <row r="1484" spans="1:1" x14ac:dyDescent="0.25">
      <c r="A1484" s="710"/>
    </row>
    <row r="1485" spans="1:1" x14ac:dyDescent="0.25">
      <c r="A1485" s="710"/>
    </row>
    <row r="1486" spans="1:1" x14ac:dyDescent="0.25">
      <c r="A1486" s="710"/>
    </row>
    <row r="1487" spans="1:1" x14ac:dyDescent="0.25">
      <c r="A1487" s="710"/>
    </row>
    <row r="1488" spans="1:1" x14ac:dyDescent="0.25">
      <c r="A1488" s="710"/>
    </row>
    <row r="1489" spans="1:1" x14ac:dyDescent="0.25">
      <c r="A1489" s="710"/>
    </row>
    <row r="1490" spans="1:1" x14ac:dyDescent="0.25">
      <c r="A1490" s="710"/>
    </row>
    <row r="1491" spans="1:1" x14ac:dyDescent="0.25">
      <c r="A1491" s="710"/>
    </row>
    <row r="1492" spans="1:1" x14ac:dyDescent="0.25">
      <c r="A1492" s="710"/>
    </row>
    <row r="1493" spans="1:1" x14ac:dyDescent="0.25">
      <c r="A1493" s="710"/>
    </row>
    <row r="1494" spans="1:1" x14ac:dyDescent="0.25">
      <c r="A1494" s="710"/>
    </row>
    <row r="1495" spans="1:1" x14ac:dyDescent="0.25">
      <c r="A1495" s="710"/>
    </row>
    <row r="1496" spans="1:1" x14ac:dyDescent="0.25">
      <c r="A1496" s="710"/>
    </row>
    <row r="1497" spans="1:1" x14ac:dyDescent="0.25">
      <c r="A1497" s="710"/>
    </row>
    <row r="1498" spans="1:1" x14ac:dyDescent="0.25">
      <c r="A1498" s="710"/>
    </row>
    <row r="1499" spans="1:1" x14ac:dyDescent="0.25">
      <c r="A1499" s="710"/>
    </row>
    <row r="1500" spans="1:1" x14ac:dyDescent="0.25">
      <c r="A1500" s="710"/>
    </row>
    <row r="1501" spans="1:1" x14ac:dyDescent="0.25">
      <c r="A1501" s="710"/>
    </row>
    <row r="1502" spans="1:1" x14ac:dyDescent="0.25">
      <c r="A1502" s="710"/>
    </row>
    <row r="1503" spans="1:1" x14ac:dyDescent="0.25">
      <c r="A1503" s="710"/>
    </row>
    <row r="1504" spans="1:1" x14ac:dyDescent="0.25">
      <c r="A1504" s="710"/>
    </row>
    <row r="1505" spans="1:1" x14ac:dyDescent="0.25">
      <c r="A1505" s="710"/>
    </row>
    <row r="1506" spans="1:1" x14ac:dyDescent="0.25">
      <c r="A1506" s="710"/>
    </row>
    <row r="1507" spans="1:1" x14ac:dyDescent="0.25">
      <c r="A1507" s="710"/>
    </row>
    <row r="1508" spans="1:1" x14ac:dyDescent="0.25">
      <c r="A1508" s="710"/>
    </row>
    <row r="1509" spans="1:1" x14ac:dyDescent="0.25">
      <c r="A1509" s="710"/>
    </row>
    <row r="1510" spans="1:1" x14ac:dyDescent="0.25">
      <c r="A1510" s="710"/>
    </row>
    <row r="1511" spans="1:1" x14ac:dyDescent="0.25">
      <c r="A1511" s="710"/>
    </row>
    <row r="1512" spans="1:1" x14ac:dyDescent="0.25">
      <c r="A1512" s="710"/>
    </row>
    <row r="1513" spans="1:1" x14ac:dyDescent="0.25">
      <c r="A1513" s="710"/>
    </row>
    <row r="1514" spans="1:1" x14ac:dyDescent="0.25">
      <c r="A1514" s="710"/>
    </row>
    <row r="1515" spans="1:1" x14ac:dyDescent="0.25">
      <c r="A1515" s="710"/>
    </row>
    <row r="1516" spans="1:1" x14ac:dyDescent="0.25">
      <c r="A1516" s="710"/>
    </row>
    <row r="1517" spans="1:1" x14ac:dyDescent="0.25">
      <c r="A1517" s="710"/>
    </row>
    <row r="1518" spans="1:1" x14ac:dyDescent="0.25">
      <c r="A1518" s="710"/>
    </row>
    <row r="1519" spans="1:1" x14ac:dyDescent="0.25">
      <c r="A1519" s="710"/>
    </row>
    <row r="1520" spans="1:1" x14ac:dyDescent="0.25">
      <c r="A1520" s="710"/>
    </row>
    <row r="1521" spans="1:1" x14ac:dyDescent="0.25">
      <c r="A1521" s="710"/>
    </row>
    <row r="1522" spans="1:1" x14ac:dyDescent="0.25">
      <c r="A1522" s="710"/>
    </row>
    <row r="1523" spans="1:1" x14ac:dyDescent="0.25">
      <c r="A1523" s="710"/>
    </row>
    <row r="1524" spans="1:1" x14ac:dyDescent="0.25">
      <c r="A1524" s="710"/>
    </row>
    <row r="1525" spans="1:1" x14ac:dyDescent="0.25">
      <c r="A1525" s="710"/>
    </row>
    <row r="1526" spans="1:1" x14ac:dyDescent="0.25">
      <c r="A1526" s="710"/>
    </row>
    <row r="1527" spans="1:1" x14ac:dyDescent="0.25">
      <c r="A1527" s="710"/>
    </row>
    <row r="1528" spans="1:1" x14ac:dyDescent="0.25">
      <c r="A1528" s="710"/>
    </row>
    <row r="1529" spans="1:1" x14ac:dyDescent="0.25">
      <c r="A1529" s="710"/>
    </row>
    <row r="1530" spans="1:1" x14ac:dyDescent="0.25">
      <c r="A1530" s="710"/>
    </row>
    <row r="1531" spans="1:1" x14ac:dyDescent="0.25">
      <c r="A1531" s="710"/>
    </row>
    <row r="1532" spans="1:1" x14ac:dyDescent="0.25">
      <c r="A1532" s="710"/>
    </row>
    <row r="1533" spans="1:1" x14ac:dyDescent="0.25">
      <c r="A1533" s="710"/>
    </row>
    <row r="1534" spans="1:1" x14ac:dyDescent="0.25">
      <c r="A1534" s="710"/>
    </row>
    <row r="1535" spans="1:1" x14ac:dyDescent="0.25">
      <c r="A1535" s="710"/>
    </row>
    <row r="1536" spans="1:1" x14ac:dyDescent="0.25">
      <c r="A1536" s="710"/>
    </row>
    <row r="1537" spans="1:1" x14ac:dyDescent="0.25">
      <c r="A1537" s="710"/>
    </row>
    <row r="1538" spans="1:1" x14ac:dyDescent="0.25">
      <c r="A1538" s="710"/>
    </row>
    <row r="1539" spans="1:1" x14ac:dyDescent="0.25">
      <c r="A1539" s="710"/>
    </row>
    <row r="1540" spans="1:1" x14ac:dyDescent="0.25">
      <c r="A1540" s="710"/>
    </row>
    <row r="1541" spans="1:1" x14ac:dyDescent="0.25">
      <c r="A1541" s="710"/>
    </row>
    <row r="1542" spans="1:1" x14ac:dyDescent="0.25">
      <c r="A1542" s="710"/>
    </row>
    <row r="1543" spans="1:1" x14ac:dyDescent="0.25">
      <c r="A1543" s="710"/>
    </row>
    <row r="1544" spans="1:1" x14ac:dyDescent="0.25">
      <c r="A1544" s="710"/>
    </row>
    <row r="1545" spans="1:1" x14ac:dyDescent="0.25">
      <c r="A1545" s="710"/>
    </row>
    <row r="1546" spans="1:1" x14ac:dyDescent="0.25">
      <c r="A1546" s="710"/>
    </row>
    <row r="1547" spans="1:1" x14ac:dyDescent="0.25">
      <c r="A1547" s="710"/>
    </row>
    <row r="1548" spans="1:1" x14ac:dyDescent="0.25">
      <c r="A1548" s="710"/>
    </row>
    <row r="1549" spans="1:1" x14ac:dyDescent="0.25">
      <c r="A1549" s="710"/>
    </row>
    <row r="1550" spans="1:1" x14ac:dyDescent="0.25">
      <c r="A1550" s="710"/>
    </row>
    <row r="1551" spans="1:1" x14ac:dyDescent="0.25">
      <c r="A1551" s="710"/>
    </row>
    <row r="1552" spans="1:1" x14ac:dyDescent="0.25">
      <c r="A1552" s="710"/>
    </row>
    <row r="1553" spans="1:1" x14ac:dyDescent="0.25">
      <c r="A1553" s="710"/>
    </row>
    <row r="1554" spans="1:1" x14ac:dyDescent="0.25">
      <c r="A1554" s="710"/>
    </row>
    <row r="1555" spans="1:1" x14ac:dyDescent="0.25">
      <c r="A1555" s="710"/>
    </row>
    <row r="1556" spans="1:1" x14ac:dyDescent="0.25">
      <c r="A1556" s="710"/>
    </row>
    <row r="1557" spans="1:1" x14ac:dyDescent="0.25">
      <c r="A1557" s="710"/>
    </row>
    <row r="1558" spans="1:1" x14ac:dyDescent="0.25">
      <c r="A1558" s="710"/>
    </row>
    <row r="1559" spans="1:1" x14ac:dyDescent="0.25">
      <c r="A1559" s="710"/>
    </row>
    <row r="1560" spans="1:1" x14ac:dyDescent="0.25">
      <c r="A1560" s="710"/>
    </row>
    <row r="1561" spans="1:1" x14ac:dyDescent="0.25">
      <c r="A1561" s="710"/>
    </row>
    <row r="1562" spans="1:1" x14ac:dyDescent="0.25">
      <c r="A1562" s="710"/>
    </row>
    <row r="1563" spans="1:1" x14ac:dyDescent="0.25">
      <c r="A1563" s="710"/>
    </row>
    <row r="1564" spans="1:1" x14ac:dyDescent="0.25">
      <c r="A1564" s="710"/>
    </row>
    <row r="1565" spans="1:1" x14ac:dyDescent="0.25">
      <c r="A1565" s="710"/>
    </row>
    <row r="1566" spans="1:1" x14ac:dyDescent="0.25">
      <c r="A1566" s="710"/>
    </row>
    <row r="1567" spans="1:1" x14ac:dyDescent="0.25">
      <c r="A1567" s="710"/>
    </row>
    <row r="1568" spans="1:1" x14ac:dyDescent="0.25">
      <c r="A1568" s="710"/>
    </row>
    <row r="1569" spans="1:1" x14ac:dyDescent="0.25">
      <c r="A1569" s="710"/>
    </row>
    <row r="1570" spans="1:1" x14ac:dyDescent="0.25">
      <c r="A1570" s="710"/>
    </row>
    <row r="1571" spans="1:1" x14ac:dyDescent="0.25">
      <c r="A1571" s="710"/>
    </row>
    <row r="1572" spans="1:1" x14ac:dyDescent="0.25">
      <c r="A1572" s="710"/>
    </row>
    <row r="1573" spans="1:1" x14ac:dyDescent="0.25">
      <c r="A1573" s="710"/>
    </row>
    <row r="1574" spans="1:1" x14ac:dyDescent="0.25">
      <c r="A1574" s="710"/>
    </row>
    <row r="1575" spans="1:1" x14ac:dyDescent="0.25">
      <c r="A1575" s="710"/>
    </row>
    <row r="1576" spans="1:1" x14ac:dyDescent="0.25">
      <c r="A1576" s="710"/>
    </row>
    <row r="1577" spans="1:1" x14ac:dyDescent="0.25">
      <c r="A1577" s="710"/>
    </row>
    <row r="1578" spans="1:1" x14ac:dyDescent="0.25">
      <c r="A1578" s="710"/>
    </row>
    <row r="1579" spans="1:1" x14ac:dyDescent="0.25">
      <c r="A1579" s="710"/>
    </row>
    <row r="1580" spans="1:1" x14ac:dyDescent="0.25">
      <c r="A1580" s="710"/>
    </row>
    <row r="1581" spans="1:1" x14ac:dyDescent="0.25">
      <c r="A1581" s="710"/>
    </row>
    <row r="1582" spans="1:1" x14ac:dyDescent="0.25">
      <c r="A1582" s="710"/>
    </row>
    <row r="1583" spans="1:1" x14ac:dyDescent="0.25">
      <c r="A1583" s="710"/>
    </row>
    <row r="1584" spans="1:1" x14ac:dyDescent="0.25">
      <c r="A1584" s="710"/>
    </row>
    <row r="1585" spans="1:1" x14ac:dyDescent="0.25">
      <c r="A1585" s="710"/>
    </row>
    <row r="1586" spans="1:1" x14ac:dyDescent="0.25">
      <c r="A1586" s="710"/>
    </row>
    <row r="1587" spans="1:1" x14ac:dyDescent="0.25">
      <c r="A1587" s="710"/>
    </row>
    <row r="1588" spans="1:1" x14ac:dyDescent="0.25">
      <c r="A1588" s="710"/>
    </row>
    <row r="1589" spans="1:1" x14ac:dyDescent="0.25">
      <c r="A1589" s="710"/>
    </row>
    <row r="1590" spans="1:1" x14ac:dyDescent="0.25">
      <c r="A1590" s="710"/>
    </row>
    <row r="1591" spans="1:1" x14ac:dyDescent="0.25">
      <c r="A1591" s="710"/>
    </row>
    <row r="1592" spans="1:1" x14ac:dyDescent="0.25">
      <c r="A1592" s="710"/>
    </row>
    <row r="1593" spans="1:1" x14ac:dyDescent="0.25">
      <c r="A1593" s="710"/>
    </row>
    <row r="1594" spans="1:1" x14ac:dyDescent="0.25">
      <c r="A1594" s="710"/>
    </row>
    <row r="1595" spans="1:1" x14ac:dyDescent="0.25">
      <c r="A1595" s="710"/>
    </row>
    <row r="1596" spans="1:1" x14ac:dyDescent="0.25">
      <c r="A1596" s="710"/>
    </row>
    <row r="1597" spans="1:1" x14ac:dyDescent="0.25">
      <c r="A1597" s="710"/>
    </row>
    <row r="1598" spans="1:1" x14ac:dyDescent="0.25">
      <c r="A1598" s="710"/>
    </row>
    <row r="1599" spans="1:1" x14ac:dyDescent="0.25">
      <c r="A1599" s="710"/>
    </row>
    <row r="1600" spans="1:1" x14ac:dyDescent="0.25">
      <c r="A1600" s="710"/>
    </row>
    <row r="1601" spans="1:1" x14ac:dyDescent="0.25">
      <c r="A1601" s="710"/>
    </row>
    <row r="1602" spans="1:1" x14ac:dyDescent="0.25">
      <c r="A1602" s="710"/>
    </row>
    <row r="1603" spans="1:1" x14ac:dyDescent="0.25">
      <c r="A1603" s="710"/>
    </row>
    <row r="1604" spans="1:1" x14ac:dyDescent="0.25">
      <c r="A1604" s="710"/>
    </row>
    <row r="1605" spans="1:1" x14ac:dyDescent="0.25">
      <c r="A1605" s="710"/>
    </row>
    <row r="1606" spans="1:1" x14ac:dyDescent="0.25">
      <c r="A1606" s="710"/>
    </row>
    <row r="1607" spans="1:1" x14ac:dyDescent="0.25">
      <c r="A1607" s="710"/>
    </row>
    <row r="1608" spans="1:1" x14ac:dyDescent="0.25">
      <c r="A1608" s="710"/>
    </row>
    <row r="1609" spans="1:1" x14ac:dyDescent="0.25">
      <c r="A1609" s="710"/>
    </row>
    <row r="1610" spans="1:1" x14ac:dyDescent="0.25">
      <c r="A1610" s="710"/>
    </row>
    <row r="1611" spans="1:1" x14ac:dyDescent="0.25">
      <c r="A1611" s="710"/>
    </row>
    <row r="1612" spans="1:1" x14ac:dyDescent="0.25">
      <c r="A1612" s="710"/>
    </row>
    <row r="1613" spans="1:1" x14ac:dyDescent="0.25">
      <c r="A1613" s="710"/>
    </row>
    <row r="1614" spans="1:1" x14ac:dyDescent="0.25">
      <c r="A1614" s="710"/>
    </row>
    <row r="1615" spans="1:1" x14ac:dyDescent="0.25">
      <c r="A1615" s="710"/>
    </row>
    <row r="1616" spans="1:1" x14ac:dyDescent="0.25">
      <c r="A1616" s="710"/>
    </row>
    <row r="1617" spans="1:1" x14ac:dyDescent="0.25">
      <c r="A1617" s="710"/>
    </row>
    <row r="1618" spans="1:1" x14ac:dyDescent="0.25">
      <c r="A1618" s="710"/>
    </row>
    <row r="1619" spans="1:1" x14ac:dyDescent="0.25">
      <c r="A1619" s="710"/>
    </row>
    <row r="1620" spans="1:1" x14ac:dyDescent="0.25">
      <c r="A1620" s="710"/>
    </row>
    <row r="1621" spans="1:1" x14ac:dyDescent="0.25">
      <c r="A1621" s="710"/>
    </row>
    <row r="1622" spans="1:1" x14ac:dyDescent="0.25">
      <c r="A1622" s="710"/>
    </row>
    <row r="1623" spans="1:1" x14ac:dyDescent="0.25">
      <c r="A1623" s="710"/>
    </row>
    <row r="1624" spans="1:1" x14ac:dyDescent="0.25">
      <c r="A1624" s="710"/>
    </row>
    <row r="1625" spans="1:1" x14ac:dyDescent="0.25">
      <c r="A1625" s="710"/>
    </row>
    <row r="1626" spans="1:1" x14ac:dyDescent="0.25">
      <c r="A1626" s="710"/>
    </row>
    <row r="1627" spans="1:1" x14ac:dyDescent="0.25">
      <c r="A1627" s="710"/>
    </row>
    <row r="1628" spans="1:1" x14ac:dyDescent="0.25">
      <c r="A1628" s="710"/>
    </row>
    <row r="1629" spans="1:1" x14ac:dyDescent="0.25">
      <c r="A1629" s="710"/>
    </row>
    <row r="1630" spans="1:1" x14ac:dyDescent="0.25">
      <c r="A1630" s="710"/>
    </row>
    <row r="1631" spans="1:1" x14ac:dyDescent="0.25">
      <c r="A1631" s="710"/>
    </row>
    <row r="1632" spans="1:1" x14ac:dyDescent="0.25">
      <c r="A1632" s="710"/>
    </row>
    <row r="1633" spans="1:1" x14ac:dyDescent="0.25">
      <c r="A1633" s="710"/>
    </row>
    <row r="1634" spans="1:1" x14ac:dyDescent="0.25">
      <c r="A1634" s="710"/>
    </row>
    <row r="1635" spans="1:1" x14ac:dyDescent="0.25">
      <c r="A1635" s="710"/>
    </row>
    <row r="1636" spans="1:1" x14ac:dyDescent="0.25">
      <c r="A1636" s="710"/>
    </row>
    <row r="1637" spans="1:1" x14ac:dyDescent="0.25">
      <c r="A1637" s="710"/>
    </row>
    <row r="1638" spans="1:1" x14ac:dyDescent="0.25">
      <c r="A1638" s="710"/>
    </row>
    <row r="1639" spans="1:1" x14ac:dyDescent="0.25">
      <c r="A1639" s="710"/>
    </row>
    <row r="1640" spans="1:1" x14ac:dyDescent="0.25">
      <c r="A1640" s="710"/>
    </row>
    <row r="1641" spans="1:1" x14ac:dyDescent="0.25">
      <c r="A1641" s="710"/>
    </row>
    <row r="1642" spans="1:1" x14ac:dyDescent="0.25">
      <c r="A1642" s="710"/>
    </row>
    <row r="1643" spans="1:1" x14ac:dyDescent="0.25">
      <c r="A1643" s="710"/>
    </row>
    <row r="1644" spans="1:1" x14ac:dyDescent="0.25">
      <c r="A1644" s="710"/>
    </row>
    <row r="1645" spans="1:1" x14ac:dyDescent="0.25">
      <c r="A1645" s="710"/>
    </row>
    <row r="1646" spans="1:1" x14ac:dyDescent="0.25">
      <c r="A1646" s="710"/>
    </row>
    <row r="1647" spans="1:1" x14ac:dyDescent="0.25">
      <c r="A1647" s="710"/>
    </row>
    <row r="1648" spans="1:1" x14ac:dyDescent="0.25">
      <c r="A1648" s="710"/>
    </row>
    <row r="1649" spans="1:1" x14ac:dyDescent="0.25">
      <c r="A1649" s="710"/>
    </row>
    <row r="1650" spans="1:1" x14ac:dyDescent="0.25">
      <c r="A1650" s="710"/>
    </row>
    <row r="1651" spans="1:1" x14ac:dyDescent="0.25">
      <c r="A1651" s="710"/>
    </row>
    <row r="1652" spans="1:1" x14ac:dyDescent="0.25">
      <c r="A1652" s="710"/>
    </row>
    <row r="1653" spans="1:1" x14ac:dyDescent="0.25">
      <c r="A1653" s="710"/>
    </row>
    <row r="1654" spans="1:1" x14ac:dyDescent="0.25">
      <c r="A1654" s="710"/>
    </row>
    <row r="1655" spans="1:1" x14ac:dyDescent="0.25">
      <c r="A1655" s="710"/>
    </row>
    <row r="1656" spans="1:1" x14ac:dyDescent="0.25">
      <c r="A1656" s="710"/>
    </row>
    <row r="1657" spans="1:1" x14ac:dyDescent="0.25">
      <c r="A1657" s="710"/>
    </row>
    <row r="1658" spans="1:1" x14ac:dyDescent="0.25">
      <c r="A1658" s="710"/>
    </row>
    <row r="1659" spans="1:1" x14ac:dyDescent="0.25">
      <c r="A1659" s="710"/>
    </row>
    <row r="1660" spans="1:1" x14ac:dyDescent="0.25">
      <c r="A1660" s="710"/>
    </row>
    <row r="1661" spans="1:1" x14ac:dyDescent="0.25">
      <c r="A1661" s="710"/>
    </row>
    <row r="1662" spans="1:1" x14ac:dyDescent="0.25">
      <c r="A1662" s="710"/>
    </row>
    <row r="1663" spans="1:1" x14ac:dyDescent="0.25">
      <c r="A1663" s="710"/>
    </row>
    <row r="1664" spans="1:1" x14ac:dyDescent="0.25">
      <c r="A1664" s="710"/>
    </row>
    <row r="1665" spans="1:1" x14ac:dyDescent="0.25">
      <c r="A1665" s="710"/>
    </row>
    <row r="1666" spans="1:1" x14ac:dyDescent="0.25">
      <c r="A1666" s="710"/>
    </row>
    <row r="1667" spans="1:1" x14ac:dyDescent="0.25">
      <c r="A1667" s="710"/>
    </row>
    <row r="1668" spans="1:1" x14ac:dyDescent="0.25">
      <c r="A1668" s="710"/>
    </row>
    <row r="1669" spans="1:1" x14ac:dyDescent="0.25">
      <c r="A1669" s="710"/>
    </row>
    <row r="1670" spans="1:1" x14ac:dyDescent="0.25">
      <c r="A1670" s="710"/>
    </row>
    <row r="1671" spans="1:1" x14ac:dyDescent="0.25">
      <c r="A1671" s="710"/>
    </row>
    <row r="1672" spans="1:1" x14ac:dyDescent="0.25">
      <c r="A1672" s="710"/>
    </row>
    <row r="1673" spans="1:1" x14ac:dyDescent="0.25">
      <c r="A1673" s="710"/>
    </row>
    <row r="1674" spans="1:1" x14ac:dyDescent="0.25">
      <c r="A1674" s="710"/>
    </row>
    <row r="1675" spans="1:1" x14ac:dyDescent="0.25">
      <c r="A1675" s="710"/>
    </row>
    <row r="1676" spans="1:1" x14ac:dyDescent="0.25">
      <c r="A1676" s="710"/>
    </row>
    <row r="1677" spans="1:1" x14ac:dyDescent="0.25">
      <c r="A1677" s="710"/>
    </row>
    <row r="1678" spans="1:1" x14ac:dyDescent="0.25">
      <c r="A1678" s="710"/>
    </row>
    <row r="1679" spans="1:1" x14ac:dyDescent="0.25">
      <c r="A1679" s="710"/>
    </row>
    <row r="1680" spans="1:1" x14ac:dyDescent="0.25">
      <c r="A1680" s="710"/>
    </row>
    <row r="1681" spans="1:1" x14ac:dyDescent="0.25">
      <c r="A1681" s="710"/>
    </row>
    <row r="1682" spans="1:1" x14ac:dyDescent="0.25">
      <c r="A1682" s="710"/>
    </row>
    <row r="1683" spans="1:1" x14ac:dyDescent="0.25">
      <c r="A1683" s="710"/>
    </row>
    <row r="1684" spans="1:1" x14ac:dyDescent="0.25">
      <c r="A1684" s="710"/>
    </row>
    <row r="1685" spans="1:1" x14ac:dyDescent="0.25">
      <c r="A1685" s="710"/>
    </row>
    <row r="1686" spans="1:1" x14ac:dyDescent="0.25">
      <c r="A1686" s="710"/>
    </row>
    <row r="1687" spans="1:1" x14ac:dyDescent="0.25">
      <c r="A1687" s="710"/>
    </row>
    <row r="1688" spans="1:1" x14ac:dyDescent="0.25">
      <c r="A1688" s="710"/>
    </row>
    <row r="1689" spans="1:1" x14ac:dyDescent="0.25">
      <c r="A1689" s="710"/>
    </row>
    <row r="1690" spans="1:1" x14ac:dyDescent="0.25">
      <c r="A1690" s="710"/>
    </row>
    <row r="1691" spans="1:1" x14ac:dyDescent="0.25">
      <c r="A1691" s="710"/>
    </row>
    <row r="1692" spans="1:1" x14ac:dyDescent="0.25">
      <c r="A1692" s="710"/>
    </row>
    <row r="1693" spans="1:1" x14ac:dyDescent="0.25">
      <c r="A1693" s="710"/>
    </row>
    <row r="1694" spans="1:1" x14ac:dyDescent="0.25">
      <c r="A1694" s="710"/>
    </row>
    <row r="1695" spans="1:1" x14ac:dyDescent="0.25">
      <c r="A1695" s="710"/>
    </row>
    <row r="1696" spans="1:1" x14ac:dyDescent="0.25">
      <c r="A1696" s="710"/>
    </row>
    <row r="1697" spans="1:1" x14ac:dyDescent="0.25">
      <c r="A1697" s="710"/>
    </row>
    <row r="1698" spans="1:1" x14ac:dyDescent="0.25">
      <c r="A1698" s="710"/>
    </row>
    <row r="1699" spans="1:1" x14ac:dyDescent="0.25">
      <c r="A1699" s="710"/>
    </row>
    <row r="1700" spans="1:1" x14ac:dyDescent="0.25">
      <c r="A1700" s="710"/>
    </row>
    <row r="1701" spans="1:1" x14ac:dyDescent="0.25">
      <c r="A1701" s="710"/>
    </row>
    <row r="1702" spans="1:1" x14ac:dyDescent="0.25">
      <c r="A1702" s="710"/>
    </row>
    <row r="1703" spans="1:1" x14ac:dyDescent="0.25">
      <c r="A1703" s="710"/>
    </row>
    <row r="1704" spans="1:1" x14ac:dyDescent="0.25">
      <c r="A1704" s="710"/>
    </row>
    <row r="1705" spans="1:1" x14ac:dyDescent="0.25">
      <c r="A1705" s="710"/>
    </row>
    <row r="1706" spans="1:1" x14ac:dyDescent="0.25">
      <c r="A1706" s="710"/>
    </row>
    <row r="1707" spans="1:1" x14ac:dyDescent="0.25">
      <c r="A1707" s="710"/>
    </row>
    <row r="1708" spans="1:1" x14ac:dyDescent="0.25">
      <c r="A1708" s="710"/>
    </row>
    <row r="1709" spans="1:1" x14ac:dyDescent="0.25">
      <c r="A1709" s="710"/>
    </row>
    <row r="1710" spans="1:1" x14ac:dyDescent="0.25">
      <c r="A1710" s="710"/>
    </row>
    <row r="1711" spans="1:1" x14ac:dyDescent="0.25">
      <c r="A1711" s="710"/>
    </row>
    <row r="1712" spans="1:1" x14ac:dyDescent="0.25">
      <c r="A1712" s="710"/>
    </row>
    <row r="1713" spans="1:1" x14ac:dyDescent="0.25">
      <c r="A1713" s="710"/>
    </row>
    <row r="1714" spans="1:1" x14ac:dyDescent="0.25">
      <c r="A1714" s="710"/>
    </row>
    <row r="1715" spans="1:1" x14ac:dyDescent="0.25">
      <c r="A1715" s="710"/>
    </row>
    <row r="1716" spans="1:1" x14ac:dyDescent="0.25">
      <c r="A1716" s="710"/>
    </row>
    <row r="1717" spans="1:1" x14ac:dyDescent="0.25">
      <c r="A1717" s="710"/>
    </row>
    <row r="1718" spans="1:1" x14ac:dyDescent="0.25">
      <c r="A1718" s="710"/>
    </row>
    <row r="1719" spans="1:1" x14ac:dyDescent="0.25">
      <c r="A1719" s="710"/>
    </row>
    <row r="1720" spans="1:1" x14ac:dyDescent="0.25">
      <c r="A1720" s="710"/>
    </row>
    <row r="1721" spans="1:1" x14ac:dyDescent="0.25">
      <c r="A1721" s="710"/>
    </row>
    <row r="1722" spans="1:1" x14ac:dyDescent="0.25">
      <c r="A1722" s="710"/>
    </row>
    <row r="1723" spans="1:1" x14ac:dyDescent="0.25">
      <c r="A1723" s="710"/>
    </row>
    <row r="1724" spans="1:1" x14ac:dyDescent="0.25">
      <c r="A1724" s="710"/>
    </row>
    <row r="1725" spans="1:1" x14ac:dyDescent="0.25">
      <c r="A1725" s="710"/>
    </row>
    <row r="1726" spans="1:1" x14ac:dyDescent="0.25">
      <c r="A1726" s="710"/>
    </row>
    <row r="1727" spans="1:1" x14ac:dyDescent="0.25">
      <c r="A1727" s="710"/>
    </row>
    <row r="1728" spans="1:1" x14ac:dyDescent="0.25">
      <c r="A1728" s="710"/>
    </row>
    <row r="1729" spans="1:1" x14ac:dyDescent="0.25">
      <c r="A1729" s="710"/>
    </row>
    <row r="1730" spans="1:1" x14ac:dyDescent="0.25">
      <c r="A1730" s="710"/>
    </row>
    <row r="1731" spans="1:1" x14ac:dyDescent="0.25">
      <c r="A1731" s="710"/>
    </row>
    <row r="1732" spans="1:1" x14ac:dyDescent="0.25">
      <c r="A1732" s="710"/>
    </row>
    <row r="1733" spans="1:1" x14ac:dyDescent="0.25">
      <c r="A1733" s="710"/>
    </row>
    <row r="1734" spans="1:1" x14ac:dyDescent="0.25">
      <c r="A1734" s="710"/>
    </row>
    <row r="1735" spans="1:1" x14ac:dyDescent="0.25">
      <c r="A1735" s="710"/>
    </row>
    <row r="1736" spans="1:1" x14ac:dyDescent="0.25">
      <c r="A1736" s="710"/>
    </row>
    <row r="1737" spans="1:1" x14ac:dyDescent="0.25">
      <c r="A1737" s="710"/>
    </row>
    <row r="1738" spans="1:1" x14ac:dyDescent="0.25">
      <c r="A1738" s="710"/>
    </row>
    <row r="1739" spans="1:1" x14ac:dyDescent="0.25">
      <c r="A1739" s="710"/>
    </row>
    <row r="1740" spans="1:1" x14ac:dyDescent="0.25">
      <c r="A1740" s="710"/>
    </row>
    <row r="1741" spans="1:1" x14ac:dyDescent="0.25">
      <c r="A1741" s="710"/>
    </row>
    <row r="1742" spans="1:1" x14ac:dyDescent="0.25">
      <c r="A1742" s="710"/>
    </row>
    <row r="1743" spans="1:1" x14ac:dyDescent="0.25">
      <c r="A1743" s="710"/>
    </row>
    <row r="1744" spans="1:1" x14ac:dyDescent="0.25">
      <c r="A1744" s="710"/>
    </row>
    <row r="1745" spans="1:1" x14ac:dyDescent="0.25">
      <c r="A1745" s="710"/>
    </row>
    <row r="1746" spans="1:1" x14ac:dyDescent="0.25">
      <c r="A1746" s="710"/>
    </row>
    <row r="1747" spans="1:1" x14ac:dyDescent="0.25">
      <c r="A1747" s="710"/>
    </row>
    <row r="1748" spans="1:1" x14ac:dyDescent="0.25">
      <c r="A1748" s="710"/>
    </row>
    <row r="1749" spans="1:1" x14ac:dyDescent="0.25">
      <c r="A1749" s="710"/>
    </row>
    <row r="1750" spans="1:1" x14ac:dyDescent="0.25">
      <c r="A1750" s="710"/>
    </row>
    <row r="1751" spans="1:1" x14ac:dyDescent="0.25">
      <c r="A1751" s="710"/>
    </row>
    <row r="1752" spans="1:1" x14ac:dyDescent="0.25">
      <c r="A1752" s="710"/>
    </row>
    <row r="1753" spans="1:1" x14ac:dyDescent="0.25">
      <c r="A1753" s="710"/>
    </row>
    <row r="1754" spans="1:1" x14ac:dyDescent="0.25">
      <c r="A1754" s="710"/>
    </row>
    <row r="1755" spans="1:1" x14ac:dyDescent="0.25">
      <c r="A1755" s="710"/>
    </row>
    <row r="1756" spans="1:1" x14ac:dyDescent="0.25">
      <c r="A1756" s="710"/>
    </row>
    <row r="1757" spans="1:1" x14ac:dyDescent="0.25">
      <c r="A1757" s="710"/>
    </row>
    <row r="1758" spans="1:1" x14ac:dyDescent="0.25">
      <c r="A1758" s="710"/>
    </row>
    <row r="1759" spans="1:1" x14ac:dyDescent="0.25">
      <c r="A1759" s="710"/>
    </row>
    <row r="1760" spans="1:1" x14ac:dyDescent="0.25">
      <c r="A1760" s="710"/>
    </row>
    <row r="1761" spans="1:1" x14ac:dyDescent="0.25">
      <c r="A1761" s="710"/>
    </row>
    <row r="1762" spans="1:1" x14ac:dyDescent="0.25">
      <c r="A1762" s="710"/>
    </row>
    <row r="1763" spans="1:1" x14ac:dyDescent="0.25">
      <c r="A1763" s="710"/>
    </row>
    <row r="1764" spans="1:1" x14ac:dyDescent="0.25">
      <c r="A1764" s="710"/>
    </row>
    <row r="1765" spans="1:1" x14ac:dyDescent="0.25">
      <c r="A1765" s="710"/>
    </row>
    <row r="1766" spans="1:1" x14ac:dyDescent="0.25">
      <c r="A1766" s="710"/>
    </row>
    <row r="1767" spans="1:1" x14ac:dyDescent="0.25">
      <c r="A1767" s="710"/>
    </row>
    <row r="1768" spans="1:1" x14ac:dyDescent="0.25">
      <c r="A1768" s="710"/>
    </row>
    <row r="1769" spans="1:1" x14ac:dyDescent="0.25">
      <c r="A1769" s="710"/>
    </row>
    <row r="1770" spans="1:1" x14ac:dyDescent="0.25">
      <c r="A1770" s="710"/>
    </row>
    <row r="1771" spans="1:1" x14ac:dyDescent="0.25">
      <c r="A1771" s="710"/>
    </row>
    <row r="1772" spans="1:1" x14ac:dyDescent="0.25">
      <c r="A1772" s="710"/>
    </row>
    <row r="1773" spans="1:1" x14ac:dyDescent="0.25">
      <c r="A1773" s="710"/>
    </row>
    <row r="1774" spans="1:1" x14ac:dyDescent="0.25">
      <c r="A1774" s="710"/>
    </row>
    <row r="1775" spans="1:1" x14ac:dyDescent="0.25">
      <c r="A1775" s="710"/>
    </row>
    <row r="1776" spans="1:1" x14ac:dyDescent="0.25">
      <c r="A1776" s="710"/>
    </row>
    <row r="1777" spans="1:1" x14ac:dyDescent="0.25">
      <c r="A1777" s="710"/>
    </row>
    <row r="1778" spans="1:1" x14ac:dyDescent="0.25">
      <c r="A1778" s="710"/>
    </row>
    <row r="1779" spans="1:1" x14ac:dyDescent="0.25">
      <c r="A1779" s="710"/>
    </row>
    <row r="1780" spans="1:1" x14ac:dyDescent="0.25">
      <c r="A1780" s="710"/>
    </row>
    <row r="1781" spans="1:1" x14ac:dyDescent="0.25">
      <c r="A1781" s="710"/>
    </row>
    <row r="1782" spans="1:1" x14ac:dyDescent="0.25">
      <c r="A1782" s="710"/>
    </row>
    <row r="1783" spans="1:1" x14ac:dyDescent="0.25">
      <c r="A1783" s="710"/>
    </row>
    <row r="1784" spans="1:1" x14ac:dyDescent="0.25">
      <c r="A1784" s="710"/>
    </row>
    <row r="1785" spans="1:1" x14ac:dyDescent="0.25">
      <c r="A1785" s="710"/>
    </row>
    <row r="1786" spans="1:1" x14ac:dyDescent="0.25">
      <c r="A1786" s="710"/>
    </row>
    <row r="1787" spans="1:1" x14ac:dyDescent="0.25">
      <c r="A1787" s="710"/>
    </row>
    <row r="1788" spans="1:1" x14ac:dyDescent="0.25">
      <c r="A1788" s="710"/>
    </row>
    <row r="1789" spans="1:1" x14ac:dyDescent="0.25">
      <c r="A1789" s="710"/>
    </row>
    <row r="1790" spans="1:1" x14ac:dyDescent="0.25">
      <c r="A1790" s="710"/>
    </row>
    <row r="1791" spans="1:1" x14ac:dyDescent="0.25">
      <c r="A1791" s="710"/>
    </row>
    <row r="1792" spans="1:1" x14ac:dyDescent="0.25">
      <c r="A1792" s="710"/>
    </row>
    <row r="1793" spans="1:1" x14ac:dyDescent="0.25">
      <c r="A1793" s="710"/>
    </row>
    <row r="1794" spans="1:1" x14ac:dyDescent="0.25">
      <c r="A1794" s="710"/>
    </row>
    <row r="1795" spans="1:1" x14ac:dyDescent="0.25">
      <c r="A1795" s="710"/>
    </row>
    <row r="1796" spans="1:1" x14ac:dyDescent="0.25">
      <c r="A1796" s="710"/>
    </row>
    <row r="1797" spans="1:1" x14ac:dyDescent="0.25">
      <c r="A1797" s="710"/>
    </row>
    <row r="1798" spans="1:1" x14ac:dyDescent="0.25">
      <c r="A1798" s="710"/>
    </row>
    <row r="1799" spans="1:1" x14ac:dyDescent="0.25">
      <c r="A1799" s="710"/>
    </row>
    <row r="1800" spans="1:1" x14ac:dyDescent="0.25">
      <c r="A1800" s="710"/>
    </row>
    <row r="1801" spans="1:1" x14ac:dyDescent="0.25">
      <c r="A1801" s="710"/>
    </row>
    <row r="1802" spans="1:1" x14ac:dyDescent="0.25">
      <c r="A1802" s="710"/>
    </row>
    <row r="1803" spans="1:1" x14ac:dyDescent="0.25">
      <c r="A1803" s="710"/>
    </row>
    <row r="1804" spans="1:1" x14ac:dyDescent="0.25">
      <c r="A1804" s="710"/>
    </row>
    <row r="1805" spans="1:1" x14ac:dyDescent="0.25">
      <c r="A1805" s="710"/>
    </row>
    <row r="1806" spans="1:1" x14ac:dyDescent="0.25">
      <c r="A1806" s="710"/>
    </row>
    <row r="1807" spans="1:1" x14ac:dyDescent="0.25">
      <c r="A1807" s="710"/>
    </row>
    <row r="1808" spans="1:1" x14ac:dyDescent="0.25">
      <c r="A1808" s="710"/>
    </row>
    <row r="1809" spans="1:1" x14ac:dyDescent="0.25">
      <c r="A1809" s="710"/>
    </row>
    <row r="1810" spans="1:1" x14ac:dyDescent="0.25">
      <c r="A1810" s="710"/>
    </row>
    <row r="1811" spans="1:1" x14ac:dyDescent="0.25">
      <c r="A1811" s="710"/>
    </row>
    <row r="1812" spans="1:1" x14ac:dyDescent="0.25">
      <c r="A1812" s="710"/>
    </row>
    <row r="1813" spans="1:1" x14ac:dyDescent="0.25">
      <c r="A1813" s="710"/>
    </row>
    <row r="1814" spans="1:1" x14ac:dyDescent="0.25">
      <c r="A1814" s="710"/>
    </row>
    <row r="1815" spans="1:1" x14ac:dyDescent="0.25">
      <c r="A1815" s="710"/>
    </row>
    <row r="1816" spans="1:1" x14ac:dyDescent="0.25">
      <c r="A1816" s="710"/>
    </row>
    <row r="1817" spans="1:1" x14ac:dyDescent="0.25">
      <c r="A1817" s="710"/>
    </row>
    <row r="1818" spans="1:1" x14ac:dyDescent="0.25">
      <c r="A1818" s="710"/>
    </row>
    <row r="1819" spans="1:1" x14ac:dyDescent="0.25">
      <c r="A1819" s="710"/>
    </row>
    <row r="1820" spans="1:1" x14ac:dyDescent="0.25">
      <c r="A1820" s="710"/>
    </row>
    <row r="1821" spans="1:1" x14ac:dyDescent="0.25">
      <c r="A1821" s="710"/>
    </row>
    <row r="1822" spans="1:1" x14ac:dyDescent="0.25">
      <c r="A1822" s="710"/>
    </row>
    <row r="1823" spans="1:1" x14ac:dyDescent="0.25">
      <c r="A1823" s="710"/>
    </row>
    <row r="1824" spans="1:1" x14ac:dyDescent="0.25">
      <c r="A1824" s="710"/>
    </row>
    <row r="1825" spans="1:1" x14ac:dyDescent="0.25">
      <c r="A1825" s="710"/>
    </row>
    <row r="1826" spans="1:1" x14ac:dyDescent="0.25">
      <c r="A1826" s="710"/>
    </row>
    <row r="1827" spans="1:1" x14ac:dyDescent="0.25">
      <c r="A1827" s="710"/>
    </row>
    <row r="1828" spans="1:1" x14ac:dyDescent="0.25">
      <c r="A1828" s="710"/>
    </row>
    <row r="1829" spans="1:1" x14ac:dyDescent="0.25">
      <c r="A1829" s="710"/>
    </row>
    <row r="1830" spans="1:1" x14ac:dyDescent="0.25">
      <c r="A1830" s="710"/>
    </row>
    <row r="1831" spans="1:1" x14ac:dyDescent="0.25">
      <c r="A1831" s="710"/>
    </row>
    <row r="1832" spans="1:1" x14ac:dyDescent="0.25">
      <c r="A1832" s="710"/>
    </row>
    <row r="1833" spans="1:1" x14ac:dyDescent="0.25">
      <c r="A1833" s="710"/>
    </row>
    <row r="1834" spans="1:1" x14ac:dyDescent="0.25">
      <c r="A1834" s="710"/>
    </row>
    <row r="1835" spans="1:1" x14ac:dyDescent="0.25">
      <c r="A1835" s="710"/>
    </row>
    <row r="1836" spans="1:1" x14ac:dyDescent="0.25">
      <c r="A1836" s="710"/>
    </row>
    <row r="1837" spans="1:1" x14ac:dyDescent="0.25">
      <c r="A1837" s="710"/>
    </row>
    <row r="1838" spans="1:1" x14ac:dyDescent="0.25">
      <c r="A1838" s="710"/>
    </row>
    <row r="1839" spans="1:1" x14ac:dyDescent="0.25">
      <c r="A1839" s="710"/>
    </row>
    <row r="1840" spans="1:1" x14ac:dyDescent="0.25">
      <c r="A1840" s="710"/>
    </row>
    <row r="1841" spans="1:1" x14ac:dyDescent="0.25">
      <c r="A1841" s="710"/>
    </row>
    <row r="1842" spans="1:1" x14ac:dyDescent="0.25">
      <c r="A1842" s="710"/>
    </row>
    <row r="1843" spans="1:1" x14ac:dyDescent="0.25">
      <c r="A1843" s="710"/>
    </row>
    <row r="1844" spans="1:1" x14ac:dyDescent="0.25">
      <c r="A1844" s="710"/>
    </row>
    <row r="1845" spans="1:1" x14ac:dyDescent="0.25">
      <c r="A1845" s="710"/>
    </row>
    <row r="1846" spans="1:1" x14ac:dyDescent="0.25">
      <c r="A1846" s="710"/>
    </row>
    <row r="1847" spans="1:1" x14ac:dyDescent="0.25">
      <c r="A1847" s="710"/>
    </row>
    <row r="1848" spans="1:1" x14ac:dyDescent="0.25">
      <c r="A1848" s="710"/>
    </row>
    <row r="1849" spans="1:1" x14ac:dyDescent="0.25">
      <c r="A1849" s="710"/>
    </row>
    <row r="1850" spans="1:1" x14ac:dyDescent="0.25">
      <c r="A1850" s="710"/>
    </row>
    <row r="1851" spans="1:1" x14ac:dyDescent="0.25">
      <c r="A1851" s="710"/>
    </row>
    <row r="1852" spans="1:1" x14ac:dyDescent="0.25">
      <c r="A1852" s="710"/>
    </row>
    <row r="1853" spans="1:1" x14ac:dyDescent="0.25">
      <c r="A1853" s="710"/>
    </row>
    <row r="1854" spans="1:1" x14ac:dyDescent="0.25">
      <c r="A1854" s="710"/>
    </row>
    <row r="1855" spans="1:1" x14ac:dyDescent="0.25">
      <c r="A1855" s="710"/>
    </row>
    <row r="1856" spans="1:1" x14ac:dyDescent="0.25">
      <c r="A1856" s="710"/>
    </row>
    <row r="1857" spans="1:1" x14ac:dyDescent="0.25">
      <c r="A1857" s="710"/>
    </row>
    <row r="1858" spans="1:1" x14ac:dyDescent="0.25">
      <c r="A1858" s="710"/>
    </row>
    <row r="1859" spans="1:1" x14ac:dyDescent="0.25">
      <c r="A1859" s="710"/>
    </row>
    <row r="1860" spans="1:1" x14ac:dyDescent="0.25">
      <c r="A1860" s="710"/>
    </row>
    <row r="1861" spans="1:1" x14ac:dyDescent="0.25">
      <c r="A1861" s="710"/>
    </row>
    <row r="1862" spans="1:1" x14ac:dyDescent="0.25">
      <c r="A1862" s="710"/>
    </row>
    <row r="1863" spans="1:1" x14ac:dyDescent="0.25">
      <c r="A1863" s="710"/>
    </row>
    <row r="1864" spans="1:1" x14ac:dyDescent="0.25">
      <c r="A1864" s="710"/>
    </row>
    <row r="1865" spans="1:1" x14ac:dyDescent="0.25">
      <c r="A1865" s="710"/>
    </row>
    <row r="1866" spans="1:1" x14ac:dyDescent="0.25">
      <c r="A1866" s="710"/>
    </row>
    <row r="1867" spans="1:1" x14ac:dyDescent="0.25">
      <c r="A1867" s="710"/>
    </row>
    <row r="1868" spans="1:1" x14ac:dyDescent="0.25">
      <c r="A1868" s="710"/>
    </row>
    <row r="1869" spans="1:1" x14ac:dyDescent="0.25">
      <c r="A1869" s="710"/>
    </row>
    <row r="1870" spans="1:1" x14ac:dyDescent="0.25">
      <c r="A1870" s="710"/>
    </row>
    <row r="1871" spans="1:1" x14ac:dyDescent="0.25">
      <c r="A1871" s="710"/>
    </row>
    <row r="1872" spans="1:1" x14ac:dyDescent="0.25">
      <c r="A1872" s="710"/>
    </row>
    <row r="1873" spans="1:1" x14ac:dyDescent="0.25">
      <c r="A1873" s="710"/>
    </row>
    <row r="1874" spans="1:1" x14ac:dyDescent="0.25">
      <c r="A1874" s="710"/>
    </row>
    <row r="1875" spans="1:1" x14ac:dyDescent="0.25">
      <c r="A1875" s="710"/>
    </row>
    <row r="1876" spans="1:1" x14ac:dyDescent="0.25">
      <c r="A1876" s="710"/>
    </row>
    <row r="1877" spans="1:1" x14ac:dyDescent="0.25">
      <c r="A1877" s="710"/>
    </row>
    <row r="1878" spans="1:1" x14ac:dyDescent="0.25">
      <c r="A1878" s="710"/>
    </row>
    <row r="1879" spans="1:1" x14ac:dyDescent="0.25">
      <c r="A1879" s="710"/>
    </row>
    <row r="1880" spans="1:1" x14ac:dyDescent="0.25">
      <c r="A1880" s="710"/>
    </row>
    <row r="1881" spans="1:1" x14ac:dyDescent="0.25">
      <c r="A1881" s="710"/>
    </row>
    <row r="1882" spans="1:1" x14ac:dyDescent="0.25">
      <c r="A1882" s="710"/>
    </row>
    <row r="1883" spans="1:1" x14ac:dyDescent="0.25">
      <c r="A1883" s="710"/>
    </row>
    <row r="1884" spans="1:1" x14ac:dyDescent="0.25">
      <c r="A1884" s="710"/>
    </row>
    <row r="1885" spans="1:1" x14ac:dyDescent="0.25">
      <c r="A1885" s="710"/>
    </row>
    <row r="1886" spans="1:1" x14ac:dyDescent="0.25">
      <c r="A1886" s="710"/>
    </row>
    <row r="1887" spans="1:1" x14ac:dyDescent="0.25">
      <c r="A1887" s="710"/>
    </row>
    <row r="1888" spans="1:1" x14ac:dyDescent="0.25">
      <c r="A1888" s="710"/>
    </row>
    <row r="1889" spans="1:1" x14ac:dyDescent="0.25">
      <c r="A1889" s="710"/>
    </row>
    <row r="1890" spans="1:1" x14ac:dyDescent="0.25">
      <c r="A1890" s="710"/>
    </row>
    <row r="1891" spans="1:1" x14ac:dyDescent="0.25">
      <c r="A1891" s="710"/>
    </row>
    <row r="1892" spans="1:1" x14ac:dyDescent="0.25">
      <c r="A1892" s="710"/>
    </row>
    <row r="1893" spans="1:1" x14ac:dyDescent="0.25">
      <c r="A1893" s="710"/>
    </row>
    <row r="1894" spans="1:1" x14ac:dyDescent="0.25">
      <c r="A1894" s="710"/>
    </row>
    <row r="1895" spans="1:1" x14ac:dyDescent="0.25">
      <c r="A1895" s="710"/>
    </row>
    <row r="1896" spans="1:1" x14ac:dyDescent="0.25">
      <c r="A1896" s="710"/>
    </row>
    <row r="1897" spans="1:1" x14ac:dyDescent="0.25">
      <c r="A1897" s="710"/>
    </row>
    <row r="1898" spans="1:1" x14ac:dyDescent="0.25">
      <c r="A1898" s="710"/>
    </row>
    <row r="1899" spans="1:1" x14ac:dyDescent="0.25">
      <c r="A1899" s="710"/>
    </row>
    <row r="1900" spans="1:1" x14ac:dyDescent="0.25">
      <c r="A1900" s="710"/>
    </row>
    <row r="1901" spans="1:1" x14ac:dyDescent="0.25">
      <c r="A1901" s="710"/>
    </row>
    <row r="1902" spans="1:1" x14ac:dyDescent="0.25">
      <c r="A1902" s="710"/>
    </row>
    <row r="1903" spans="1:1" x14ac:dyDescent="0.25">
      <c r="A1903" s="710"/>
    </row>
    <row r="1904" spans="1:1" x14ac:dyDescent="0.25">
      <c r="A1904" s="710"/>
    </row>
    <row r="1905" spans="1:1" x14ac:dyDescent="0.25">
      <c r="A1905" s="710"/>
    </row>
    <row r="1906" spans="1:1" x14ac:dyDescent="0.25">
      <c r="A1906" s="710"/>
    </row>
    <row r="1907" spans="1:1" x14ac:dyDescent="0.25">
      <c r="A1907" s="710"/>
    </row>
    <row r="1908" spans="1:1" x14ac:dyDescent="0.25">
      <c r="A1908" s="710"/>
    </row>
    <row r="1909" spans="1:1" x14ac:dyDescent="0.25">
      <c r="A1909" s="710"/>
    </row>
    <row r="1910" spans="1:1" x14ac:dyDescent="0.25">
      <c r="A1910" s="710"/>
    </row>
    <row r="1911" spans="1:1" x14ac:dyDescent="0.25">
      <c r="A1911" s="710"/>
    </row>
    <row r="1912" spans="1:1" x14ac:dyDescent="0.25">
      <c r="A1912" s="710"/>
    </row>
    <row r="1913" spans="1:1" x14ac:dyDescent="0.25">
      <c r="A1913" s="710"/>
    </row>
    <row r="1914" spans="1:1" x14ac:dyDescent="0.25">
      <c r="A1914" s="710"/>
    </row>
    <row r="1915" spans="1:1" x14ac:dyDescent="0.25">
      <c r="A1915" s="710"/>
    </row>
    <row r="1916" spans="1:1" x14ac:dyDescent="0.25">
      <c r="A1916" s="710"/>
    </row>
    <row r="1917" spans="1:1" x14ac:dyDescent="0.25">
      <c r="A1917" s="710"/>
    </row>
    <row r="1918" spans="1:1" x14ac:dyDescent="0.25">
      <c r="A1918" s="710"/>
    </row>
    <row r="1919" spans="1:1" x14ac:dyDescent="0.25">
      <c r="A1919" s="710"/>
    </row>
    <row r="1920" spans="1:1" x14ac:dyDescent="0.25">
      <c r="A1920" s="710"/>
    </row>
    <row r="1921" spans="1:1" x14ac:dyDescent="0.25">
      <c r="A1921" s="710"/>
    </row>
    <row r="1922" spans="1:1" x14ac:dyDescent="0.25">
      <c r="A1922" s="710"/>
    </row>
    <row r="1923" spans="1:1" x14ac:dyDescent="0.25">
      <c r="A1923" s="710"/>
    </row>
    <row r="1924" spans="1:1" x14ac:dyDescent="0.25">
      <c r="A1924" s="710"/>
    </row>
    <row r="1925" spans="1:1" x14ac:dyDescent="0.25">
      <c r="A1925" s="710"/>
    </row>
    <row r="1926" spans="1:1" x14ac:dyDescent="0.25">
      <c r="A1926" s="710"/>
    </row>
    <row r="1927" spans="1:1" x14ac:dyDescent="0.25">
      <c r="A1927" s="710"/>
    </row>
    <row r="1928" spans="1:1" x14ac:dyDescent="0.25">
      <c r="A1928" s="710"/>
    </row>
    <row r="1929" spans="1:1" x14ac:dyDescent="0.25">
      <c r="A1929" s="710"/>
    </row>
    <row r="1930" spans="1:1" x14ac:dyDescent="0.25">
      <c r="A1930" s="710"/>
    </row>
    <row r="1931" spans="1:1" x14ac:dyDescent="0.25">
      <c r="A1931" s="710"/>
    </row>
    <row r="1932" spans="1:1" x14ac:dyDescent="0.25">
      <c r="A1932" s="710"/>
    </row>
    <row r="1933" spans="1:1" x14ac:dyDescent="0.25">
      <c r="A1933" s="710"/>
    </row>
    <row r="1934" spans="1:1" x14ac:dyDescent="0.25">
      <c r="A1934" s="710"/>
    </row>
    <row r="1935" spans="1:1" x14ac:dyDescent="0.25">
      <c r="A1935" s="710"/>
    </row>
    <row r="1936" spans="1:1" x14ac:dyDescent="0.25">
      <c r="A1936" s="710"/>
    </row>
    <row r="1937" spans="1:1" x14ac:dyDescent="0.25">
      <c r="A1937" s="710"/>
    </row>
    <row r="1938" spans="1:1" x14ac:dyDescent="0.25">
      <c r="A1938" s="710"/>
    </row>
    <row r="1939" spans="1:1" x14ac:dyDescent="0.25">
      <c r="A1939" s="710"/>
    </row>
    <row r="1940" spans="1:1" x14ac:dyDescent="0.25">
      <c r="A1940" s="710"/>
    </row>
    <row r="1941" spans="1:1" x14ac:dyDescent="0.25">
      <c r="A1941" s="710"/>
    </row>
    <row r="1942" spans="1:1" x14ac:dyDescent="0.25">
      <c r="A1942" s="710"/>
    </row>
    <row r="1943" spans="1:1" x14ac:dyDescent="0.25">
      <c r="A1943" s="710"/>
    </row>
    <row r="1944" spans="1:1" x14ac:dyDescent="0.25">
      <c r="A1944" s="710"/>
    </row>
    <row r="1945" spans="1:1" x14ac:dyDescent="0.25">
      <c r="A1945" s="710"/>
    </row>
    <row r="1946" spans="1:1" x14ac:dyDescent="0.25">
      <c r="A1946" s="710"/>
    </row>
    <row r="1947" spans="1:1" x14ac:dyDescent="0.25">
      <c r="A1947" s="710"/>
    </row>
    <row r="1948" spans="1:1" x14ac:dyDescent="0.25">
      <c r="A1948" s="710"/>
    </row>
    <row r="1949" spans="1:1" x14ac:dyDescent="0.25">
      <c r="A1949" s="710"/>
    </row>
    <row r="1950" spans="1:1" x14ac:dyDescent="0.25">
      <c r="A1950" s="710"/>
    </row>
    <row r="1951" spans="1:1" x14ac:dyDescent="0.25">
      <c r="A1951" s="710"/>
    </row>
    <row r="1952" spans="1:1" x14ac:dyDescent="0.25">
      <c r="A1952" s="710"/>
    </row>
    <row r="1953" spans="1:1" x14ac:dyDescent="0.25">
      <c r="A1953" s="710"/>
    </row>
    <row r="1954" spans="1:1" x14ac:dyDescent="0.25">
      <c r="A1954" s="710"/>
    </row>
    <row r="1955" spans="1:1" x14ac:dyDescent="0.25">
      <c r="A1955" s="710"/>
    </row>
    <row r="1956" spans="1:1" x14ac:dyDescent="0.25">
      <c r="A1956" s="710"/>
    </row>
    <row r="1957" spans="1:1" x14ac:dyDescent="0.25">
      <c r="A1957" s="710"/>
    </row>
    <row r="1958" spans="1:1" x14ac:dyDescent="0.25">
      <c r="A1958" s="710"/>
    </row>
    <row r="1959" spans="1:1" x14ac:dyDescent="0.25">
      <c r="A1959" s="710"/>
    </row>
    <row r="1960" spans="1:1" x14ac:dyDescent="0.25">
      <c r="A1960" s="710"/>
    </row>
    <row r="1961" spans="1:1" x14ac:dyDescent="0.25">
      <c r="A1961" s="710"/>
    </row>
    <row r="1962" spans="1:1" x14ac:dyDescent="0.25">
      <c r="A1962" s="710"/>
    </row>
    <row r="1963" spans="1:1" x14ac:dyDescent="0.25">
      <c r="A1963" s="710"/>
    </row>
    <row r="1964" spans="1:1" x14ac:dyDescent="0.25">
      <c r="A1964" s="710"/>
    </row>
    <row r="1965" spans="1:1" x14ac:dyDescent="0.25">
      <c r="A1965" s="710"/>
    </row>
    <row r="1966" spans="1:1" x14ac:dyDescent="0.25">
      <c r="A1966" s="710"/>
    </row>
    <row r="1967" spans="1:1" x14ac:dyDescent="0.25">
      <c r="A1967" s="710"/>
    </row>
    <row r="1968" spans="1:1" x14ac:dyDescent="0.25">
      <c r="A1968" s="710"/>
    </row>
    <row r="1969" spans="1:1" x14ac:dyDescent="0.25">
      <c r="A1969" s="710"/>
    </row>
    <row r="1970" spans="1:1" x14ac:dyDescent="0.25">
      <c r="A1970" s="710"/>
    </row>
    <row r="1971" spans="1:1" x14ac:dyDescent="0.25">
      <c r="A1971" s="710"/>
    </row>
    <row r="1972" spans="1:1" x14ac:dyDescent="0.25">
      <c r="A1972" s="710"/>
    </row>
    <row r="1973" spans="1:1" x14ac:dyDescent="0.25">
      <c r="A1973" s="710"/>
    </row>
    <row r="1974" spans="1:1" x14ac:dyDescent="0.25">
      <c r="A1974" s="710"/>
    </row>
    <row r="1975" spans="1:1" x14ac:dyDescent="0.25">
      <c r="A1975" s="710"/>
    </row>
    <row r="1976" spans="1:1" x14ac:dyDescent="0.25">
      <c r="A1976" s="710"/>
    </row>
    <row r="1977" spans="1:1" x14ac:dyDescent="0.25">
      <c r="A1977" s="710"/>
    </row>
    <row r="1978" spans="1:1" x14ac:dyDescent="0.25">
      <c r="A1978" s="710"/>
    </row>
    <row r="1979" spans="1:1" x14ac:dyDescent="0.25">
      <c r="A1979" s="710"/>
    </row>
    <row r="1980" spans="1:1" x14ac:dyDescent="0.25">
      <c r="A1980" s="710"/>
    </row>
    <row r="1981" spans="1:1" x14ac:dyDescent="0.25">
      <c r="A1981" s="710"/>
    </row>
    <row r="1982" spans="1:1" x14ac:dyDescent="0.25">
      <c r="A1982" s="710"/>
    </row>
    <row r="1983" spans="1:1" x14ac:dyDescent="0.25">
      <c r="A1983" s="710"/>
    </row>
    <row r="1984" spans="1:1" x14ac:dyDescent="0.25">
      <c r="A1984" s="710"/>
    </row>
    <row r="1985" spans="1:1" x14ac:dyDescent="0.25">
      <c r="A1985" s="710"/>
    </row>
    <row r="1986" spans="1:1" x14ac:dyDescent="0.25">
      <c r="A1986" s="710"/>
    </row>
    <row r="1987" spans="1:1" x14ac:dyDescent="0.25">
      <c r="A1987" s="710"/>
    </row>
    <row r="1988" spans="1:1" x14ac:dyDescent="0.25">
      <c r="A1988" s="710"/>
    </row>
    <row r="1989" spans="1:1" x14ac:dyDescent="0.25">
      <c r="A1989" s="710"/>
    </row>
    <row r="1990" spans="1:1" x14ac:dyDescent="0.25">
      <c r="A1990" s="710"/>
    </row>
    <row r="1991" spans="1:1" x14ac:dyDescent="0.25">
      <c r="A1991" s="710"/>
    </row>
    <row r="1992" spans="1:1" x14ac:dyDescent="0.25">
      <c r="A1992" s="710"/>
    </row>
    <row r="1993" spans="1:1" x14ac:dyDescent="0.25">
      <c r="A1993" s="710"/>
    </row>
    <row r="1994" spans="1:1" x14ac:dyDescent="0.25">
      <c r="A1994" s="710"/>
    </row>
    <row r="1995" spans="1:1" x14ac:dyDescent="0.25">
      <c r="A1995" s="710"/>
    </row>
    <row r="1996" spans="1:1" x14ac:dyDescent="0.25">
      <c r="A1996" s="710"/>
    </row>
    <row r="1997" spans="1:1" x14ac:dyDescent="0.25">
      <c r="A1997" s="710"/>
    </row>
    <row r="1998" spans="1:1" x14ac:dyDescent="0.25">
      <c r="A1998" s="710"/>
    </row>
    <row r="1999" spans="1:1" x14ac:dyDescent="0.25">
      <c r="A1999" s="710"/>
    </row>
    <row r="2000" spans="1:1" x14ac:dyDescent="0.25">
      <c r="A2000" s="710"/>
    </row>
    <row r="2001" spans="1:1" x14ac:dyDescent="0.25">
      <c r="A2001" s="710"/>
    </row>
    <row r="2002" spans="1:1" x14ac:dyDescent="0.25">
      <c r="A2002" s="710"/>
    </row>
    <row r="2003" spans="1:1" x14ac:dyDescent="0.25">
      <c r="A2003" s="710"/>
    </row>
    <row r="2004" spans="1:1" x14ac:dyDescent="0.25">
      <c r="A2004" s="710"/>
    </row>
    <row r="2005" spans="1:1" x14ac:dyDescent="0.25">
      <c r="A2005" s="710"/>
    </row>
    <row r="2006" spans="1:1" x14ac:dyDescent="0.25">
      <c r="A2006" s="710"/>
    </row>
    <row r="2007" spans="1:1" x14ac:dyDescent="0.25">
      <c r="A2007" s="710"/>
    </row>
    <row r="2008" spans="1:1" x14ac:dyDescent="0.25">
      <c r="A2008" s="710"/>
    </row>
    <row r="2009" spans="1:1" x14ac:dyDescent="0.25">
      <c r="A2009" s="710"/>
    </row>
    <row r="2010" spans="1:1" x14ac:dyDescent="0.25">
      <c r="A2010" s="710"/>
    </row>
    <row r="2011" spans="1:1" x14ac:dyDescent="0.25">
      <c r="A2011" s="710"/>
    </row>
    <row r="2012" spans="1:1" x14ac:dyDescent="0.25">
      <c r="A2012" s="710"/>
    </row>
    <row r="2013" spans="1:1" x14ac:dyDescent="0.25">
      <c r="A2013" s="710"/>
    </row>
    <row r="2014" spans="1:1" x14ac:dyDescent="0.25">
      <c r="A2014" s="710"/>
    </row>
    <row r="2015" spans="1:1" x14ac:dyDescent="0.25">
      <c r="A2015" s="710"/>
    </row>
    <row r="2016" spans="1:1" x14ac:dyDescent="0.25">
      <c r="A2016" s="710"/>
    </row>
    <row r="2017" spans="1:1" x14ac:dyDescent="0.25">
      <c r="A2017" s="710"/>
    </row>
    <row r="2018" spans="1:1" x14ac:dyDescent="0.25">
      <c r="A2018" s="710"/>
    </row>
    <row r="2019" spans="1:1" x14ac:dyDescent="0.25">
      <c r="A2019" s="710"/>
    </row>
    <row r="2020" spans="1:1" x14ac:dyDescent="0.25">
      <c r="A2020" s="710"/>
    </row>
    <row r="2021" spans="1:1" x14ac:dyDescent="0.25">
      <c r="A2021" s="710"/>
    </row>
    <row r="2022" spans="1:1" x14ac:dyDescent="0.25">
      <c r="A2022" s="710"/>
    </row>
    <row r="2023" spans="1:1" x14ac:dyDescent="0.25">
      <c r="A2023" s="710"/>
    </row>
    <row r="2024" spans="1:1" x14ac:dyDescent="0.25">
      <c r="A2024" s="710"/>
    </row>
    <row r="2025" spans="1:1" x14ac:dyDescent="0.25">
      <c r="A2025" s="710"/>
    </row>
    <row r="2026" spans="1:1" x14ac:dyDescent="0.25">
      <c r="A2026" s="710"/>
    </row>
    <row r="2027" spans="1:1" x14ac:dyDescent="0.25">
      <c r="A2027" s="710"/>
    </row>
    <row r="2028" spans="1:1" x14ac:dyDescent="0.25">
      <c r="A2028" s="710"/>
    </row>
    <row r="2029" spans="1:1" x14ac:dyDescent="0.25">
      <c r="A2029" s="710"/>
    </row>
    <row r="2030" spans="1:1" x14ac:dyDescent="0.25">
      <c r="A2030" s="710"/>
    </row>
    <row r="2031" spans="1:1" x14ac:dyDescent="0.25">
      <c r="A2031" s="710"/>
    </row>
    <row r="2032" spans="1:1" x14ac:dyDescent="0.25">
      <c r="A2032" s="710"/>
    </row>
    <row r="2033" spans="1:1" x14ac:dyDescent="0.25">
      <c r="A2033" s="710"/>
    </row>
    <row r="2034" spans="1:1" x14ac:dyDescent="0.25">
      <c r="A2034" s="710"/>
    </row>
    <row r="2035" spans="1:1" x14ac:dyDescent="0.25">
      <c r="A2035" s="710"/>
    </row>
    <row r="2036" spans="1:1" x14ac:dyDescent="0.25">
      <c r="A2036" s="710"/>
    </row>
    <row r="2037" spans="1:1" x14ac:dyDescent="0.25">
      <c r="A2037" s="710"/>
    </row>
    <row r="2038" spans="1:1" x14ac:dyDescent="0.25">
      <c r="A2038" s="710"/>
    </row>
    <row r="2039" spans="1:1" x14ac:dyDescent="0.25">
      <c r="A2039" s="710"/>
    </row>
    <row r="2040" spans="1:1" x14ac:dyDescent="0.25">
      <c r="A2040" s="710"/>
    </row>
    <row r="2041" spans="1:1" x14ac:dyDescent="0.25">
      <c r="A2041" s="710"/>
    </row>
    <row r="2042" spans="1:1" x14ac:dyDescent="0.25">
      <c r="A2042" s="710"/>
    </row>
    <row r="2043" spans="1:1" x14ac:dyDescent="0.25">
      <c r="A2043" s="710"/>
    </row>
    <row r="2044" spans="1:1" x14ac:dyDescent="0.25">
      <c r="A2044" s="710"/>
    </row>
    <row r="2045" spans="1:1" x14ac:dyDescent="0.25">
      <c r="A2045" s="710"/>
    </row>
    <row r="2046" spans="1:1" x14ac:dyDescent="0.25">
      <c r="A2046" s="710"/>
    </row>
    <row r="2047" spans="1:1" x14ac:dyDescent="0.25">
      <c r="A2047" s="710"/>
    </row>
    <row r="2048" spans="1:1" x14ac:dyDescent="0.25">
      <c r="A2048" s="710"/>
    </row>
    <row r="2049" spans="1:1" x14ac:dyDescent="0.25">
      <c r="A2049" s="710"/>
    </row>
    <row r="2050" spans="1:1" x14ac:dyDescent="0.25">
      <c r="A2050" s="710"/>
    </row>
    <row r="2051" spans="1:1" x14ac:dyDescent="0.25">
      <c r="A2051" s="710"/>
    </row>
    <row r="2052" spans="1:1" x14ac:dyDescent="0.25">
      <c r="A2052" s="710"/>
    </row>
    <row r="2053" spans="1:1" x14ac:dyDescent="0.25">
      <c r="A2053" s="710"/>
    </row>
    <row r="2054" spans="1:1" x14ac:dyDescent="0.25">
      <c r="A2054" s="710"/>
    </row>
    <row r="2055" spans="1:1" x14ac:dyDescent="0.25">
      <c r="A2055" s="710"/>
    </row>
    <row r="2056" spans="1:1" x14ac:dyDescent="0.25">
      <c r="A2056" s="710"/>
    </row>
    <row r="2057" spans="1:1" x14ac:dyDescent="0.25">
      <c r="A2057" s="710"/>
    </row>
    <row r="2058" spans="1:1" x14ac:dyDescent="0.25">
      <c r="A2058" s="710"/>
    </row>
    <row r="2059" spans="1:1" x14ac:dyDescent="0.25">
      <c r="A2059" s="710"/>
    </row>
    <row r="2060" spans="1:1" x14ac:dyDescent="0.25">
      <c r="A2060" s="710"/>
    </row>
    <row r="2061" spans="1:1" x14ac:dyDescent="0.25">
      <c r="A2061" s="710"/>
    </row>
    <row r="2062" spans="1:1" x14ac:dyDescent="0.25">
      <c r="A2062" s="710"/>
    </row>
    <row r="2063" spans="1:1" x14ac:dyDescent="0.25">
      <c r="A2063" s="710"/>
    </row>
    <row r="2064" spans="1:1" x14ac:dyDescent="0.25">
      <c r="A2064" s="710"/>
    </row>
    <row r="2065" spans="1:1" x14ac:dyDescent="0.25">
      <c r="A2065" s="710"/>
    </row>
    <row r="2066" spans="1:1" x14ac:dyDescent="0.25">
      <c r="A2066" s="710"/>
    </row>
    <row r="2067" spans="1:1" x14ac:dyDescent="0.25">
      <c r="A2067" s="710"/>
    </row>
    <row r="2068" spans="1:1" x14ac:dyDescent="0.25">
      <c r="A2068" s="710"/>
    </row>
    <row r="2069" spans="1:1" x14ac:dyDescent="0.25">
      <c r="A2069" s="710"/>
    </row>
    <row r="2070" spans="1:1" x14ac:dyDescent="0.25">
      <c r="A2070" s="710"/>
    </row>
    <row r="2071" spans="1:1" x14ac:dyDescent="0.25">
      <c r="A2071" s="710"/>
    </row>
    <row r="2072" spans="1:1" x14ac:dyDescent="0.25">
      <c r="A2072" s="710"/>
    </row>
    <row r="2073" spans="1:1" x14ac:dyDescent="0.25">
      <c r="A2073" s="710"/>
    </row>
    <row r="2074" spans="1:1" x14ac:dyDescent="0.25">
      <c r="A2074" s="710"/>
    </row>
    <row r="2075" spans="1:1" x14ac:dyDescent="0.25">
      <c r="A2075" s="710"/>
    </row>
    <row r="2076" spans="1:1" x14ac:dyDescent="0.25">
      <c r="A2076" s="710"/>
    </row>
    <row r="2077" spans="1:1" x14ac:dyDescent="0.25">
      <c r="A2077" s="710"/>
    </row>
    <row r="2078" spans="1:1" x14ac:dyDescent="0.25">
      <c r="A2078" s="710"/>
    </row>
    <row r="2079" spans="1:1" x14ac:dyDescent="0.25">
      <c r="A2079" s="710"/>
    </row>
    <row r="2080" spans="1:1" x14ac:dyDescent="0.25">
      <c r="A2080" s="710"/>
    </row>
    <row r="2081" spans="1:1" x14ac:dyDescent="0.25">
      <c r="A2081" s="710"/>
    </row>
    <row r="2082" spans="1:1" x14ac:dyDescent="0.25">
      <c r="A2082" s="710"/>
    </row>
    <row r="2083" spans="1:1" x14ac:dyDescent="0.25">
      <c r="A2083" s="710"/>
    </row>
    <row r="2084" spans="1:1" x14ac:dyDescent="0.25">
      <c r="A2084" s="710"/>
    </row>
    <row r="2085" spans="1:1" x14ac:dyDescent="0.25">
      <c r="A2085" s="710"/>
    </row>
    <row r="2086" spans="1:1" x14ac:dyDescent="0.25">
      <c r="A2086" s="710"/>
    </row>
    <row r="2087" spans="1:1" x14ac:dyDescent="0.25">
      <c r="A2087" s="710"/>
    </row>
    <row r="2088" spans="1:1" x14ac:dyDescent="0.25">
      <c r="A2088" s="710"/>
    </row>
    <row r="2089" spans="1:1" x14ac:dyDescent="0.25">
      <c r="A2089" s="710"/>
    </row>
    <row r="2090" spans="1:1" x14ac:dyDescent="0.25">
      <c r="A2090" s="710"/>
    </row>
    <row r="2091" spans="1:1" x14ac:dyDescent="0.25">
      <c r="A2091" s="710"/>
    </row>
    <row r="2092" spans="1:1" x14ac:dyDescent="0.25">
      <c r="A2092" s="710"/>
    </row>
    <row r="2093" spans="1:1" x14ac:dyDescent="0.25">
      <c r="A2093" s="710"/>
    </row>
    <row r="2094" spans="1:1" x14ac:dyDescent="0.25">
      <c r="A2094" s="710"/>
    </row>
    <row r="2095" spans="1:1" x14ac:dyDescent="0.25">
      <c r="A2095" s="710"/>
    </row>
    <row r="2096" spans="1:1" x14ac:dyDescent="0.25">
      <c r="A2096" s="710"/>
    </row>
    <row r="2097" spans="1:1" x14ac:dyDescent="0.25">
      <c r="A2097" s="710"/>
    </row>
    <row r="2098" spans="1:1" x14ac:dyDescent="0.25">
      <c r="A2098" s="710"/>
    </row>
    <row r="2099" spans="1:1" x14ac:dyDescent="0.25">
      <c r="A2099" s="710"/>
    </row>
    <row r="2100" spans="1:1" x14ac:dyDescent="0.25">
      <c r="A2100" s="710"/>
    </row>
    <row r="2101" spans="1:1" x14ac:dyDescent="0.25">
      <c r="A2101" s="710"/>
    </row>
    <row r="2102" spans="1:1" x14ac:dyDescent="0.25">
      <c r="A2102" s="710"/>
    </row>
    <row r="2103" spans="1:1" x14ac:dyDescent="0.25">
      <c r="A2103" s="710"/>
    </row>
    <row r="2104" spans="1:1" x14ac:dyDescent="0.25">
      <c r="A2104" s="710"/>
    </row>
    <row r="2105" spans="1:1" x14ac:dyDescent="0.25">
      <c r="A2105" s="710"/>
    </row>
    <row r="2106" spans="1:1" x14ac:dyDescent="0.25">
      <c r="A2106" s="710"/>
    </row>
    <row r="2107" spans="1:1" x14ac:dyDescent="0.25">
      <c r="A2107" s="710"/>
    </row>
    <row r="2108" spans="1:1" x14ac:dyDescent="0.25">
      <c r="A2108" s="710"/>
    </row>
    <row r="2109" spans="1:1" x14ac:dyDescent="0.25">
      <c r="A2109" s="710"/>
    </row>
    <row r="2110" spans="1:1" x14ac:dyDescent="0.25">
      <c r="A2110" s="710"/>
    </row>
    <row r="2111" spans="1:1" x14ac:dyDescent="0.25">
      <c r="A2111" s="710"/>
    </row>
    <row r="2112" spans="1:1" x14ac:dyDescent="0.25">
      <c r="A2112" s="710"/>
    </row>
    <row r="2113" spans="1:1" x14ac:dyDescent="0.25">
      <c r="A2113" s="710"/>
    </row>
    <row r="2114" spans="1:1" x14ac:dyDescent="0.25">
      <c r="A2114" s="710"/>
    </row>
    <row r="2115" spans="1:1" x14ac:dyDescent="0.25">
      <c r="A2115" s="710"/>
    </row>
    <row r="2116" spans="1:1" x14ac:dyDescent="0.25">
      <c r="A2116" s="710"/>
    </row>
    <row r="2117" spans="1:1" x14ac:dyDescent="0.25">
      <c r="A2117" s="710"/>
    </row>
    <row r="2118" spans="1:1" x14ac:dyDescent="0.25">
      <c r="A2118" s="710"/>
    </row>
    <row r="2119" spans="1:1" x14ac:dyDescent="0.25">
      <c r="A2119" s="710"/>
    </row>
    <row r="2120" spans="1:1" x14ac:dyDescent="0.25">
      <c r="A2120" s="710"/>
    </row>
    <row r="2121" spans="1:1" x14ac:dyDescent="0.25">
      <c r="A2121" s="710"/>
    </row>
    <row r="2122" spans="1:1" x14ac:dyDescent="0.25">
      <c r="A2122" s="710"/>
    </row>
    <row r="2123" spans="1:1" x14ac:dyDescent="0.25">
      <c r="A2123" s="710"/>
    </row>
    <row r="2124" spans="1:1" x14ac:dyDescent="0.25">
      <c r="A2124" s="710"/>
    </row>
    <row r="2125" spans="1:1" x14ac:dyDescent="0.25">
      <c r="A2125" s="710"/>
    </row>
    <row r="2126" spans="1:1" x14ac:dyDescent="0.25">
      <c r="A2126" s="710"/>
    </row>
    <row r="2127" spans="1:1" x14ac:dyDescent="0.25">
      <c r="A2127" s="710"/>
    </row>
    <row r="2128" spans="1:1" x14ac:dyDescent="0.25">
      <c r="A2128" s="710"/>
    </row>
    <row r="2129" spans="1:1" x14ac:dyDescent="0.25">
      <c r="A2129" s="710"/>
    </row>
    <row r="2130" spans="1:1" x14ac:dyDescent="0.25">
      <c r="A2130" s="710"/>
    </row>
    <row r="2131" spans="1:1" x14ac:dyDescent="0.25">
      <c r="A2131" s="710"/>
    </row>
    <row r="2132" spans="1:1" x14ac:dyDescent="0.25">
      <c r="A2132" s="710"/>
    </row>
    <row r="2133" spans="1:1" x14ac:dyDescent="0.25">
      <c r="A2133" s="710"/>
    </row>
    <row r="2134" spans="1:1" x14ac:dyDescent="0.25">
      <c r="A2134" s="710"/>
    </row>
    <row r="2135" spans="1:1" x14ac:dyDescent="0.25">
      <c r="A2135" s="710"/>
    </row>
    <row r="2136" spans="1:1" x14ac:dyDescent="0.25">
      <c r="A2136" s="710"/>
    </row>
    <row r="2137" spans="1:1" x14ac:dyDescent="0.25">
      <c r="A2137" s="710"/>
    </row>
    <row r="2138" spans="1:1" x14ac:dyDescent="0.25">
      <c r="A2138" s="710"/>
    </row>
    <row r="2139" spans="1:1" x14ac:dyDescent="0.25">
      <c r="A2139" s="710"/>
    </row>
    <row r="2140" spans="1:1" x14ac:dyDescent="0.25">
      <c r="A2140" s="710"/>
    </row>
    <row r="2141" spans="1:1" x14ac:dyDescent="0.25">
      <c r="A2141" s="710"/>
    </row>
    <row r="2142" spans="1:1" x14ac:dyDescent="0.25">
      <c r="A2142" s="710"/>
    </row>
    <row r="2143" spans="1:1" x14ac:dyDescent="0.25">
      <c r="A2143" s="710"/>
    </row>
    <row r="2144" spans="1:1" x14ac:dyDescent="0.25">
      <c r="A2144" s="710"/>
    </row>
    <row r="2145" spans="1:1" x14ac:dyDescent="0.25">
      <c r="A2145" s="710"/>
    </row>
    <row r="2146" spans="1:1" x14ac:dyDescent="0.25">
      <c r="A2146" s="710"/>
    </row>
    <row r="2147" spans="1:1" x14ac:dyDescent="0.25">
      <c r="A2147" s="710"/>
    </row>
    <row r="2148" spans="1:1" x14ac:dyDescent="0.25">
      <c r="A2148" s="710"/>
    </row>
    <row r="2149" spans="1:1" x14ac:dyDescent="0.25">
      <c r="A2149" s="710"/>
    </row>
    <row r="2150" spans="1:1" x14ac:dyDescent="0.25">
      <c r="A2150" s="710"/>
    </row>
    <row r="2151" spans="1:1" x14ac:dyDescent="0.25">
      <c r="A2151" s="710"/>
    </row>
    <row r="2152" spans="1:1" x14ac:dyDescent="0.25">
      <c r="A2152" s="710"/>
    </row>
    <row r="2153" spans="1:1" x14ac:dyDescent="0.25">
      <c r="A2153" s="710"/>
    </row>
    <row r="2154" spans="1:1" x14ac:dyDescent="0.25">
      <c r="A2154" s="710"/>
    </row>
    <row r="2155" spans="1:1" x14ac:dyDescent="0.25">
      <c r="A2155" s="710"/>
    </row>
    <row r="2156" spans="1:1" x14ac:dyDescent="0.25">
      <c r="A2156" s="710"/>
    </row>
    <row r="2157" spans="1:1" x14ac:dyDescent="0.25">
      <c r="A2157" s="710"/>
    </row>
    <row r="2158" spans="1:1" x14ac:dyDescent="0.25">
      <c r="A2158" s="710"/>
    </row>
    <row r="2159" spans="1:1" x14ac:dyDescent="0.25">
      <c r="A2159" s="710"/>
    </row>
    <row r="2160" spans="1:1" x14ac:dyDescent="0.25">
      <c r="A2160" s="710"/>
    </row>
    <row r="2161" spans="1:1" x14ac:dyDescent="0.25">
      <c r="A2161" s="710"/>
    </row>
    <row r="2162" spans="1:1" x14ac:dyDescent="0.25">
      <c r="A2162" s="710"/>
    </row>
    <row r="2163" spans="1:1" x14ac:dyDescent="0.25">
      <c r="A2163" s="710"/>
    </row>
    <row r="2164" spans="1:1" x14ac:dyDescent="0.25">
      <c r="A2164" s="710"/>
    </row>
    <row r="2165" spans="1:1" x14ac:dyDescent="0.25">
      <c r="A2165" s="710"/>
    </row>
    <row r="2166" spans="1:1" x14ac:dyDescent="0.25">
      <c r="A2166" s="710"/>
    </row>
    <row r="2167" spans="1:1" x14ac:dyDescent="0.25">
      <c r="A2167" s="710"/>
    </row>
    <row r="2168" spans="1:1" x14ac:dyDescent="0.25">
      <c r="A2168" s="710"/>
    </row>
    <row r="2169" spans="1:1" x14ac:dyDescent="0.25">
      <c r="A2169" s="710"/>
    </row>
    <row r="2170" spans="1:1" x14ac:dyDescent="0.25">
      <c r="A2170" s="710"/>
    </row>
    <row r="2171" spans="1:1" x14ac:dyDescent="0.25">
      <c r="A2171" s="710"/>
    </row>
    <row r="2172" spans="1:1" x14ac:dyDescent="0.25">
      <c r="A2172" s="710"/>
    </row>
    <row r="2173" spans="1:1" x14ac:dyDescent="0.25">
      <c r="A2173" s="710"/>
    </row>
    <row r="2174" spans="1:1" x14ac:dyDescent="0.25">
      <c r="A2174" s="710"/>
    </row>
    <row r="2175" spans="1:1" x14ac:dyDescent="0.25">
      <c r="A2175" s="710"/>
    </row>
    <row r="2176" spans="1:1" x14ac:dyDescent="0.25">
      <c r="A2176" s="710"/>
    </row>
    <row r="2177" spans="1:1" x14ac:dyDescent="0.25">
      <c r="A2177" s="710"/>
    </row>
    <row r="2178" spans="1:1" x14ac:dyDescent="0.25">
      <c r="A2178" s="710"/>
    </row>
    <row r="2179" spans="1:1" x14ac:dyDescent="0.25">
      <c r="A2179" s="710"/>
    </row>
    <row r="2180" spans="1:1" x14ac:dyDescent="0.25">
      <c r="A2180" s="710"/>
    </row>
    <row r="2181" spans="1:1" x14ac:dyDescent="0.25">
      <c r="A2181" s="710"/>
    </row>
    <row r="2182" spans="1:1" x14ac:dyDescent="0.25">
      <c r="A2182" s="710"/>
    </row>
    <row r="2183" spans="1:1" x14ac:dyDescent="0.25">
      <c r="A2183" s="710"/>
    </row>
    <row r="2184" spans="1:1" x14ac:dyDescent="0.25">
      <c r="A2184" s="710"/>
    </row>
    <row r="2185" spans="1:1" x14ac:dyDescent="0.25">
      <c r="A2185" s="710"/>
    </row>
    <row r="2186" spans="1:1" x14ac:dyDescent="0.25">
      <c r="A2186" s="710"/>
    </row>
    <row r="2187" spans="1:1" x14ac:dyDescent="0.25">
      <c r="A2187" s="710"/>
    </row>
    <row r="2188" spans="1:1" x14ac:dyDescent="0.25">
      <c r="A2188" s="710"/>
    </row>
    <row r="2189" spans="1:1" x14ac:dyDescent="0.25">
      <c r="A2189" s="710"/>
    </row>
    <row r="2190" spans="1:1" x14ac:dyDescent="0.25">
      <c r="A2190" s="710"/>
    </row>
    <row r="2191" spans="1:1" x14ac:dyDescent="0.25">
      <c r="A2191" s="710"/>
    </row>
    <row r="2192" spans="1:1" x14ac:dyDescent="0.25">
      <c r="A2192" s="710"/>
    </row>
    <row r="2193" spans="1:1" x14ac:dyDescent="0.25">
      <c r="A2193" s="710"/>
    </row>
    <row r="2194" spans="1:1" x14ac:dyDescent="0.25">
      <c r="A2194" s="710"/>
    </row>
    <row r="2195" spans="1:1" x14ac:dyDescent="0.25">
      <c r="A2195" s="710"/>
    </row>
    <row r="2196" spans="1:1" x14ac:dyDescent="0.25">
      <c r="A2196" s="710"/>
    </row>
    <row r="2197" spans="1:1" x14ac:dyDescent="0.25">
      <c r="A2197" s="710"/>
    </row>
    <row r="2198" spans="1:1" x14ac:dyDescent="0.25">
      <c r="A2198" s="710"/>
    </row>
    <row r="2199" spans="1:1" x14ac:dyDescent="0.25">
      <c r="A2199" s="710"/>
    </row>
    <row r="2200" spans="1:1" x14ac:dyDescent="0.25">
      <c r="A2200" s="710"/>
    </row>
    <row r="2201" spans="1:1" x14ac:dyDescent="0.25">
      <c r="A2201" s="710"/>
    </row>
    <row r="2202" spans="1:1" x14ac:dyDescent="0.25">
      <c r="A2202" s="710"/>
    </row>
    <row r="2203" spans="1:1" x14ac:dyDescent="0.25">
      <c r="A2203" s="710"/>
    </row>
    <row r="2204" spans="1:1" x14ac:dyDescent="0.25">
      <c r="A2204" s="710"/>
    </row>
    <row r="2205" spans="1:1" x14ac:dyDescent="0.25">
      <c r="A2205" s="710"/>
    </row>
    <row r="2206" spans="1:1" x14ac:dyDescent="0.25">
      <c r="A2206" s="710"/>
    </row>
    <row r="2207" spans="1:1" x14ac:dyDescent="0.25">
      <c r="A2207" s="710"/>
    </row>
    <row r="2208" spans="1:1" x14ac:dyDescent="0.25">
      <c r="A2208" s="710"/>
    </row>
    <row r="2209" spans="1:1" x14ac:dyDescent="0.25">
      <c r="A2209" s="710"/>
    </row>
    <row r="2210" spans="1:1" x14ac:dyDescent="0.25">
      <c r="A2210" s="710"/>
    </row>
    <row r="2211" spans="1:1" x14ac:dyDescent="0.25">
      <c r="A2211" s="710"/>
    </row>
    <row r="2212" spans="1:1" x14ac:dyDescent="0.25">
      <c r="A2212" s="710"/>
    </row>
    <row r="2213" spans="1:1" x14ac:dyDescent="0.25">
      <c r="A2213" s="710"/>
    </row>
    <row r="2214" spans="1:1" x14ac:dyDescent="0.25">
      <c r="A2214" s="710"/>
    </row>
    <row r="2215" spans="1:1" x14ac:dyDescent="0.25">
      <c r="A2215" s="710"/>
    </row>
    <row r="2216" spans="1:1" x14ac:dyDescent="0.25">
      <c r="A2216" s="710"/>
    </row>
    <row r="2217" spans="1:1" x14ac:dyDescent="0.25">
      <c r="A2217" s="710"/>
    </row>
    <row r="2218" spans="1:1" x14ac:dyDescent="0.25">
      <c r="A2218" s="710"/>
    </row>
    <row r="2219" spans="1:1" x14ac:dyDescent="0.25">
      <c r="A2219" s="710"/>
    </row>
    <row r="2220" spans="1:1" x14ac:dyDescent="0.25">
      <c r="A2220" s="710"/>
    </row>
    <row r="2221" spans="1:1" x14ac:dyDescent="0.25">
      <c r="A2221" s="710"/>
    </row>
    <row r="2222" spans="1:1" x14ac:dyDescent="0.25">
      <c r="A2222" s="710"/>
    </row>
    <row r="2223" spans="1:1" x14ac:dyDescent="0.25">
      <c r="A2223" s="710"/>
    </row>
    <row r="2224" spans="1:1" x14ac:dyDescent="0.25">
      <c r="A2224" s="710"/>
    </row>
    <row r="2225" spans="1:1" x14ac:dyDescent="0.25">
      <c r="A2225" s="710"/>
    </row>
    <row r="2226" spans="1:1" x14ac:dyDescent="0.25">
      <c r="A2226" s="710"/>
    </row>
    <row r="2227" spans="1:1" x14ac:dyDescent="0.25">
      <c r="A2227" s="710"/>
    </row>
    <row r="2228" spans="1:1" x14ac:dyDescent="0.25">
      <c r="A2228" s="710"/>
    </row>
    <row r="2229" spans="1:1" x14ac:dyDescent="0.25">
      <c r="A2229" s="710"/>
    </row>
    <row r="2230" spans="1:1" x14ac:dyDescent="0.25">
      <c r="A2230" s="710"/>
    </row>
    <row r="2231" spans="1:1" x14ac:dyDescent="0.25">
      <c r="A2231" s="710"/>
    </row>
    <row r="2232" spans="1:1" x14ac:dyDescent="0.25">
      <c r="A2232" s="710"/>
    </row>
    <row r="2233" spans="1:1" x14ac:dyDescent="0.25">
      <c r="A2233" s="710"/>
    </row>
    <row r="2234" spans="1:1" x14ac:dyDescent="0.25">
      <c r="A2234" s="710"/>
    </row>
    <row r="2235" spans="1:1" x14ac:dyDescent="0.25">
      <c r="A2235" s="710"/>
    </row>
    <row r="2236" spans="1:1" x14ac:dyDescent="0.25">
      <c r="A2236" s="710"/>
    </row>
    <row r="2237" spans="1:1" x14ac:dyDescent="0.25">
      <c r="A2237" s="710"/>
    </row>
    <row r="2238" spans="1:1" x14ac:dyDescent="0.25">
      <c r="A2238" s="710"/>
    </row>
    <row r="2239" spans="1:1" x14ac:dyDescent="0.25">
      <c r="A2239" s="710"/>
    </row>
    <row r="2240" spans="1:1" x14ac:dyDescent="0.25">
      <c r="A2240" s="710"/>
    </row>
    <row r="2241" spans="1:1" x14ac:dyDescent="0.25">
      <c r="A2241" s="710"/>
    </row>
    <row r="2242" spans="1:1" x14ac:dyDescent="0.25">
      <c r="A2242" s="710"/>
    </row>
    <row r="2243" spans="1:1" x14ac:dyDescent="0.25">
      <c r="A2243" s="710"/>
    </row>
    <row r="2244" spans="1:1" x14ac:dyDescent="0.25">
      <c r="A2244" s="710"/>
    </row>
    <row r="2245" spans="1:1" x14ac:dyDescent="0.25">
      <c r="A2245" s="710"/>
    </row>
    <row r="2246" spans="1:1" x14ac:dyDescent="0.25">
      <c r="A2246" s="710"/>
    </row>
    <row r="2247" spans="1:1" x14ac:dyDescent="0.25">
      <c r="A2247" s="710"/>
    </row>
    <row r="2248" spans="1:1" x14ac:dyDescent="0.25">
      <c r="A2248" s="710"/>
    </row>
    <row r="2249" spans="1:1" x14ac:dyDescent="0.25">
      <c r="A2249" s="710"/>
    </row>
    <row r="2250" spans="1:1" x14ac:dyDescent="0.25">
      <c r="A2250" s="710"/>
    </row>
    <row r="2251" spans="1:1" x14ac:dyDescent="0.25">
      <c r="A2251" s="710"/>
    </row>
    <row r="2252" spans="1:1" x14ac:dyDescent="0.25">
      <c r="A2252" s="710"/>
    </row>
    <row r="2253" spans="1:1" x14ac:dyDescent="0.25">
      <c r="A2253" s="710"/>
    </row>
    <row r="2254" spans="1:1" x14ac:dyDescent="0.25">
      <c r="A2254" s="710"/>
    </row>
    <row r="2255" spans="1:1" x14ac:dyDescent="0.25">
      <c r="A2255" s="710"/>
    </row>
    <row r="2256" spans="1:1" x14ac:dyDescent="0.25">
      <c r="A2256" s="710"/>
    </row>
    <row r="2257" spans="1:1" x14ac:dyDescent="0.25">
      <c r="A2257" s="710"/>
    </row>
    <row r="2258" spans="1:1" x14ac:dyDescent="0.25">
      <c r="A2258" s="710"/>
    </row>
    <row r="2259" spans="1:1" x14ac:dyDescent="0.25">
      <c r="A2259" s="710"/>
    </row>
    <row r="2260" spans="1:1" x14ac:dyDescent="0.25">
      <c r="A2260" s="710"/>
    </row>
    <row r="2261" spans="1:1" x14ac:dyDescent="0.25">
      <c r="A2261" s="710"/>
    </row>
    <row r="2262" spans="1:1" x14ac:dyDescent="0.25">
      <c r="A2262" s="710"/>
    </row>
    <row r="2263" spans="1:1" x14ac:dyDescent="0.25">
      <c r="A2263" s="710"/>
    </row>
    <row r="2264" spans="1:1" x14ac:dyDescent="0.25">
      <c r="A2264" s="710"/>
    </row>
    <row r="2265" spans="1:1" x14ac:dyDescent="0.25">
      <c r="A2265" s="710"/>
    </row>
    <row r="2266" spans="1:1" x14ac:dyDescent="0.25">
      <c r="A2266" s="710"/>
    </row>
    <row r="2267" spans="1:1" x14ac:dyDescent="0.25">
      <c r="A2267" s="710"/>
    </row>
    <row r="2268" spans="1:1" x14ac:dyDescent="0.25">
      <c r="A2268" s="710"/>
    </row>
    <row r="2269" spans="1:1" x14ac:dyDescent="0.25">
      <c r="A2269" s="710"/>
    </row>
    <row r="2270" spans="1:1" x14ac:dyDescent="0.25">
      <c r="A2270" s="710"/>
    </row>
    <row r="2271" spans="1:1" x14ac:dyDescent="0.25">
      <c r="A2271" s="710"/>
    </row>
    <row r="2272" spans="1:1" x14ac:dyDescent="0.25">
      <c r="A2272" s="710"/>
    </row>
    <row r="2273" spans="1:1" x14ac:dyDescent="0.25">
      <c r="A2273" s="710"/>
    </row>
    <row r="2274" spans="1:1" x14ac:dyDescent="0.25">
      <c r="A2274" s="710"/>
    </row>
    <row r="2275" spans="1:1" x14ac:dyDescent="0.25">
      <c r="A2275" s="710"/>
    </row>
    <row r="2276" spans="1:1" x14ac:dyDescent="0.25">
      <c r="A2276" s="710"/>
    </row>
    <row r="2277" spans="1:1" x14ac:dyDescent="0.25">
      <c r="A2277" s="710"/>
    </row>
    <row r="2278" spans="1:1" x14ac:dyDescent="0.25">
      <c r="A2278" s="710"/>
    </row>
    <row r="2279" spans="1:1" x14ac:dyDescent="0.25">
      <c r="A2279" s="710"/>
    </row>
    <row r="2280" spans="1:1" x14ac:dyDescent="0.25">
      <c r="A2280" s="710"/>
    </row>
    <row r="2281" spans="1:1" x14ac:dyDescent="0.25">
      <c r="A2281" s="710"/>
    </row>
    <row r="2282" spans="1:1" x14ac:dyDescent="0.25">
      <c r="A2282" s="710"/>
    </row>
    <row r="2283" spans="1:1" x14ac:dyDescent="0.25">
      <c r="A2283" s="710"/>
    </row>
    <row r="2284" spans="1:1" x14ac:dyDescent="0.25">
      <c r="A2284" s="710"/>
    </row>
    <row r="2285" spans="1:1" x14ac:dyDescent="0.25">
      <c r="A2285" s="710"/>
    </row>
    <row r="2286" spans="1:1" x14ac:dyDescent="0.25">
      <c r="A2286" s="710"/>
    </row>
    <row r="2287" spans="1:1" x14ac:dyDescent="0.25">
      <c r="A2287" s="710"/>
    </row>
    <row r="2288" spans="1:1" x14ac:dyDescent="0.25">
      <c r="A2288" s="710"/>
    </row>
    <row r="2289" spans="1:1" x14ac:dyDescent="0.25">
      <c r="A2289" s="710"/>
    </row>
    <row r="2290" spans="1:1" x14ac:dyDescent="0.25">
      <c r="A2290" s="710"/>
    </row>
    <row r="2291" spans="1:1" x14ac:dyDescent="0.25">
      <c r="A2291" s="710"/>
    </row>
    <row r="2292" spans="1:1" x14ac:dyDescent="0.25">
      <c r="A2292" s="710"/>
    </row>
    <row r="2293" spans="1:1" x14ac:dyDescent="0.25">
      <c r="A2293" s="710"/>
    </row>
    <row r="2294" spans="1:1" x14ac:dyDescent="0.25">
      <c r="A2294" s="710"/>
    </row>
    <row r="2295" spans="1:1" x14ac:dyDescent="0.25">
      <c r="A2295" s="710"/>
    </row>
    <row r="2296" spans="1:1" x14ac:dyDescent="0.25">
      <c r="A2296" s="710"/>
    </row>
    <row r="2297" spans="1:1" x14ac:dyDescent="0.25">
      <c r="A2297" s="710"/>
    </row>
    <row r="2298" spans="1:1" x14ac:dyDescent="0.25">
      <c r="A2298" s="710"/>
    </row>
    <row r="2299" spans="1:1" x14ac:dyDescent="0.25">
      <c r="A2299" s="710"/>
    </row>
    <row r="2300" spans="1:1" x14ac:dyDescent="0.25">
      <c r="A2300" s="710"/>
    </row>
    <row r="2301" spans="1:1" x14ac:dyDescent="0.25">
      <c r="A2301" s="710"/>
    </row>
    <row r="2302" spans="1:1" x14ac:dyDescent="0.25">
      <c r="A2302" s="710"/>
    </row>
    <row r="2303" spans="1:1" x14ac:dyDescent="0.25">
      <c r="A2303" s="710"/>
    </row>
    <row r="2304" spans="1:1" x14ac:dyDescent="0.25">
      <c r="A2304" s="710"/>
    </row>
    <row r="2305" spans="1:1" x14ac:dyDescent="0.25">
      <c r="A2305" s="710"/>
    </row>
    <row r="2306" spans="1:1" x14ac:dyDescent="0.25">
      <c r="A2306" s="710"/>
    </row>
    <row r="2307" spans="1:1" x14ac:dyDescent="0.25">
      <c r="A2307" s="710"/>
    </row>
    <row r="2308" spans="1:1" x14ac:dyDescent="0.25">
      <c r="A2308" s="710"/>
    </row>
    <row r="2309" spans="1:1" x14ac:dyDescent="0.25">
      <c r="A2309" s="710"/>
    </row>
    <row r="2310" spans="1:1" x14ac:dyDescent="0.25">
      <c r="A2310" s="710"/>
    </row>
    <row r="2311" spans="1:1" x14ac:dyDescent="0.25">
      <c r="A2311" s="710"/>
    </row>
    <row r="2312" spans="1:1" x14ac:dyDescent="0.25">
      <c r="A2312" s="710"/>
    </row>
    <row r="2313" spans="1:1" x14ac:dyDescent="0.25">
      <c r="A2313" s="710"/>
    </row>
    <row r="2314" spans="1:1" x14ac:dyDescent="0.25">
      <c r="A2314" s="710"/>
    </row>
    <row r="2315" spans="1:1" x14ac:dyDescent="0.25">
      <c r="A2315" s="710"/>
    </row>
    <row r="2316" spans="1:1" x14ac:dyDescent="0.25">
      <c r="A2316" s="710"/>
    </row>
    <row r="2317" spans="1:1" x14ac:dyDescent="0.25">
      <c r="A2317" s="710"/>
    </row>
    <row r="2318" spans="1:1" x14ac:dyDescent="0.25">
      <c r="A2318" s="710"/>
    </row>
    <row r="2319" spans="1:1" x14ac:dyDescent="0.25">
      <c r="A2319" s="710"/>
    </row>
    <row r="2320" spans="1:1" x14ac:dyDescent="0.25">
      <c r="A2320" s="710"/>
    </row>
    <row r="2321" spans="1:1" x14ac:dyDescent="0.25">
      <c r="A2321" s="710"/>
    </row>
    <row r="2322" spans="1:1" x14ac:dyDescent="0.25">
      <c r="A2322" s="710"/>
    </row>
    <row r="2323" spans="1:1" x14ac:dyDescent="0.25">
      <c r="A2323" s="710"/>
    </row>
    <row r="2324" spans="1:1" x14ac:dyDescent="0.25">
      <c r="A2324" s="710"/>
    </row>
    <row r="2325" spans="1:1" x14ac:dyDescent="0.25">
      <c r="A2325" s="710"/>
    </row>
    <row r="2326" spans="1:1" x14ac:dyDescent="0.25">
      <c r="A2326" s="710"/>
    </row>
    <row r="2327" spans="1:1" x14ac:dyDescent="0.25">
      <c r="A2327" s="710"/>
    </row>
    <row r="2328" spans="1:1" x14ac:dyDescent="0.25">
      <c r="A2328" s="710"/>
    </row>
    <row r="2329" spans="1:1" x14ac:dyDescent="0.25">
      <c r="A2329" s="710"/>
    </row>
    <row r="2330" spans="1:1" x14ac:dyDescent="0.25">
      <c r="A2330" s="710"/>
    </row>
    <row r="2331" spans="1:1" x14ac:dyDescent="0.25">
      <c r="A2331" s="710"/>
    </row>
    <row r="2332" spans="1:1" x14ac:dyDescent="0.25">
      <c r="A2332" s="710"/>
    </row>
    <row r="2333" spans="1:1" x14ac:dyDescent="0.25">
      <c r="A2333" s="710"/>
    </row>
    <row r="2334" spans="1:1" x14ac:dyDescent="0.25">
      <c r="A2334" s="710"/>
    </row>
    <row r="2335" spans="1:1" x14ac:dyDescent="0.25">
      <c r="A2335" s="710"/>
    </row>
    <row r="2336" spans="1:1" x14ac:dyDescent="0.25">
      <c r="A2336" s="710"/>
    </row>
    <row r="2337" spans="1:1" x14ac:dyDescent="0.25">
      <c r="A2337" s="710"/>
    </row>
    <row r="2338" spans="1:1" x14ac:dyDescent="0.25">
      <c r="A2338" s="710"/>
    </row>
    <row r="2339" spans="1:1" x14ac:dyDescent="0.25">
      <c r="A2339" s="710"/>
    </row>
    <row r="2340" spans="1:1" x14ac:dyDescent="0.25">
      <c r="A2340" s="710"/>
    </row>
    <row r="2341" spans="1:1" x14ac:dyDescent="0.25">
      <c r="A2341" s="710"/>
    </row>
    <row r="2342" spans="1:1" x14ac:dyDescent="0.25">
      <c r="A2342" s="710"/>
    </row>
    <row r="2343" spans="1:1" x14ac:dyDescent="0.25">
      <c r="A2343" s="710"/>
    </row>
    <row r="2344" spans="1:1" x14ac:dyDescent="0.25">
      <c r="A2344" s="710"/>
    </row>
    <row r="2345" spans="1:1" x14ac:dyDescent="0.25">
      <c r="A2345" s="710"/>
    </row>
    <row r="2346" spans="1:1" x14ac:dyDescent="0.25">
      <c r="A2346" s="710"/>
    </row>
    <row r="2347" spans="1:1" x14ac:dyDescent="0.25">
      <c r="A2347" s="710"/>
    </row>
    <row r="2348" spans="1:1" x14ac:dyDescent="0.25">
      <c r="A2348" s="710"/>
    </row>
    <row r="2349" spans="1:1" x14ac:dyDescent="0.25">
      <c r="A2349" s="710"/>
    </row>
    <row r="2350" spans="1:1" x14ac:dyDescent="0.25">
      <c r="A2350" s="710"/>
    </row>
    <row r="2351" spans="1:1" x14ac:dyDescent="0.25">
      <c r="A2351" s="710"/>
    </row>
    <row r="2352" spans="1:1" x14ac:dyDescent="0.25">
      <c r="A2352" s="710"/>
    </row>
    <row r="2353" spans="1:1" x14ac:dyDescent="0.25">
      <c r="A2353" s="710"/>
    </row>
    <row r="2354" spans="1:1" x14ac:dyDescent="0.25">
      <c r="A2354" s="710"/>
    </row>
    <row r="2355" spans="1:1" x14ac:dyDescent="0.25">
      <c r="A2355" s="710"/>
    </row>
    <row r="2356" spans="1:1" x14ac:dyDescent="0.25">
      <c r="A2356" s="710"/>
    </row>
    <row r="2357" spans="1:1" x14ac:dyDescent="0.25">
      <c r="A2357" s="710"/>
    </row>
    <row r="2358" spans="1:1" x14ac:dyDescent="0.25">
      <c r="A2358" s="710"/>
    </row>
    <row r="2359" spans="1:1" x14ac:dyDescent="0.25">
      <c r="A2359" s="710"/>
    </row>
    <row r="2360" spans="1:1" x14ac:dyDescent="0.25">
      <c r="A2360" s="710"/>
    </row>
    <row r="2361" spans="1:1" x14ac:dyDescent="0.25">
      <c r="A2361" s="710"/>
    </row>
    <row r="2362" spans="1:1" x14ac:dyDescent="0.25">
      <c r="A2362" s="710"/>
    </row>
    <row r="2363" spans="1:1" x14ac:dyDescent="0.25">
      <c r="A2363" s="710"/>
    </row>
    <row r="2364" spans="1:1" x14ac:dyDescent="0.25">
      <c r="A2364" s="710"/>
    </row>
    <row r="2365" spans="1:1" x14ac:dyDescent="0.25">
      <c r="A2365" s="710"/>
    </row>
    <row r="2366" spans="1:1" x14ac:dyDescent="0.25">
      <c r="A2366" s="710"/>
    </row>
    <row r="2367" spans="1:1" x14ac:dyDescent="0.25">
      <c r="A2367" s="710"/>
    </row>
    <row r="2368" spans="1:1" x14ac:dyDescent="0.25">
      <c r="A2368" s="710"/>
    </row>
    <row r="2369" spans="1:1" x14ac:dyDescent="0.25">
      <c r="A2369" s="710"/>
    </row>
    <row r="2370" spans="1:1" x14ac:dyDescent="0.25">
      <c r="A2370" s="710"/>
    </row>
    <row r="2371" spans="1:1" x14ac:dyDescent="0.25">
      <c r="A2371" s="710"/>
    </row>
    <row r="2372" spans="1:1" x14ac:dyDescent="0.25">
      <c r="A2372" s="710"/>
    </row>
    <row r="2373" spans="1:1" x14ac:dyDescent="0.25">
      <c r="A2373" s="710"/>
    </row>
    <row r="2374" spans="1:1" x14ac:dyDescent="0.25">
      <c r="A2374" s="710"/>
    </row>
    <row r="2375" spans="1:1" x14ac:dyDescent="0.25">
      <c r="A2375" s="710"/>
    </row>
    <row r="2376" spans="1:1" x14ac:dyDescent="0.25">
      <c r="A2376" s="710"/>
    </row>
    <row r="2377" spans="1:1" x14ac:dyDescent="0.25">
      <c r="A2377" s="710"/>
    </row>
    <row r="2378" spans="1:1" x14ac:dyDescent="0.25">
      <c r="A2378" s="710"/>
    </row>
    <row r="2379" spans="1:1" x14ac:dyDescent="0.25">
      <c r="A2379" s="710"/>
    </row>
    <row r="2380" spans="1:1" x14ac:dyDescent="0.25">
      <c r="A2380" s="710"/>
    </row>
    <row r="2381" spans="1:1" x14ac:dyDescent="0.25">
      <c r="A2381" s="710"/>
    </row>
    <row r="2382" spans="1:1" x14ac:dyDescent="0.25">
      <c r="A2382" s="710"/>
    </row>
    <row r="2383" spans="1:1" x14ac:dyDescent="0.25">
      <c r="A2383" s="710"/>
    </row>
    <row r="2384" spans="1:1" x14ac:dyDescent="0.25">
      <c r="A2384" s="710"/>
    </row>
    <row r="2385" spans="1:1" x14ac:dyDescent="0.25">
      <c r="A2385" s="710"/>
    </row>
    <row r="2386" spans="1:1" x14ac:dyDescent="0.25">
      <c r="A2386" s="710"/>
    </row>
    <row r="2387" spans="1:1" x14ac:dyDescent="0.25">
      <c r="A2387" s="710"/>
    </row>
    <row r="2388" spans="1:1" x14ac:dyDescent="0.25">
      <c r="A2388" s="710"/>
    </row>
    <row r="2389" spans="1:1" x14ac:dyDescent="0.25">
      <c r="A2389" s="710"/>
    </row>
    <row r="2390" spans="1:1" x14ac:dyDescent="0.25">
      <c r="A2390" s="710"/>
    </row>
    <row r="2391" spans="1:1" x14ac:dyDescent="0.25">
      <c r="A2391" s="710"/>
    </row>
    <row r="2392" spans="1:1" x14ac:dyDescent="0.25">
      <c r="A2392" s="710"/>
    </row>
    <row r="2393" spans="1:1" x14ac:dyDescent="0.25">
      <c r="A2393" s="710"/>
    </row>
    <row r="2394" spans="1:1" x14ac:dyDescent="0.25">
      <c r="A2394" s="710"/>
    </row>
    <row r="2395" spans="1:1" x14ac:dyDescent="0.25">
      <c r="A2395" s="710"/>
    </row>
    <row r="2396" spans="1:1" x14ac:dyDescent="0.25">
      <c r="A2396" s="710"/>
    </row>
    <row r="2397" spans="1:1" x14ac:dyDescent="0.25">
      <c r="A2397" s="710"/>
    </row>
    <row r="2398" spans="1:1" x14ac:dyDescent="0.25">
      <c r="A2398" s="710"/>
    </row>
    <row r="2399" spans="1:1" x14ac:dyDescent="0.25">
      <c r="A2399" s="710"/>
    </row>
    <row r="2400" spans="1:1" x14ac:dyDescent="0.25">
      <c r="A2400" s="710"/>
    </row>
    <row r="2401" spans="1:1" x14ac:dyDescent="0.25">
      <c r="A2401" s="710"/>
    </row>
    <row r="2402" spans="1:1" x14ac:dyDescent="0.25">
      <c r="A2402" s="710"/>
    </row>
    <row r="2403" spans="1:1" x14ac:dyDescent="0.25">
      <c r="A2403" s="710"/>
    </row>
    <row r="2404" spans="1:1" x14ac:dyDescent="0.25">
      <c r="A2404" s="710"/>
    </row>
    <row r="2405" spans="1:1" x14ac:dyDescent="0.25">
      <c r="A2405" s="710"/>
    </row>
    <row r="2406" spans="1:1" x14ac:dyDescent="0.25">
      <c r="A2406" s="710"/>
    </row>
    <row r="2407" spans="1:1" x14ac:dyDescent="0.25">
      <c r="A2407" s="710"/>
    </row>
    <row r="2408" spans="1:1" x14ac:dyDescent="0.25">
      <c r="A2408" s="710"/>
    </row>
    <row r="2409" spans="1:1" x14ac:dyDescent="0.25">
      <c r="A2409" s="710"/>
    </row>
    <row r="2410" spans="1:1" x14ac:dyDescent="0.25">
      <c r="A2410" s="710"/>
    </row>
    <row r="2411" spans="1:1" x14ac:dyDescent="0.25">
      <c r="A2411" s="710"/>
    </row>
    <row r="2412" spans="1:1" x14ac:dyDescent="0.25">
      <c r="A2412" s="710"/>
    </row>
    <row r="2413" spans="1:1" x14ac:dyDescent="0.25">
      <c r="A2413" s="710"/>
    </row>
    <row r="2414" spans="1:1" x14ac:dyDescent="0.25">
      <c r="A2414" s="710"/>
    </row>
    <row r="2415" spans="1:1" x14ac:dyDescent="0.25">
      <c r="A2415" s="710"/>
    </row>
    <row r="2416" spans="1:1" x14ac:dyDescent="0.25">
      <c r="A2416" s="710"/>
    </row>
    <row r="2417" spans="1:1" x14ac:dyDescent="0.25">
      <c r="A2417" s="710"/>
    </row>
    <row r="2418" spans="1:1" x14ac:dyDescent="0.25">
      <c r="A2418" s="710"/>
    </row>
    <row r="2419" spans="1:1" x14ac:dyDescent="0.25">
      <c r="A2419" s="710"/>
    </row>
    <row r="2420" spans="1:1" x14ac:dyDescent="0.25">
      <c r="A2420" s="710"/>
    </row>
    <row r="2421" spans="1:1" x14ac:dyDescent="0.25">
      <c r="A2421" s="710"/>
    </row>
    <row r="2422" spans="1:1" x14ac:dyDescent="0.25">
      <c r="A2422" s="710"/>
    </row>
    <row r="2423" spans="1:1" x14ac:dyDescent="0.25">
      <c r="A2423" s="710"/>
    </row>
    <row r="2424" spans="1:1" x14ac:dyDescent="0.25">
      <c r="A2424" s="710"/>
    </row>
    <row r="2425" spans="1:1" x14ac:dyDescent="0.25">
      <c r="A2425" s="710"/>
    </row>
    <row r="2426" spans="1:1" x14ac:dyDescent="0.25">
      <c r="A2426" s="710"/>
    </row>
    <row r="2427" spans="1:1" x14ac:dyDescent="0.25">
      <c r="A2427" s="710"/>
    </row>
    <row r="2428" spans="1:1" x14ac:dyDescent="0.25">
      <c r="A2428" s="710"/>
    </row>
    <row r="2429" spans="1:1" x14ac:dyDescent="0.25">
      <c r="A2429" s="710"/>
    </row>
    <row r="2430" spans="1:1" x14ac:dyDescent="0.25">
      <c r="A2430" s="710"/>
    </row>
    <row r="2431" spans="1:1" x14ac:dyDescent="0.25">
      <c r="A2431" s="710"/>
    </row>
    <row r="2432" spans="1:1" x14ac:dyDescent="0.25">
      <c r="A2432" s="710"/>
    </row>
    <row r="2433" spans="1:1" x14ac:dyDescent="0.25">
      <c r="A2433" s="710"/>
    </row>
    <row r="2434" spans="1:1" x14ac:dyDescent="0.25">
      <c r="A2434" s="710"/>
    </row>
    <row r="2435" spans="1:1" x14ac:dyDescent="0.25">
      <c r="A2435" s="710"/>
    </row>
    <row r="2436" spans="1:1" x14ac:dyDescent="0.25">
      <c r="A2436" s="710"/>
    </row>
    <row r="2437" spans="1:1" x14ac:dyDescent="0.25">
      <c r="A2437" s="710"/>
    </row>
    <row r="2438" spans="1:1" x14ac:dyDescent="0.25">
      <c r="A2438" s="710"/>
    </row>
    <row r="2439" spans="1:1" x14ac:dyDescent="0.25">
      <c r="A2439" s="710"/>
    </row>
    <row r="2440" spans="1:1" x14ac:dyDescent="0.25">
      <c r="A2440" s="710"/>
    </row>
    <row r="2441" spans="1:1" x14ac:dyDescent="0.25">
      <c r="A2441" s="710"/>
    </row>
    <row r="2442" spans="1:1" x14ac:dyDescent="0.25">
      <c r="A2442" s="710"/>
    </row>
    <row r="2443" spans="1:1" x14ac:dyDescent="0.25">
      <c r="A2443" s="710"/>
    </row>
    <row r="2444" spans="1:1" x14ac:dyDescent="0.25">
      <c r="A2444" s="710"/>
    </row>
    <row r="2445" spans="1:1" x14ac:dyDescent="0.25">
      <c r="A2445" s="710"/>
    </row>
    <row r="2446" spans="1:1" x14ac:dyDescent="0.25">
      <c r="A2446" s="710"/>
    </row>
    <row r="2447" spans="1:1" x14ac:dyDescent="0.25">
      <c r="A2447" s="710"/>
    </row>
    <row r="2448" spans="1:1" x14ac:dyDescent="0.25">
      <c r="A2448" s="710"/>
    </row>
    <row r="2449" spans="1:1" x14ac:dyDescent="0.25">
      <c r="A2449" s="710"/>
    </row>
    <row r="2450" spans="1:1" x14ac:dyDescent="0.25">
      <c r="A2450" s="710"/>
    </row>
    <row r="2451" spans="1:1" x14ac:dyDescent="0.25">
      <c r="A2451" s="710"/>
    </row>
    <row r="2452" spans="1:1" x14ac:dyDescent="0.25">
      <c r="A2452" s="710"/>
    </row>
    <row r="2453" spans="1:1" x14ac:dyDescent="0.25">
      <c r="A2453" s="710"/>
    </row>
    <row r="2454" spans="1:1" x14ac:dyDescent="0.25">
      <c r="A2454" s="710"/>
    </row>
    <row r="2455" spans="1:1" x14ac:dyDescent="0.25">
      <c r="A2455" s="710"/>
    </row>
    <row r="2456" spans="1:1" x14ac:dyDescent="0.25">
      <c r="A2456" s="710"/>
    </row>
    <row r="2457" spans="1:1" x14ac:dyDescent="0.25">
      <c r="A2457" s="710"/>
    </row>
    <row r="2458" spans="1:1" x14ac:dyDescent="0.25">
      <c r="A2458" s="710"/>
    </row>
    <row r="2459" spans="1:1" x14ac:dyDescent="0.25">
      <c r="A2459" s="710"/>
    </row>
    <row r="2460" spans="1:1" x14ac:dyDescent="0.25">
      <c r="A2460" s="710"/>
    </row>
    <row r="2461" spans="1:1" x14ac:dyDescent="0.25">
      <c r="A2461" s="710"/>
    </row>
    <row r="2462" spans="1:1" x14ac:dyDescent="0.25">
      <c r="A2462" s="710"/>
    </row>
    <row r="2463" spans="1:1" x14ac:dyDescent="0.25">
      <c r="A2463" s="710"/>
    </row>
    <row r="2464" spans="1:1" x14ac:dyDescent="0.25">
      <c r="A2464" s="710"/>
    </row>
    <row r="2465" spans="1:1" x14ac:dyDescent="0.25">
      <c r="A2465" s="710"/>
    </row>
    <row r="2466" spans="1:1" x14ac:dyDescent="0.25">
      <c r="A2466" s="710"/>
    </row>
    <row r="2467" spans="1:1" x14ac:dyDescent="0.25">
      <c r="A2467" s="710"/>
    </row>
    <row r="2468" spans="1:1" x14ac:dyDescent="0.25">
      <c r="A2468" s="710"/>
    </row>
    <row r="2469" spans="1:1" x14ac:dyDescent="0.25">
      <c r="A2469" s="710"/>
    </row>
    <row r="2470" spans="1:1" x14ac:dyDescent="0.25">
      <c r="A2470" s="710"/>
    </row>
    <row r="2471" spans="1:1" x14ac:dyDescent="0.25">
      <c r="A2471" s="710"/>
    </row>
    <row r="2472" spans="1:1" x14ac:dyDescent="0.25">
      <c r="A2472" s="710"/>
    </row>
    <row r="2473" spans="1:1" x14ac:dyDescent="0.25">
      <c r="A2473" s="710"/>
    </row>
    <row r="2474" spans="1:1" x14ac:dyDescent="0.25">
      <c r="A2474" s="710"/>
    </row>
    <row r="2475" spans="1:1" x14ac:dyDescent="0.25">
      <c r="A2475" s="710"/>
    </row>
    <row r="2476" spans="1:1" x14ac:dyDescent="0.25">
      <c r="A2476" s="710"/>
    </row>
    <row r="2477" spans="1:1" x14ac:dyDescent="0.25">
      <c r="A2477" s="710"/>
    </row>
    <row r="2478" spans="1:1" x14ac:dyDescent="0.25">
      <c r="A2478" s="710"/>
    </row>
    <row r="2479" spans="1:1" x14ac:dyDescent="0.25">
      <c r="A2479" s="710"/>
    </row>
    <row r="2480" spans="1:1" x14ac:dyDescent="0.25">
      <c r="A2480" s="710"/>
    </row>
    <row r="2481" spans="1:1" x14ac:dyDescent="0.25">
      <c r="A2481" s="710"/>
    </row>
    <row r="2482" spans="1:1" x14ac:dyDescent="0.25">
      <c r="A2482" s="710"/>
    </row>
    <row r="2483" spans="1:1" x14ac:dyDescent="0.25">
      <c r="A2483" s="710"/>
    </row>
    <row r="2484" spans="1:1" x14ac:dyDescent="0.25">
      <c r="A2484" s="710"/>
    </row>
    <row r="2485" spans="1:1" x14ac:dyDescent="0.25">
      <c r="A2485" s="710"/>
    </row>
    <row r="2486" spans="1:1" x14ac:dyDescent="0.25">
      <c r="A2486" s="710"/>
    </row>
    <row r="2487" spans="1:1" x14ac:dyDescent="0.25">
      <c r="A2487" s="710"/>
    </row>
    <row r="2488" spans="1:1" x14ac:dyDescent="0.25">
      <c r="A2488" s="710"/>
    </row>
    <row r="2489" spans="1:1" x14ac:dyDescent="0.25">
      <c r="A2489" s="710"/>
    </row>
    <row r="2490" spans="1:1" x14ac:dyDescent="0.25">
      <c r="A2490" s="710"/>
    </row>
    <row r="2491" spans="1:1" x14ac:dyDescent="0.25">
      <c r="A2491" s="710"/>
    </row>
    <row r="2492" spans="1:1" x14ac:dyDescent="0.25">
      <c r="A2492" s="710"/>
    </row>
    <row r="2493" spans="1:1" x14ac:dyDescent="0.25">
      <c r="A2493" s="710"/>
    </row>
    <row r="2494" spans="1:1" x14ac:dyDescent="0.25">
      <c r="A2494" s="710"/>
    </row>
    <row r="2495" spans="1:1" x14ac:dyDescent="0.25">
      <c r="A2495" s="710"/>
    </row>
    <row r="2496" spans="1:1" x14ac:dyDescent="0.25">
      <c r="A2496" s="710"/>
    </row>
    <row r="2497" spans="1:1" x14ac:dyDescent="0.25">
      <c r="A2497" s="710"/>
    </row>
    <row r="2498" spans="1:1" x14ac:dyDescent="0.25">
      <c r="A2498" s="710"/>
    </row>
    <row r="2499" spans="1:1" x14ac:dyDescent="0.25">
      <c r="A2499" s="710"/>
    </row>
    <row r="2500" spans="1:1" x14ac:dyDescent="0.25">
      <c r="A2500" s="710"/>
    </row>
    <row r="2501" spans="1:1" x14ac:dyDescent="0.25">
      <c r="A2501" s="710"/>
    </row>
    <row r="2502" spans="1:1" x14ac:dyDescent="0.25">
      <c r="A2502" s="710"/>
    </row>
    <row r="2503" spans="1:1" x14ac:dyDescent="0.25">
      <c r="A2503" s="710"/>
    </row>
    <row r="2504" spans="1:1" x14ac:dyDescent="0.25">
      <c r="A2504" s="710"/>
    </row>
    <row r="2505" spans="1:1" x14ac:dyDescent="0.25">
      <c r="A2505" s="710"/>
    </row>
    <row r="2506" spans="1:1" x14ac:dyDescent="0.25">
      <c r="A2506" s="710"/>
    </row>
    <row r="2507" spans="1:1" x14ac:dyDescent="0.25">
      <c r="A2507" s="710"/>
    </row>
    <row r="2508" spans="1:1" x14ac:dyDescent="0.25">
      <c r="A2508" s="710"/>
    </row>
    <row r="2509" spans="1:1" x14ac:dyDescent="0.25">
      <c r="A2509" s="710"/>
    </row>
    <row r="2510" spans="1:1" x14ac:dyDescent="0.25">
      <c r="A2510" s="710"/>
    </row>
    <row r="2511" spans="1:1" x14ac:dyDescent="0.25">
      <c r="A2511" s="710"/>
    </row>
    <row r="2512" spans="1:1" x14ac:dyDescent="0.25">
      <c r="A2512" s="710"/>
    </row>
    <row r="2513" spans="1:1" x14ac:dyDescent="0.25">
      <c r="A2513" s="710"/>
    </row>
    <row r="2514" spans="1:1" x14ac:dyDescent="0.25">
      <c r="A2514" s="710"/>
    </row>
    <row r="2515" spans="1:1" x14ac:dyDescent="0.25">
      <c r="A2515" s="710"/>
    </row>
    <row r="2516" spans="1:1" x14ac:dyDescent="0.25">
      <c r="A2516" s="710"/>
    </row>
    <row r="2517" spans="1:1" x14ac:dyDescent="0.25">
      <c r="A2517" s="710"/>
    </row>
    <row r="2518" spans="1:1" x14ac:dyDescent="0.25">
      <c r="A2518" s="710"/>
    </row>
    <row r="2519" spans="1:1" x14ac:dyDescent="0.25">
      <c r="A2519" s="710"/>
    </row>
    <row r="2520" spans="1:1" x14ac:dyDescent="0.25">
      <c r="A2520" s="710"/>
    </row>
    <row r="2521" spans="1:1" x14ac:dyDescent="0.25">
      <c r="A2521" s="710"/>
    </row>
    <row r="2522" spans="1:1" x14ac:dyDescent="0.25">
      <c r="A2522" s="710"/>
    </row>
    <row r="2523" spans="1:1" x14ac:dyDescent="0.25">
      <c r="A2523" s="710"/>
    </row>
    <row r="2524" spans="1:1" x14ac:dyDescent="0.25">
      <c r="A2524" s="710"/>
    </row>
    <row r="2525" spans="1:1" x14ac:dyDescent="0.25">
      <c r="A2525" s="710"/>
    </row>
    <row r="2526" spans="1:1" x14ac:dyDescent="0.25">
      <c r="A2526" s="710"/>
    </row>
    <row r="2527" spans="1:1" x14ac:dyDescent="0.25">
      <c r="A2527" s="710"/>
    </row>
    <row r="2528" spans="1:1" x14ac:dyDescent="0.25">
      <c r="A2528" s="710"/>
    </row>
    <row r="2529" spans="1:1" x14ac:dyDescent="0.25">
      <c r="A2529" s="710"/>
    </row>
    <row r="2530" spans="1:1" x14ac:dyDescent="0.25">
      <c r="A2530" s="710"/>
    </row>
    <row r="2531" spans="1:1" x14ac:dyDescent="0.25">
      <c r="A2531" s="710"/>
    </row>
    <row r="2532" spans="1:1" x14ac:dyDescent="0.25">
      <c r="A2532" s="710"/>
    </row>
    <row r="2533" spans="1:1" x14ac:dyDescent="0.25">
      <c r="A2533" s="710"/>
    </row>
    <row r="2534" spans="1:1" x14ac:dyDescent="0.25">
      <c r="A2534" s="710"/>
    </row>
    <row r="2535" spans="1:1" x14ac:dyDescent="0.25">
      <c r="A2535" s="710"/>
    </row>
    <row r="2536" spans="1:1" x14ac:dyDescent="0.25">
      <c r="A2536" s="710"/>
    </row>
    <row r="2537" spans="1:1" x14ac:dyDescent="0.25">
      <c r="A2537" s="710"/>
    </row>
    <row r="2538" spans="1:1" x14ac:dyDescent="0.25">
      <c r="A2538" s="710"/>
    </row>
    <row r="2539" spans="1:1" x14ac:dyDescent="0.25">
      <c r="A2539" s="710"/>
    </row>
    <row r="2540" spans="1:1" x14ac:dyDescent="0.25">
      <c r="A2540" s="710"/>
    </row>
    <row r="2541" spans="1:1" x14ac:dyDescent="0.25">
      <c r="A2541" s="710"/>
    </row>
    <row r="2542" spans="1:1" x14ac:dyDescent="0.25">
      <c r="A2542" s="710"/>
    </row>
    <row r="2543" spans="1:1" x14ac:dyDescent="0.25">
      <c r="A2543" s="710"/>
    </row>
    <row r="2544" spans="1:1" x14ac:dyDescent="0.25">
      <c r="A2544" s="710"/>
    </row>
    <row r="2545" spans="1:1" x14ac:dyDescent="0.25">
      <c r="A2545" s="710"/>
    </row>
    <row r="2546" spans="1:1" x14ac:dyDescent="0.25">
      <c r="A2546" s="710"/>
    </row>
    <row r="2547" spans="1:1" x14ac:dyDescent="0.25">
      <c r="A2547" s="710"/>
    </row>
    <row r="2548" spans="1:1" x14ac:dyDescent="0.25">
      <c r="A2548" s="710"/>
    </row>
    <row r="2549" spans="1:1" x14ac:dyDescent="0.25">
      <c r="A2549" s="710"/>
    </row>
    <row r="2550" spans="1:1" x14ac:dyDescent="0.25">
      <c r="A2550" s="710"/>
    </row>
    <row r="2551" spans="1:1" x14ac:dyDescent="0.25">
      <c r="A2551" s="710"/>
    </row>
    <row r="2552" spans="1:1" x14ac:dyDescent="0.25">
      <c r="A2552" s="710"/>
    </row>
    <row r="2553" spans="1:1" x14ac:dyDescent="0.25">
      <c r="A2553" s="710"/>
    </row>
    <row r="2554" spans="1:1" x14ac:dyDescent="0.25">
      <c r="A2554" s="710"/>
    </row>
    <row r="2555" spans="1:1" x14ac:dyDescent="0.25">
      <c r="A2555" s="710"/>
    </row>
    <row r="2556" spans="1:1" x14ac:dyDescent="0.25">
      <c r="A2556" s="710"/>
    </row>
    <row r="2557" spans="1:1" x14ac:dyDescent="0.25">
      <c r="A2557" s="710"/>
    </row>
    <row r="2558" spans="1:1" x14ac:dyDescent="0.25">
      <c r="A2558" s="710"/>
    </row>
    <row r="2559" spans="1:1" x14ac:dyDescent="0.25">
      <c r="A2559" s="710"/>
    </row>
    <row r="2560" spans="1:1" x14ac:dyDescent="0.25">
      <c r="A2560" s="710"/>
    </row>
    <row r="2561" spans="1:1" x14ac:dyDescent="0.25">
      <c r="A2561" s="710"/>
    </row>
    <row r="2562" spans="1:1" x14ac:dyDescent="0.25">
      <c r="A2562" s="710"/>
    </row>
    <row r="2563" spans="1:1" x14ac:dyDescent="0.25">
      <c r="A2563" s="710"/>
    </row>
    <row r="2564" spans="1:1" x14ac:dyDescent="0.25">
      <c r="A2564" s="710"/>
    </row>
    <row r="2565" spans="1:1" x14ac:dyDescent="0.25">
      <c r="A2565" s="710"/>
    </row>
    <row r="2566" spans="1:1" x14ac:dyDescent="0.25">
      <c r="A2566" s="710"/>
    </row>
    <row r="2567" spans="1:1" x14ac:dyDescent="0.25">
      <c r="A2567" s="710"/>
    </row>
    <row r="2568" spans="1:1" x14ac:dyDescent="0.25">
      <c r="A2568" s="710"/>
    </row>
    <row r="2569" spans="1:1" x14ac:dyDescent="0.25">
      <c r="A2569" s="710"/>
    </row>
    <row r="2570" spans="1:1" x14ac:dyDescent="0.25">
      <c r="A2570" s="710"/>
    </row>
    <row r="2571" spans="1:1" x14ac:dyDescent="0.25">
      <c r="A2571" s="710"/>
    </row>
    <row r="2572" spans="1:1" x14ac:dyDescent="0.25">
      <c r="A2572" s="710"/>
    </row>
    <row r="2573" spans="1:1" x14ac:dyDescent="0.25">
      <c r="A2573" s="710"/>
    </row>
    <row r="2574" spans="1:1" x14ac:dyDescent="0.25">
      <c r="A2574" s="710"/>
    </row>
    <row r="2575" spans="1:1" x14ac:dyDescent="0.25">
      <c r="A2575" s="710"/>
    </row>
    <row r="2576" spans="1:1" x14ac:dyDescent="0.25">
      <c r="A2576" s="710"/>
    </row>
    <row r="2577" spans="1:1" x14ac:dyDescent="0.25">
      <c r="A2577" s="710"/>
    </row>
    <row r="2578" spans="1:1" x14ac:dyDescent="0.25">
      <c r="A2578" s="710"/>
    </row>
    <row r="2579" spans="1:1" x14ac:dyDescent="0.25">
      <c r="A2579" s="710"/>
    </row>
    <row r="2580" spans="1:1" x14ac:dyDescent="0.25">
      <c r="A2580" s="710"/>
    </row>
    <row r="2581" spans="1:1" x14ac:dyDescent="0.25">
      <c r="A2581" s="710"/>
    </row>
    <row r="2582" spans="1:1" x14ac:dyDescent="0.25">
      <c r="A2582" s="710"/>
    </row>
    <row r="2583" spans="1:1" x14ac:dyDescent="0.25">
      <c r="A2583" s="710"/>
    </row>
    <row r="2584" spans="1:1" x14ac:dyDescent="0.25">
      <c r="A2584" s="710"/>
    </row>
    <row r="2585" spans="1:1" x14ac:dyDescent="0.25">
      <c r="A2585" s="710"/>
    </row>
    <row r="2586" spans="1:1" x14ac:dyDescent="0.25">
      <c r="A2586" s="710"/>
    </row>
    <row r="2587" spans="1:1" x14ac:dyDescent="0.25">
      <c r="A2587" s="710"/>
    </row>
    <row r="2588" spans="1:1" x14ac:dyDescent="0.25">
      <c r="A2588" s="710"/>
    </row>
    <row r="2589" spans="1:1" x14ac:dyDescent="0.25">
      <c r="A2589" s="710"/>
    </row>
    <row r="2590" spans="1:1" x14ac:dyDescent="0.25">
      <c r="A2590" s="710"/>
    </row>
    <row r="2591" spans="1:1" x14ac:dyDescent="0.25">
      <c r="A2591" s="710"/>
    </row>
    <row r="2592" spans="1:1" x14ac:dyDescent="0.25">
      <c r="A2592" s="710"/>
    </row>
    <row r="2593" spans="1:1" x14ac:dyDescent="0.25">
      <c r="A2593" s="710"/>
    </row>
    <row r="2594" spans="1:1" x14ac:dyDescent="0.25">
      <c r="A2594" s="710"/>
    </row>
    <row r="2595" spans="1:1" x14ac:dyDescent="0.25">
      <c r="A2595" s="710"/>
    </row>
    <row r="2596" spans="1:1" x14ac:dyDescent="0.25">
      <c r="A2596" s="710"/>
    </row>
    <row r="2597" spans="1:1" x14ac:dyDescent="0.25">
      <c r="A2597" s="710"/>
    </row>
    <row r="2598" spans="1:1" x14ac:dyDescent="0.25">
      <c r="A2598" s="710"/>
    </row>
    <row r="2599" spans="1:1" x14ac:dyDescent="0.25">
      <c r="A2599" s="710"/>
    </row>
    <row r="2600" spans="1:1" x14ac:dyDescent="0.25">
      <c r="A2600" s="710"/>
    </row>
    <row r="2601" spans="1:1" x14ac:dyDescent="0.25">
      <c r="A2601" s="710"/>
    </row>
    <row r="2602" spans="1:1" x14ac:dyDescent="0.25">
      <c r="A2602" s="710"/>
    </row>
    <row r="2603" spans="1:1" x14ac:dyDescent="0.25">
      <c r="A2603" s="710"/>
    </row>
    <row r="2604" spans="1:1" x14ac:dyDescent="0.25">
      <c r="A2604" s="710"/>
    </row>
    <row r="2605" spans="1:1" x14ac:dyDescent="0.25">
      <c r="A2605" s="710"/>
    </row>
    <row r="2606" spans="1:1" x14ac:dyDescent="0.25">
      <c r="A2606" s="710"/>
    </row>
    <row r="2607" spans="1:1" x14ac:dyDescent="0.25">
      <c r="A2607" s="710"/>
    </row>
    <row r="2608" spans="1:1" x14ac:dyDescent="0.25">
      <c r="A2608" s="710"/>
    </row>
    <row r="2609" spans="1:1" x14ac:dyDescent="0.25">
      <c r="A2609" s="710"/>
    </row>
    <row r="2610" spans="1:1" x14ac:dyDescent="0.25">
      <c r="A2610" s="710"/>
    </row>
    <row r="2611" spans="1:1" x14ac:dyDescent="0.25">
      <c r="A2611" s="710"/>
    </row>
    <row r="2612" spans="1:1" x14ac:dyDescent="0.25">
      <c r="A2612" s="710"/>
    </row>
    <row r="2613" spans="1:1" x14ac:dyDescent="0.25">
      <c r="A2613" s="710"/>
    </row>
    <row r="2614" spans="1:1" x14ac:dyDescent="0.25">
      <c r="A2614" s="710"/>
    </row>
    <row r="2615" spans="1:1" x14ac:dyDescent="0.25">
      <c r="A2615" s="710"/>
    </row>
    <row r="2616" spans="1:1" x14ac:dyDescent="0.25">
      <c r="A2616" s="710"/>
    </row>
    <row r="2617" spans="1:1" x14ac:dyDescent="0.25">
      <c r="A2617" s="710"/>
    </row>
    <row r="2618" spans="1:1" x14ac:dyDescent="0.25">
      <c r="A2618" s="710"/>
    </row>
    <row r="2619" spans="1:1" x14ac:dyDescent="0.25">
      <c r="A2619" s="710"/>
    </row>
    <row r="2620" spans="1:1" x14ac:dyDescent="0.25">
      <c r="A2620" s="710"/>
    </row>
    <row r="2621" spans="1:1" x14ac:dyDescent="0.25">
      <c r="A2621" s="710"/>
    </row>
    <row r="2622" spans="1:1" x14ac:dyDescent="0.25">
      <c r="A2622" s="710"/>
    </row>
    <row r="2623" spans="1:1" x14ac:dyDescent="0.25">
      <c r="A2623" s="710"/>
    </row>
    <row r="2624" spans="1:1" x14ac:dyDescent="0.25">
      <c r="A2624" s="710"/>
    </row>
    <row r="2625" spans="1:1" x14ac:dyDescent="0.25">
      <c r="A2625" s="710"/>
    </row>
    <row r="2626" spans="1:1" x14ac:dyDescent="0.25">
      <c r="A2626" s="710"/>
    </row>
    <row r="2627" spans="1:1" x14ac:dyDescent="0.25">
      <c r="A2627" s="710"/>
    </row>
    <row r="2628" spans="1:1" x14ac:dyDescent="0.25">
      <c r="A2628" s="710"/>
    </row>
    <row r="2629" spans="1:1" x14ac:dyDescent="0.25">
      <c r="A2629" s="710"/>
    </row>
    <row r="2630" spans="1:1" x14ac:dyDescent="0.25">
      <c r="A2630" s="710"/>
    </row>
    <row r="2631" spans="1:1" x14ac:dyDescent="0.25">
      <c r="A2631" s="710"/>
    </row>
    <row r="2632" spans="1:1" x14ac:dyDescent="0.25">
      <c r="A2632" s="710"/>
    </row>
    <row r="2633" spans="1:1" x14ac:dyDescent="0.25">
      <c r="A2633" s="710"/>
    </row>
    <row r="2634" spans="1:1" x14ac:dyDescent="0.25">
      <c r="A2634" s="710"/>
    </row>
    <row r="2635" spans="1:1" x14ac:dyDescent="0.25">
      <c r="A2635" s="710"/>
    </row>
    <row r="2636" spans="1:1" x14ac:dyDescent="0.25">
      <c r="A2636" s="710"/>
    </row>
    <row r="2637" spans="1:1" x14ac:dyDescent="0.25">
      <c r="A2637" s="710"/>
    </row>
    <row r="2638" spans="1:1" x14ac:dyDescent="0.25">
      <c r="A2638" s="710"/>
    </row>
    <row r="2639" spans="1:1" x14ac:dyDescent="0.25">
      <c r="A2639" s="710"/>
    </row>
    <row r="2640" spans="1:1" x14ac:dyDescent="0.25">
      <c r="A2640" s="710"/>
    </row>
    <row r="2641" spans="1:1" x14ac:dyDescent="0.25">
      <c r="A2641" s="710"/>
    </row>
    <row r="2642" spans="1:1" x14ac:dyDescent="0.25">
      <c r="A2642" s="710"/>
    </row>
    <row r="2643" spans="1:1" x14ac:dyDescent="0.25">
      <c r="A2643" s="710"/>
    </row>
    <row r="2644" spans="1:1" x14ac:dyDescent="0.25">
      <c r="A2644" s="710"/>
    </row>
    <row r="2645" spans="1:1" x14ac:dyDescent="0.25">
      <c r="A2645" s="710"/>
    </row>
    <row r="2646" spans="1:1" x14ac:dyDescent="0.25">
      <c r="A2646" s="710"/>
    </row>
    <row r="2647" spans="1:1" x14ac:dyDescent="0.25">
      <c r="A2647" s="710"/>
    </row>
    <row r="2648" spans="1:1" x14ac:dyDescent="0.25">
      <c r="A2648" s="710"/>
    </row>
    <row r="2649" spans="1:1" x14ac:dyDescent="0.25">
      <c r="A2649" s="710"/>
    </row>
    <row r="2650" spans="1:1" x14ac:dyDescent="0.25">
      <c r="A2650" s="710"/>
    </row>
    <row r="2651" spans="1:1" x14ac:dyDescent="0.25">
      <c r="A2651" s="710"/>
    </row>
    <row r="2652" spans="1:1" x14ac:dyDescent="0.25">
      <c r="A2652" s="710"/>
    </row>
    <row r="2653" spans="1:1" x14ac:dyDescent="0.25">
      <c r="A2653" s="710"/>
    </row>
    <row r="2654" spans="1:1" x14ac:dyDescent="0.25">
      <c r="A2654" s="710"/>
    </row>
    <row r="2655" spans="1:1" x14ac:dyDescent="0.25">
      <c r="A2655" s="710"/>
    </row>
    <row r="2656" spans="1:1" x14ac:dyDescent="0.25">
      <c r="A2656" s="710"/>
    </row>
    <row r="2657" spans="1:1" x14ac:dyDescent="0.25">
      <c r="A2657" s="710"/>
    </row>
    <row r="2658" spans="1:1" x14ac:dyDescent="0.25">
      <c r="A2658" s="710"/>
    </row>
    <row r="2659" spans="1:1" x14ac:dyDescent="0.25">
      <c r="A2659" s="710"/>
    </row>
    <row r="2660" spans="1:1" x14ac:dyDescent="0.25">
      <c r="A2660" s="710"/>
    </row>
    <row r="2661" spans="1:1" x14ac:dyDescent="0.25">
      <c r="A2661" s="710"/>
    </row>
    <row r="2662" spans="1:1" x14ac:dyDescent="0.25">
      <c r="A2662" s="710"/>
    </row>
    <row r="2663" spans="1:1" x14ac:dyDescent="0.25">
      <c r="A2663" s="710"/>
    </row>
    <row r="2664" spans="1:1" x14ac:dyDescent="0.25">
      <c r="A2664" s="710"/>
    </row>
    <row r="2665" spans="1:1" x14ac:dyDescent="0.25">
      <c r="A2665" s="710"/>
    </row>
    <row r="2666" spans="1:1" x14ac:dyDescent="0.25">
      <c r="A2666" s="710"/>
    </row>
    <row r="2667" spans="1:1" x14ac:dyDescent="0.25">
      <c r="A2667" s="710"/>
    </row>
    <row r="2668" spans="1:1" x14ac:dyDescent="0.25">
      <c r="A2668" s="710"/>
    </row>
    <row r="2669" spans="1:1" x14ac:dyDescent="0.25">
      <c r="A2669" s="710"/>
    </row>
    <row r="2670" spans="1:1" x14ac:dyDescent="0.25">
      <c r="A2670" s="710"/>
    </row>
    <row r="2671" spans="1:1" x14ac:dyDescent="0.25">
      <c r="A2671" s="710"/>
    </row>
    <row r="2672" spans="1:1" x14ac:dyDescent="0.25">
      <c r="A2672" s="710"/>
    </row>
    <row r="2673" spans="1:1" x14ac:dyDescent="0.25">
      <c r="A2673" s="710"/>
    </row>
    <row r="2674" spans="1:1" x14ac:dyDescent="0.25">
      <c r="A2674" s="710"/>
    </row>
    <row r="2675" spans="1:1" x14ac:dyDescent="0.25">
      <c r="A2675" s="710"/>
    </row>
    <row r="2676" spans="1:1" x14ac:dyDescent="0.25">
      <c r="A2676" s="710"/>
    </row>
    <row r="2677" spans="1:1" x14ac:dyDescent="0.25">
      <c r="A2677" s="710"/>
    </row>
    <row r="2678" spans="1:1" x14ac:dyDescent="0.25">
      <c r="A2678" s="710"/>
    </row>
    <row r="2679" spans="1:1" x14ac:dyDescent="0.25">
      <c r="A2679" s="710"/>
    </row>
    <row r="2680" spans="1:1" x14ac:dyDescent="0.25">
      <c r="A2680" s="710"/>
    </row>
    <row r="2681" spans="1:1" x14ac:dyDescent="0.25">
      <c r="A2681" s="710"/>
    </row>
    <row r="2682" spans="1:1" x14ac:dyDescent="0.25">
      <c r="A2682" s="710"/>
    </row>
    <row r="2683" spans="1:1" x14ac:dyDescent="0.25">
      <c r="A2683" s="710"/>
    </row>
    <row r="2684" spans="1:1" x14ac:dyDescent="0.25">
      <c r="A2684" s="710"/>
    </row>
    <row r="2685" spans="1:1" x14ac:dyDescent="0.25">
      <c r="A2685" s="710"/>
    </row>
    <row r="2686" spans="1:1" x14ac:dyDescent="0.25">
      <c r="A2686" s="710"/>
    </row>
    <row r="2687" spans="1:1" x14ac:dyDescent="0.25">
      <c r="A2687" s="710"/>
    </row>
    <row r="2688" spans="1:1" x14ac:dyDescent="0.25">
      <c r="A2688" s="710"/>
    </row>
    <row r="2689" spans="1:1" x14ac:dyDescent="0.25">
      <c r="A2689" s="710"/>
    </row>
    <row r="2690" spans="1:1" x14ac:dyDescent="0.25">
      <c r="A2690" s="710"/>
    </row>
    <row r="2691" spans="1:1" x14ac:dyDescent="0.25">
      <c r="A2691" s="710"/>
    </row>
    <row r="2692" spans="1:1" x14ac:dyDescent="0.25">
      <c r="A2692" s="710"/>
    </row>
    <row r="2693" spans="1:1" x14ac:dyDescent="0.25">
      <c r="A2693" s="710"/>
    </row>
    <row r="2694" spans="1:1" x14ac:dyDescent="0.25">
      <c r="A2694" s="710"/>
    </row>
    <row r="2695" spans="1:1" x14ac:dyDescent="0.25">
      <c r="A2695" s="710"/>
    </row>
    <row r="2696" spans="1:1" x14ac:dyDescent="0.25">
      <c r="A2696" s="710"/>
    </row>
    <row r="2697" spans="1:1" x14ac:dyDescent="0.25">
      <c r="A2697" s="710"/>
    </row>
    <row r="2698" spans="1:1" x14ac:dyDescent="0.25">
      <c r="A2698" s="710"/>
    </row>
    <row r="2699" spans="1:1" x14ac:dyDescent="0.25">
      <c r="A2699" s="710"/>
    </row>
    <row r="2700" spans="1:1" x14ac:dyDescent="0.25">
      <c r="A2700" s="710"/>
    </row>
    <row r="2701" spans="1:1" x14ac:dyDescent="0.25">
      <c r="A2701" s="710"/>
    </row>
    <row r="2702" spans="1:1" x14ac:dyDescent="0.25">
      <c r="A2702" s="710"/>
    </row>
    <row r="2703" spans="1:1" x14ac:dyDescent="0.25">
      <c r="A2703" s="710"/>
    </row>
    <row r="2704" spans="1:1" x14ac:dyDescent="0.25">
      <c r="A2704" s="710"/>
    </row>
    <row r="2705" spans="1:1" x14ac:dyDescent="0.25">
      <c r="A2705" s="710"/>
    </row>
    <row r="2706" spans="1:1" x14ac:dyDescent="0.25">
      <c r="A2706" s="710"/>
    </row>
    <row r="2707" spans="1:1" x14ac:dyDescent="0.25">
      <c r="A2707" s="710"/>
    </row>
    <row r="2708" spans="1:1" x14ac:dyDescent="0.25">
      <c r="A2708" s="710"/>
    </row>
    <row r="2709" spans="1:1" x14ac:dyDescent="0.25">
      <c r="A2709" s="710"/>
    </row>
    <row r="2710" spans="1:1" x14ac:dyDescent="0.25">
      <c r="A2710" s="710"/>
    </row>
    <row r="2711" spans="1:1" x14ac:dyDescent="0.25">
      <c r="A2711" s="710"/>
    </row>
    <row r="2712" spans="1:1" x14ac:dyDescent="0.25">
      <c r="A2712" s="710"/>
    </row>
    <row r="2713" spans="1:1" x14ac:dyDescent="0.25">
      <c r="A2713" s="710"/>
    </row>
    <row r="2714" spans="1:1" x14ac:dyDescent="0.25">
      <c r="A2714" s="710"/>
    </row>
    <row r="2715" spans="1:1" x14ac:dyDescent="0.25">
      <c r="A2715" s="710"/>
    </row>
    <row r="2716" spans="1:1" x14ac:dyDescent="0.25">
      <c r="A2716" s="710"/>
    </row>
    <row r="2717" spans="1:1" x14ac:dyDescent="0.25">
      <c r="A2717" s="710"/>
    </row>
    <row r="2718" spans="1:1" x14ac:dyDescent="0.25">
      <c r="A2718" s="710"/>
    </row>
    <row r="2719" spans="1:1" x14ac:dyDescent="0.25">
      <c r="A2719" s="710"/>
    </row>
    <row r="2720" spans="1:1" x14ac:dyDescent="0.25">
      <c r="A2720" s="710"/>
    </row>
    <row r="2721" spans="1:1" x14ac:dyDescent="0.25">
      <c r="A2721" s="710"/>
    </row>
    <row r="2722" spans="1:1" x14ac:dyDescent="0.25">
      <c r="A2722" s="710"/>
    </row>
    <row r="2723" spans="1:1" x14ac:dyDescent="0.25">
      <c r="A2723" s="710"/>
    </row>
    <row r="2724" spans="1:1" x14ac:dyDescent="0.25">
      <c r="A2724" s="710"/>
    </row>
    <row r="2725" spans="1:1" x14ac:dyDescent="0.25">
      <c r="A2725" s="710"/>
    </row>
    <row r="2726" spans="1:1" x14ac:dyDescent="0.25">
      <c r="A2726" s="710"/>
    </row>
    <row r="2727" spans="1:1" x14ac:dyDescent="0.25">
      <c r="A2727" s="710"/>
    </row>
    <row r="2728" spans="1:1" x14ac:dyDescent="0.25">
      <c r="A2728" s="710"/>
    </row>
    <row r="2729" spans="1:1" x14ac:dyDescent="0.25">
      <c r="A2729" s="710"/>
    </row>
    <row r="2730" spans="1:1" x14ac:dyDescent="0.25">
      <c r="A2730" s="710"/>
    </row>
    <row r="2731" spans="1:1" x14ac:dyDescent="0.25">
      <c r="A2731" s="710"/>
    </row>
    <row r="2732" spans="1:1" x14ac:dyDescent="0.25">
      <c r="A2732" s="710"/>
    </row>
    <row r="2733" spans="1:1" x14ac:dyDescent="0.25">
      <c r="A2733" s="710"/>
    </row>
    <row r="2734" spans="1:1" x14ac:dyDescent="0.25">
      <c r="A2734" s="710"/>
    </row>
    <row r="2735" spans="1:1" x14ac:dyDescent="0.25">
      <c r="A2735" s="710"/>
    </row>
    <row r="2736" spans="1:1" x14ac:dyDescent="0.25">
      <c r="A2736" s="710"/>
    </row>
    <row r="2737" spans="1:1" x14ac:dyDescent="0.25">
      <c r="A2737" s="710"/>
    </row>
    <row r="2738" spans="1:1" x14ac:dyDescent="0.25">
      <c r="A2738" s="710"/>
    </row>
    <row r="2739" spans="1:1" x14ac:dyDescent="0.25">
      <c r="A2739" s="710"/>
    </row>
    <row r="2740" spans="1:1" x14ac:dyDescent="0.25">
      <c r="A2740" s="710"/>
    </row>
    <row r="2741" spans="1:1" x14ac:dyDescent="0.25">
      <c r="A2741" s="710"/>
    </row>
    <row r="2742" spans="1:1" x14ac:dyDescent="0.25">
      <c r="A2742" s="710"/>
    </row>
    <row r="2743" spans="1:1" x14ac:dyDescent="0.25">
      <c r="A2743" s="710"/>
    </row>
    <row r="2744" spans="1:1" x14ac:dyDescent="0.25">
      <c r="A2744" s="710"/>
    </row>
    <row r="2745" spans="1:1" x14ac:dyDescent="0.25">
      <c r="A2745" s="710"/>
    </row>
    <row r="2746" spans="1:1" x14ac:dyDescent="0.25">
      <c r="A2746" s="710"/>
    </row>
    <row r="2747" spans="1:1" x14ac:dyDescent="0.25">
      <c r="A2747" s="710"/>
    </row>
    <row r="2748" spans="1:1" x14ac:dyDescent="0.25">
      <c r="A2748" s="710"/>
    </row>
    <row r="2749" spans="1:1" x14ac:dyDescent="0.25">
      <c r="A2749" s="710"/>
    </row>
    <row r="2750" spans="1:1" x14ac:dyDescent="0.25">
      <c r="A2750" s="710"/>
    </row>
    <row r="2751" spans="1:1" x14ac:dyDescent="0.25">
      <c r="A2751" s="710"/>
    </row>
    <row r="2752" spans="1:1" x14ac:dyDescent="0.25">
      <c r="A2752" s="710"/>
    </row>
    <row r="2753" spans="1:1" x14ac:dyDescent="0.25">
      <c r="A2753" s="710"/>
    </row>
    <row r="2754" spans="1:1" x14ac:dyDescent="0.25">
      <c r="A2754" s="710"/>
    </row>
    <row r="2755" spans="1:1" x14ac:dyDescent="0.25">
      <c r="A2755" s="710"/>
    </row>
    <row r="2756" spans="1:1" x14ac:dyDescent="0.25">
      <c r="A2756" s="710"/>
    </row>
    <row r="2757" spans="1:1" x14ac:dyDescent="0.25">
      <c r="A2757" s="710"/>
    </row>
    <row r="2758" spans="1:1" x14ac:dyDescent="0.25">
      <c r="A2758" s="710"/>
    </row>
    <row r="2759" spans="1:1" x14ac:dyDescent="0.25">
      <c r="A2759" s="710"/>
    </row>
    <row r="2760" spans="1:1" x14ac:dyDescent="0.25">
      <c r="A2760" s="710"/>
    </row>
    <row r="2761" spans="1:1" x14ac:dyDescent="0.25">
      <c r="A2761" s="710"/>
    </row>
    <row r="2762" spans="1:1" x14ac:dyDescent="0.25">
      <c r="A2762" s="710"/>
    </row>
    <row r="2763" spans="1:1" x14ac:dyDescent="0.25">
      <c r="A2763" s="710"/>
    </row>
    <row r="2764" spans="1:1" x14ac:dyDescent="0.25">
      <c r="A2764" s="710"/>
    </row>
    <row r="2765" spans="1:1" x14ac:dyDescent="0.25">
      <c r="A2765" s="710"/>
    </row>
    <row r="2766" spans="1:1" x14ac:dyDescent="0.25">
      <c r="A2766" s="710"/>
    </row>
    <row r="2767" spans="1:1" x14ac:dyDescent="0.25">
      <c r="A2767" s="710"/>
    </row>
    <row r="2768" spans="1:1" x14ac:dyDescent="0.25">
      <c r="A2768" s="710"/>
    </row>
    <row r="2769" spans="1:1" x14ac:dyDescent="0.25">
      <c r="A2769" s="710"/>
    </row>
    <row r="2770" spans="1:1" x14ac:dyDescent="0.25">
      <c r="A2770" s="710"/>
    </row>
    <row r="2771" spans="1:1" x14ac:dyDescent="0.25">
      <c r="A2771" s="710"/>
    </row>
    <row r="2772" spans="1:1" x14ac:dyDescent="0.25">
      <c r="A2772" s="710"/>
    </row>
    <row r="2773" spans="1:1" x14ac:dyDescent="0.25">
      <c r="A2773" s="710"/>
    </row>
    <row r="2774" spans="1:1" x14ac:dyDescent="0.25">
      <c r="A2774" s="710"/>
    </row>
    <row r="2775" spans="1:1" x14ac:dyDescent="0.25">
      <c r="A2775" s="710"/>
    </row>
    <row r="2776" spans="1:1" x14ac:dyDescent="0.25">
      <c r="A2776" s="710"/>
    </row>
    <row r="2777" spans="1:1" x14ac:dyDescent="0.25">
      <c r="A2777" s="710"/>
    </row>
    <row r="2778" spans="1:1" x14ac:dyDescent="0.25">
      <c r="A2778" s="710"/>
    </row>
    <row r="2779" spans="1:1" x14ac:dyDescent="0.25">
      <c r="A2779" s="710"/>
    </row>
    <row r="2780" spans="1:1" x14ac:dyDescent="0.25">
      <c r="A2780" s="710"/>
    </row>
    <row r="2781" spans="1:1" x14ac:dyDescent="0.25">
      <c r="A2781" s="710"/>
    </row>
    <row r="2782" spans="1:1" x14ac:dyDescent="0.25">
      <c r="A2782" s="710"/>
    </row>
    <row r="2783" spans="1:1" x14ac:dyDescent="0.25">
      <c r="A2783" s="710"/>
    </row>
    <row r="2784" spans="1:1" x14ac:dyDescent="0.25">
      <c r="A2784" s="710"/>
    </row>
    <row r="2785" spans="1:1" x14ac:dyDescent="0.25">
      <c r="A2785" s="710"/>
    </row>
    <row r="2786" spans="1:1" x14ac:dyDescent="0.25">
      <c r="A2786" s="710"/>
    </row>
    <row r="2787" spans="1:1" x14ac:dyDescent="0.25">
      <c r="A2787" s="710"/>
    </row>
    <row r="2788" spans="1:1" x14ac:dyDescent="0.25">
      <c r="A2788" s="710"/>
    </row>
    <row r="2789" spans="1:1" x14ac:dyDescent="0.25">
      <c r="A2789" s="710"/>
    </row>
    <row r="2790" spans="1:1" x14ac:dyDescent="0.25">
      <c r="A2790" s="710"/>
    </row>
    <row r="2791" spans="1:1" x14ac:dyDescent="0.25">
      <c r="A2791" s="710"/>
    </row>
    <row r="2792" spans="1:1" x14ac:dyDescent="0.25">
      <c r="A2792" s="710"/>
    </row>
    <row r="2793" spans="1:1" x14ac:dyDescent="0.25">
      <c r="A2793" s="710"/>
    </row>
    <row r="2794" spans="1:1" x14ac:dyDescent="0.25">
      <c r="A2794" s="710"/>
    </row>
    <row r="2795" spans="1:1" x14ac:dyDescent="0.25">
      <c r="A2795" s="710"/>
    </row>
    <row r="2796" spans="1:1" x14ac:dyDescent="0.25">
      <c r="A2796" s="710"/>
    </row>
    <row r="2797" spans="1:1" x14ac:dyDescent="0.25">
      <c r="A2797" s="710"/>
    </row>
    <row r="2798" spans="1:1" x14ac:dyDescent="0.25">
      <c r="A2798" s="710"/>
    </row>
    <row r="2799" spans="1:1" x14ac:dyDescent="0.25">
      <c r="A2799" s="710"/>
    </row>
    <row r="2800" spans="1:1" x14ac:dyDescent="0.25">
      <c r="A2800" s="710"/>
    </row>
    <row r="2801" spans="1:1" x14ac:dyDescent="0.25">
      <c r="A2801" s="710"/>
    </row>
    <row r="2802" spans="1:1" x14ac:dyDescent="0.25">
      <c r="A2802" s="710"/>
    </row>
    <row r="2803" spans="1:1" x14ac:dyDescent="0.25">
      <c r="A2803" s="710"/>
    </row>
    <row r="2804" spans="1:1" x14ac:dyDescent="0.25">
      <c r="A2804" s="710"/>
    </row>
    <row r="2805" spans="1:1" x14ac:dyDescent="0.25">
      <c r="A2805" s="710"/>
    </row>
    <row r="2806" spans="1:1" x14ac:dyDescent="0.25">
      <c r="A2806" s="710"/>
    </row>
    <row r="2807" spans="1:1" x14ac:dyDescent="0.25">
      <c r="A2807" s="710"/>
    </row>
    <row r="2808" spans="1:1" x14ac:dyDescent="0.25">
      <c r="A2808" s="710"/>
    </row>
    <row r="2809" spans="1:1" x14ac:dyDescent="0.25">
      <c r="A2809" s="710"/>
    </row>
    <row r="2810" spans="1:1" x14ac:dyDescent="0.25">
      <c r="A2810" s="710"/>
    </row>
    <row r="2811" spans="1:1" x14ac:dyDescent="0.25">
      <c r="A2811" s="710"/>
    </row>
    <row r="2812" spans="1:1" x14ac:dyDescent="0.25">
      <c r="A2812" s="710"/>
    </row>
    <row r="2813" spans="1:1" x14ac:dyDescent="0.25">
      <c r="A2813" s="710"/>
    </row>
    <row r="2814" spans="1:1" x14ac:dyDescent="0.25">
      <c r="A2814" s="710"/>
    </row>
    <row r="2815" spans="1:1" x14ac:dyDescent="0.25">
      <c r="A2815" s="710"/>
    </row>
    <row r="2816" spans="1:1" x14ac:dyDescent="0.25">
      <c r="A2816" s="710"/>
    </row>
    <row r="2817" spans="1:1" x14ac:dyDescent="0.25">
      <c r="A2817" s="710"/>
    </row>
    <row r="2818" spans="1:1" x14ac:dyDescent="0.25">
      <c r="A2818" s="710"/>
    </row>
    <row r="2819" spans="1:1" x14ac:dyDescent="0.25">
      <c r="A2819" s="710"/>
    </row>
    <row r="2820" spans="1:1" x14ac:dyDescent="0.25">
      <c r="A2820" s="710"/>
    </row>
    <row r="2821" spans="1:1" x14ac:dyDescent="0.25">
      <c r="A2821" s="710"/>
    </row>
    <row r="2822" spans="1:1" x14ac:dyDescent="0.25">
      <c r="A2822" s="710"/>
    </row>
    <row r="2823" spans="1:1" x14ac:dyDescent="0.25">
      <c r="A2823" s="710"/>
    </row>
    <row r="2824" spans="1:1" x14ac:dyDescent="0.25">
      <c r="A2824" s="710"/>
    </row>
    <row r="2825" spans="1:1" x14ac:dyDescent="0.25">
      <c r="A2825" s="710"/>
    </row>
    <row r="2826" spans="1:1" x14ac:dyDescent="0.25">
      <c r="A2826" s="710"/>
    </row>
    <row r="2827" spans="1:1" x14ac:dyDescent="0.25">
      <c r="A2827" s="710"/>
    </row>
    <row r="2828" spans="1:1" x14ac:dyDescent="0.25">
      <c r="A2828" s="710"/>
    </row>
    <row r="2829" spans="1:1" x14ac:dyDescent="0.25">
      <c r="A2829" s="710"/>
    </row>
    <row r="2830" spans="1:1" x14ac:dyDescent="0.25">
      <c r="A2830" s="710"/>
    </row>
    <row r="2831" spans="1:1" x14ac:dyDescent="0.25">
      <c r="A2831" s="710"/>
    </row>
    <row r="2832" spans="1:1" x14ac:dyDescent="0.25">
      <c r="A2832" s="710"/>
    </row>
    <row r="2833" spans="1:1" x14ac:dyDescent="0.25">
      <c r="A2833" s="710"/>
    </row>
    <row r="2834" spans="1:1" x14ac:dyDescent="0.25">
      <c r="A2834" s="710"/>
    </row>
    <row r="2835" spans="1:1" x14ac:dyDescent="0.25">
      <c r="A2835" s="710"/>
    </row>
    <row r="2836" spans="1:1" x14ac:dyDescent="0.25">
      <c r="A2836" s="710"/>
    </row>
    <row r="2837" spans="1:1" x14ac:dyDescent="0.25">
      <c r="A2837" s="710"/>
    </row>
    <row r="2838" spans="1:1" x14ac:dyDescent="0.25">
      <c r="A2838" s="710"/>
    </row>
    <row r="2839" spans="1:1" x14ac:dyDescent="0.25">
      <c r="A2839" s="710"/>
    </row>
    <row r="2840" spans="1:1" x14ac:dyDescent="0.25">
      <c r="A2840" s="710"/>
    </row>
    <row r="2841" spans="1:1" x14ac:dyDescent="0.25">
      <c r="A2841" s="710"/>
    </row>
    <row r="2842" spans="1:1" x14ac:dyDescent="0.25">
      <c r="A2842" s="710"/>
    </row>
    <row r="2843" spans="1:1" x14ac:dyDescent="0.25">
      <c r="A2843" s="710"/>
    </row>
    <row r="2844" spans="1:1" x14ac:dyDescent="0.25">
      <c r="A2844" s="710"/>
    </row>
    <row r="2845" spans="1:1" x14ac:dyDescent="0.25">
      <c r="A2845" s="710"/>
    </row>
    <row r="2846" spans="1:1" x14ac:dyDescent="0.25">
      <c r="A2846" s="710"/>
    </row>
    <row r="2847" spans="1:1" x14ac:dyDescent="0.25">
      <c r="A2847" s="710"/>
    </row>
    <row r="2848" spans="1:1" x14ac:dyDescent="0.25">
      <c r="A2848" s="710"/>
    </row>
    <row r="2849" spans="1:1" x14ac:dyDescent="0.25">
      <c r="A2849" s="710"/>
    </row>
    <row r="2850" spans="1:1" x14ac:dyDescent="0.25">
      <c r="A2850" s="710"/>
    </row>
    <row r="2851" spans="1:1" x14ac:dyDescent="0.25">
      <c r="A2851" s="710"/>
    </row>
    <row r="2852" spans="1:1" x14ac:dyDescent="0.25">
      <c r="A2852" s="710"/>
    </row>
    <row r="2853" spans="1:1" x14ac:dyDescent="0.25">
      <c r="A2853" s="710"/>
    </row>
    <row r="2854" spans="1:1" x14ac:dyDescent="0.25">
      <c r="A2854" s="710"/>
    </row>
    <row r="2855" spans="1:1" x14ac:dyDescent="0.25">
      <c r="A2855" s="710"/>
    </row>
    <row r="2856" spans="1:1" x14ac:dyDescent="0.25">
      <c r="A2856" s="710"/>
    </row>
    <row r="2857" spans="1:1" x14ac:dyDescent="0.25">
      <c r="A2857" s="710"/>
    </row>
    <row r="2858" spans="1:1" x14ac:dyDescent="0.25">
      <c r="A2858" s="710"/>
    </row>
    <row r="2859" spans="1:1" x14ac:dyDescent="0.25">
      <c r="A2859" s="710"/>
    </row>
    <row r="2860" spans="1:1" x14ac:dyDescent="0.25">
      <c r="A2860" s="710"/>
    </row>
    <row r="2861" spans="1:1" x14ac:dyDescent="0.25">
      <c r="A2861" s="710"/>
    </row>
    <row r="2862" spans="1:1" x14ac:dyDescent="0.25">
      <c r="A2862" s="710"/>
    </row>
    <row r="2863" spans="1:1" x14ac:dyDescent="0.25">
      <c r="A2863" s="710"/>
    </row>
    <row r="2864" spans="1:1" x14ac:dyDescent="0.25">
      <c r="A2864" s="710"/>
    </row>
    <row r="2865" spans="1:1" x14ac:dyDescent="0.25">
      <c r="A2865" s="710"/>
    </row>
    <row r="2866" spans="1:1" x14ac:dyDescent="0.25">
      <c r="A2866" s="710"/>
    </row>
    <row r="2867" spans="1:1" x14ac:dyDescent="0.25">
      <c r="A2867" s="710"/>
    </row>
    <row r="2868" spans="1:1" x14ac:dyDescent="0.25">
      <c r="A2868" s="710"/>
    </row>
    <row r="2869" spans="1:1" x14ac:dyDescent="0.25">
      <c r="A2869" s="710"/>
    </row>
    <row r="2870" spans="1:1" x14ac:dyDescent="0.25">
      <c r="A2870" s="710"/>
    </row>
    <row r="2871" spans="1:1" x14ac:dyDescent="0.25">
      <c r="A2871" s="710"/>
    </row>
    <row r="2872" spans="1:1" x14ac:dyDescent="0.25">
      <c r="A2872" s="710"/>
    </row>
    <row r="2873" spans="1:1" x14ac:dyDescent="0.25">
      <c r="A2873" s="710"/>
    </row>
    <row r="2874" spans="1:1" x14ac:dyDescent="0.25">
      <c r="A2874" s="710"/>
    </row>
    <row r="2875" spans="1:1" x14ac:dyDescent="0.25">
      <c r="A2875" s="710"/>
    </row>
    <row r="2876" spans="1:1" x14ac:dyDescent="0.25">
      <c r="A2876" s="710"/>
    </row>
    <row r="2877" spans="1:1" x14ac:dyDescent="0.25">
      <c r="A2877" s="710"/>
    </row>
    <row r="2878" spans="1:1" x14ac:dyDescent="0.25">
      <c r="A2878" s="710"/>
    </row>
    <row r="2879" spans="1:1" x14ac:dyDescent="0.25">
      <c r="A2879" s="710"/>
    </row>
    <row r="2880" spans="1:1" x14ac:dyDescent="0.25">
      <c r="A2880" s="710"/>
    </row>
    <row r="2881" spans="1:1" x14ac:dyDescent="0.25">
      <c r="A2881" s="710"/>
    </row>
    <row r="2882" spans="1:1" x14ac:dyDescent="0.25">
      <c r="A2882" s="710"/>
    </row>
    <row r="2883" spans="1:1" x14ac:dyDescent="0.25">
      <c r="A2883" s="710"/>
    </row>
    <row r="2884" spans="1:1" x14ac:dyDescent="0.25">
      <c r="A2884" s="710"/>
    </row>
    <row r="2885" spans="1:1" x14ac:dyDescent="0.25">
      <c r="A2885" s="710"/>
    </row>
    <row r="2886" spans="1:1" x14ac:dyDescent="0.25">
      <c r="A2886" s="710"/>
    </row>
    <row r="2887" spans="1:1" x14ac:dyDescent="0.25">
      <c r="A2887" s="710"/>
    </row>
    <row r="2888" spans="1:1" x14ac:dyDescent="0.25">
      <c r="A2888" s="710"/>
    </row>
    <row r="2889" spans="1:1" x14ac:dyDescent="0.25">
      <c r="A2889" s="710"/>
    </row>
    <row r="2890" spans="1:1" x14ac:dyDescent="0.25">
      <c r="A2890" s="710"/>
    </row>
    <row r="2891" spans="1:1" x14ac:dyDescent="0.25">
      <c r="A2891" s="710"/>
    </row>
    <row r="2892" spans="1:1" x14ac:dyDescent="0.25">
      <c r="A2892" s="710"/>
    </row>
    <row r="2893" spans="1:1" x14ac:dyDescent="0.25">
      <c r="A2893" s="710"/>
    </row>
    <row r="2894" spans="1:1" x14ac:dyDescent="0.25">
      <c r="A2894" s="710"/>
    </row>
    <row r="2895" spans="1:1" x14ac:dyDescent="0.25">
      <c r="A2895" s="710"/>
    </row>
    <row r="2896" spans="1:1" x14ac:dyDescent="0.25">
      <c r="A2896" s="710"/>
    </row>
    <row r="2897" spans="1:1" x14ac:dyDescent="0.25">
      <c r="A2897" s="710"/>
    </row>
    <row r="2898" spans="1:1" x14ac:dyDescent="0.25">
      <c r="A2898" s="710"/>
    </row>
    <row r="2899" spans="1:1" x14ac:dyDescent="0.25">
      <c r="A2899" s="710"/>
    </row>
    <row r="2900" spans="1:1" x14ac:dyDescent="0.25">
      <c r="A2900" s="710"/>
    </row>
    <row r="2901" spans="1:1" x14ac:dyDescent="0.25">
      <c r="A2901" s="710"/>
    </row>
    <row r="2902" spans="1:1" x14ac:dyDescent="0.25">
      <c r="A2902" s="710"/>
    </row>
    <row r="2903" spans="1:1" x14ac:dyDescent="0.25">
      <c r="A2903" s="710"/>
    </row>
    <row r="2904" spans="1:1" x14ac:dyDescent="0.25">
      <c r="A2904" s="710"/>
    </row>
    <row r="2905" spans="1:1" x14ac:dyDescent="0.25">
      <c r="A2905" s="710"/>
    </row>
    <row r="2906" spans="1:1" x14ac:dyDescent="0.25">
      <c r="A2906" s="710"/>
    </row>
    <row r="2907" spans="1:1" x14ac:dyDescent="0.25">
      <c r="A2907" s="710"/>
    </row>
    <row r="2908" spans="1:1" x14ac:dyDescent="0.25">
      <c r="A2908" s="710"/>
    </row>
    <row r="2909" spans="1:1" x14ac:dyDescent="0.25">
      <c r="A2909" s="710"/>
    </row>
    <row r="2910" spans="1:1" x14ac:dyDescent="0.25">
      <c r="A2910" s="710"/>
    </row>
    <row r="2911" spans="1:1" x14ac:dyDescent="0.25">
      <c r="A2911" s="710"/>
    </row>
    <row r="2912" spans="1:1" x14ac:dyDescent="0.25">
      <c r="A2912" s="710"/>
    </row>
    <row r="2913" spans="1:1" x14ac:dyDescent="0.25">
      <c r="A2913" s="710"/>
    </row>
    <row r="2914" spans="1:1" x14ac:dyDescent="0.25">
      <c r="A2914" s="710"/>
    </row>
    <row r="2915" spans="1:1" x14ac:dyDescent="0.25">
      <c r="A2915" s="710"/>
    </row>
    <row r="2916" spans="1:1" x14ac:dyDescent="0.25">
      <c r="A2916" s="710"/>
    </row>
    <row r="2917" spans="1:1" x14ac:dyDescent="0.25">
      <c r="A2917" s="710"/>
    </row>
    <row r="2918" spans="1:1" x14ac:dyDescent="0.25">
      <c r="A2918" s="710"/>
    </row>
    <row r="2919" spans="1:1" x14ac:dyDescent="0.25">
      <c r="A2919" s="710"/>
    </row>
    <row r="2920" spans="1:1" x14ac:dyDescent="0.25">
      <c r="A2920" s="710"/>
    </row>
    <row r="2921" spans="1:1" x14ac:dyDescent="0.25">
      <c r="A2921" s="710"/>
    </row>
    <row r="2922" spans="1:1" x14ac:dyDescent="0.25">
      <c r="A2922" s="710"/>
    </row>
    <row r="2923" spans="1:1" x14ac:dyDescent="0.25">
      <c r="A2923" s="710"/>
    </row>
    <row r="2924" spans="1:1" x14ac:dyDescent="0.25">
      <c r="A2924" s="710"/>
    </row>
    <row r="2925" spans="1:1" x14ac:dyDescent="0.25">
      <c r="A2925" s="710"/>
    </row>
    <row r="2926" spans="1:1" x14ac:dyDescent="0.25">
      <c r="A2926" s="710"/>
    </row>
    <row r="2927" spans="1:1" x14ac:dyDescent="0.25">
      <c r="A2927" s="710"/>
    </row>
    <row r="2928" spans="1:1" x14ac:dyDescent="0.25">
      <c r="A2928" s="710"/>
    </row>
    <row r="2929" spans="1:1" x14ac:dyDescent="0.25">
      <c r="A2929" s="710"/>
    </row>
    <row r="2930" spans="1:1" x14ac:dyDescent="0.25">
      <c r="A2930" s="710"/>
    </row>
    <row r="2931" spans="1:1" x14ac:dyDescent="0.25">
      <c r="A2931" s="710"/>
    </row>
    <row r="2932" spans="1:1" x14ac:dyDescent="0.25">
      <c r="A2932" s="710"/>
    </row>
    <row r="2933" spans="1:1" x14ac:dyDescent="0.25">
      <c r="A2933" s="710"/>
    </row>
    <row r="2934" spans="1:1" x14ac:dyDescent="0.25">
      <c r="A2934" s="710"/>
    </row>
    <row r="2935" spans="1:1" x14ac:dyDescent="0.25">
      <c r="A2935" s="710"/>
    </row>
    <row r="2936" spans="1:1" x14ac:dyDescent="0.25">
      <c r="A2936" s="710"/>
    </row>
    <row r="2937" spans="1:1" x14ac:dyDescent="0.25">
      <c r="A2937" s="710"/>
    </row>
    <row r="2938" spans="1:1" x14ac:dyDescent="0.25">
      <c r="A2938" s="710"/>
    </row>
    <row r="2939" spans="1:1" x14ac:dyDescent="0.25">
      <c r="A2939" s="710"/>
    </row>
    <row r="2940" spans="1:1" x14ac:dyDescent="0.25">
      <c r="A2940" s="710"/>
    </row>
    <row r="2941" spans="1:1" x14ac:dyDescent="0.25">
      <c r="A2941" s="710"/>
    </row>
    <row r="2942" spans="1:1" x14ac:dyDescent="0.25">
      <c r="A2942" s="710"/>
    </row>
    <row r="2943" spans="1:1" x14ac:dyDescent="0.25">
      <c r="A2943" s="710"/>
    </row>
    <row r="2944" spans="1:1" x14ac:dyDescent="0.25">
      <c r="A2944" s="710"/>
    </row>
    <row r="2945" spans="1:1" x14ac:dyDescent="0.25">
      <c r="A2945" s="710"/>
    </row>
    <row r="2946" spans="1:1" x14ac:dyDescent="0.25">
      <c r="A2946" s="710"/>
    </row>
    <row r="2947" spans="1:1" x14ac:dyDescent="0.25">
      <c r="A2947" s="710"/>
    </row>
    <row r="2948" spans="1:1" x14ac:dyDescent="0.25">
      <c r="A2948" s="710"/>
    </row>
    <row r="2949" spans="1:1" x14ac:dyDescent="0.25">
      <c r="A2949" s="710"/>
    </row>
    <row r="2950" spans="1:1" x14ac:dyDescent="0.25">
      <c r="A2950" s="710"/>
    </row>
    <row r="2951" spans="1:1" x14ac:dyDescent="0.25">
      <c r="A2951" s="710"/>
    </row>
    <row r="2952" spans="1:1" x14ac:dyDescent="0.25">
      <c r="A2952" s="710"/>
    </row>
    <row r="2953" spans="1:1" x14ac:dyDescent="0.25">
      <c r="A2953" s="710"/>
    </row>
    <row r="2954" spans="1:1" x14ac:dyDescent="0.25">
      <c r="A2954" s="710"/>
    </row>
    <row r="2955" spans="1:1" x14ac:dyDescent="0.25">
      <c r="A2955" s="710"/>
    </row>
    <row r="2956" spans="1:1" x14ac:dyDescent="0.25">
      <c r="A2956" s="710"/>
    </row>
    <row r="2957" spans="1:1" x14ac:dyDescent="0.25">
      <c r="A2957" s="710"/>
    </row>
    <row r="2958" spans="1:1" x14ac:dyDescent="0.25">
      <c r="A2958" s="710"/>
    </row>
    <row r="2959" spans="1:1" x14ac:dyDescent="0.25">
      <c r="A2959" s="710"/>
    </row>
    <row r="2960" spans="1:1" x14ac:dyDescent="0.25">
      <c r="A2960" s="710"/>
    </row>
    <row r="2961" spans="1:1" x14ac:dyDescent="0.25">
      <c r="A2961" s="710"/>
    </row>
    <row r="2962" spans="1:1" x14ac:dyDescent="0.25">
      <c r="A2962" s="710"/>
    </row>
    <row r="2963" spans="1:1" x14ac:dyDescent="0.25">
      <c r="A2963" s="710"/>
    </row>
    <row r="2964" spans="1:1" x14ac:dyDescent="0.25">
      <c r="A2964" s="710"/>
    </row>
    <row r="2965" spans="1:1" x14ac:dyDescent="0.25">
      <c r="A2965" s="710"/>
    </row>
    <row r="2966" spans="1:1" x14ac:dyDescent="0.25">
      <c r="A2966" s="710"/>
    </row>
    <row r="2967" spans="1:1" x14ac:dyDescent="0.25">
      <c r="A2967" s="710"/>
    </row>
    <row r="2968" spans="1:1" x14ac:dyDescent="0.25">
      <c r="A2968" s="710"/>
    </row>
    <row r="2969" spans="1:1" x14ac:dyDescent="0.25">
      <c r="A2969" s="710"/>
    </row>
    <row r="2970" spans="1:1" x14ac:dyDescent="0.25">
      <c r="A2970" s="710"/>
    </row>
    <row r="2971" spans="1:1" x14ac:dyDescent="0.25">
      <c r="A2971" s="710"/>
    </row>
    <row r="2972" spans="1:1" x14ac:dyDescent="0.25">
      <c r="A2972" s="710"/>
    </row>
    <row r="2973" spans="1:1" x14ac:dyDescent="0.25">
      <c r="A2973" s="710"/>
    </row>
    <row r="2974" spans="1:1" x14ac:dyDescent="0.25">
      <c r="A2974" s="710"/>
    </row>
    <row r="2975" spans="1:1" x14ac:dyDescent="0.25">
      <c r="A2975" s="710"/>
    </row>
    <row r="2976" spans="1:1" x14ac:dyDescent="0.25">
      <c r="A2976" s="710"/>
    </row>
    <row r="2977" spans="1:1" x14ac:dyDescent="0.25">
      <c r="A2977" s="710"/>
    </row>
    <row r="2978" spans="1:1" x14ac:dyDescent="0.25">
      <c r="A2978" s="710"/>
    </row>
    <row r="2979" spans="1:1" x14ac:dyDescent="0.25">
      <c r="A2979" s="710"/>
    </row>
    <row r="2980" spans="1:1" x14ac:dyDescent="0.25">
      <c r="A2980" s="710"/>
    </row>
    <row r="2981" spans="1:1" x14ac:dyDescent="0.25">
      <c r="A2981" s="710"/>
    </row>
    <row r="2982" spans="1:1" x14ac:dyDescent="0.25">
      <c r="A2982" s="710"/>
    </row>
    <row r="2983" spans="1:1" x14ac:dyDescent="0.25">
      <c r="A2983" s="710"/>
    </row>
    <row r="2984" spans="1:1" x14ac:dyDescent="0.25">
      <c r="A2984" s="710"/>
    </row>
    <row r="2985" spans="1:1" x14ac:dyDescent="0.25">
      <c r="A2985" s="710"/>
    </row>
    <row r="2986" spans="1:1" x14ac:dyDescent="0.25">
      <c r="A2986" s="710"/>
    </row>
    <row r="2987" spans="1:1" x14ac:dyDescent="0.25">
      <c r="A2987" s="710"/>
    </row>
    <row r="2988" spans="1:1" x14ac:dyDescent="0.25">
      <c r="A2988" s="710"/>
    </row>
    <row r="2989" spans="1:1" x14ac:dyDescent="0.25">
      <c r="A2989" s="710"/>
    </row>
    <row r="2990" spans="1:1" x14ac:dyDescent="0.25">
      <c r="A2990" s="710"/>
    </row>
    <row r="2991" spans="1:1" x14ac:dyDescent="0.25">
      <c r="A2991" s="710"/>
    </row>
    <row r="2992" spans="1:1" x14ac:dyDescent="0.25">
      <c r="A2992" s="710"/>
    </row>
    <row r="2993" spans="1:1" x14ac:dyDescent="0.25">
      <c r="A2993" s="710"/>
    </row>
    <row r="2994" spans="1:1" x14ac:dyDescent="0.25">
      <c r="A2994" s="710"/>
    </row>
    <row r="2995" spans="1:1" x14ac:dyDescent="0.25">
      <c r="A2995" s="710"/>
    </row>
    <row r="2996" spans="1:1" x14ac:dyDescent="0.25">
      <c r="A2996" s="710"/>
    </row>
    <row r="2997" spans="1:1" x14ac:dyDescent="0.25">
      <c r="A2997" s="710"/>
    </row>
    <row r="2998" spans="1:1" x14ac:dyDescent="0.25">
      <c r="A2998" s="710"/>
    </row>
    <row r="2999" spans="1:1" x14ac:dyDescent="0.25">
      <c r="A2999" s="710"/>
    </row>
    <row r="3000" spans="1:1" x14ac:dyDescent="0.25">
      <c r="A3000" s="710"/>
    </row>
    <row r="3001" spans="1:1" x14ac:dyDescent="0.25">
      <c r="A3001" s="710"/>
    </row>
    <row r="3002" spans="1:1" x14ac:dyDescent="0.25">
      <c r="A3002" s="710"/>
    </row>
    <row r="3003" spans="1:1" x14ac:dyDescent="0.25">
      <c r="A3003" s="710"/>
    </row>
    <row r="3004" spans="1:1" x14ac:dyDescent="0.25">
      <c r="A3004" s="710"/>
    </row>
    <row r="3005" spans="1:1" x14ac:dyDescent="0.25">
      <c r="A3005" s="710"/>
    </row>
    <row r="3006" spans="1:1" x14ac:dyDescent="0.25">
      <c r="A3006" s="710"/>
    </row>
    <row r="3007" spans="1:1" x14ac:dyDescent="0.25">
      <c r="A3007" s="710"/>
    </row>
    <row r="3008" spans="1:1" x14ac:dyDescent="0.25">
      <c r="A3008" s="710"/>
    </row>
    <row r="3009" spans="1:1" x14ac:dyDescent="0.25">
      <c r="A3009" s="710"/>
    </row>
    <row r="3010" spans="1:1" x14ac:dyDescent="0.25">
      <c r="A3010" s="710"/>
    </row>
    <row r="3011" spans="1:1" x14ac:dyDescent="0.25">
      <c r="A3011" s="710"/>
    </row>
    <row r="3012" spans="1:1" x14ac:dyDescent="0.25">
      <c r="A3012" s="710"/>
    </row>
    <row r="3013" spans="1:1" x14ac:dyDescent="0.25">
      <c r="A3013" s="710"/>
    </row>
    <row r="3014" spans="1:1" x14ac:dyDescent="0.25">
      <c r="A3014" s="710"/>
    </row>
    <row r="3015" spans="1:1" x14ac:dyDescent="0.25">
      <c r="A3015" s="710"/>
    </row>
    <row r="3016" spans="1:1" x14ac:dyDescent="0.25">
      <c r="A3016" s="710"/>
    </row>
    <row r="3017" spans="1:1" x14ac:dyDescent="0.25">
      <c r="A3017" s="710"/>
    </row>
    <row r="3018" spans="1:1" x14ac:dyDescent="0.25">
      <c r="A3018" s="710"/>
    </row>
    <row r="3019" spans="1:1" x14ac:dyDescent="0.25">
      <c r="A3019" s="710"/>
    </row>
    <row r="3020" spans="1:1" x14ac:dyDescent="0.25">
      <c r="A3020" s="710"/>
    </row>
    <row r="3021" spans="1:1" x14ac:dyDescent="0.25">
      <c r="A3021" s="710"/>
    </row>
    <row r="3022" spans="1:1" x14ac:dyDescent="0.25">
      <c r="A3022" s="710"/>
    </row>
    <row r="3023" spans="1:1" x14ac:dyDescent="0.25">
      <c r="A3023" s="710"/>
    </row>
    <row r="3024" spans="1:1" x14ac:dyDescent="0.25">
      <c r="A3024" s="710"/>
    </row>
    <row r="3025" spans="1:1" x14ac:dyDescent="0.25">
      <c r="A3025" s="710"/>
    </row>
    <row r="3026" spans="1:1" x14ac:dyDescent="0.25">
      <c r="A3026" s="710"/>
    </row>
    <row r="3027" spans="1:1" x14ac:dyDescent="0.25">
      <c r="A3027" s="710"/>
    </row>
    <row r="3028" spans="1:1" x14ac:dyDescent="0.25">
      <c r="A3028" s="710"/>
    </row>
    <row r="3029" spans="1:1" x14ac:dyDescent="0.25">
      <c r="A3029" s="710"/>
    </row>
    <row r="3030" spans="1:1" x14ac:dyDescent="0.25">
      <c r="A3030" s="710"/>
    </row>
    <row r="3031" spans="1:1" x14ac:dyDescent="0.25">
      <c r="A3031" s="710"/>
    </row>
    <row r="3032" spans="1:1" x14ac:dyDescent="0.25">
      <c r="A3032" s="710"/>
    </row>
    <row r="3033" spans="1:1" x14ac:dyDescent="0.25">
      <c r="A3033" s="710"/>
    </row>
    <row r="3034" spans="1:1" x14ac:dyDescent="0.25">
      <c r="A3034" s="710"/>
    </row>
    <row r="3035" spans="1:1" x14ac:dyDescent="0.25">
      <c r="A3035" s="710"/>
    </row>
    <row r="3036" spans="1:1" x14ac:dyDescent="0.25">
      <c r="A3036" s="710"/>
    </row>
    <row r="3037" spans="1:1" x14ac:dyDescent="0.25">
      <c r="A3037" s="710"/>
    </row>
    <row r="3038" spans="1:1" x14ac:dyDescent="0.25">
      <c r="A3038" s="710"/>
    </row>
    <row r="3039" spans="1:1" x14ac:dyDescent="0.25">
      <c r="A3039" s="710"/>
    </row>
    <row r="3040" spans="1:1" x14ac:dyDescent="0.25">
      <c r="A3040" s="710"/>
    </row>
    <row r="3041" spans="1:1" x14ac:dyDescent="0.25">
      <c r="A3041" s="710"/>
    </row>
    <row r="3042" spans="1:1" x14ac:dyDescent="0.25">
      <c r="A3042" s="710"/>
    </row>
    <row r="3043" spans="1:1" x14ac:dyDescent="0.25">
      <c r="A3043" s="710"/>
    </row>
    <row r="3044" spans="1:1" x14ac:dyDescent="0.25">
      <c r="A3044" s="710"/>
    </row>
    <row r="3045" spans="1:1" x14ac:dyDescent="0.25">
      <c r="A3045" s="710"/>
    </row>
    <row r="3046" spans="1:1" x14ac:dyDescent="0.25">
      <c r="A3046" s="710"/>
    </row>
    <row r="3047" spans="1:1" x14ac:dyDescent="0.25">
      <c r="A3047" s="710"/>
    </row>
    <row r="3048" spans="1:1" x14ac:dyDescent="0.25">
      <c r="A3048" s="710"/>
    </row>
    <row r="3049" spans="1:1" x14ac:dyDescent="0.25">
      <c r="A3049" s="710"/>
    </row>
    <row r="3050" spans="1:1" x14ac:dyDescent="0.25">
      <c r="A3050" s="710"/>
    </row>
    <row r="3051" spans="1:1" x14ac:dyDescent="0.25">
      <c r="A3051" s="710"/>
    </row>
    <row r="3052" spans="1:1" x14ac:dyDescent="0.25">
      <c r="A3052" s="710"/>
    </row>
    <row r="3053" spans="1:1" x14ac:dyDescent="0.25">
      <c r="A3053" s="710"/>
    </row>
    <row r="3054" spans="1:1" x14ac:dyDescent="0.25">
      <c r="A3054" s="710"/>
    </row>
    <row r="3055" spans="1:1" x14ac:dyDescent="0.25">
      <c r="A3055" s="710"/>
    </row>
    <row r="3056" spans="1:1" x14ac:dyDescent="0.25">
      <c r="A3056" s="710"/>
    </row>
    <row r="3057" spans="1:1" x14ac:dyDescent="0.25">
      <c r="A3057" s="710"/>
    </row>
    <row r="3058" spans="1:1" x14ac:dyDescent="0.25">
      <c r="A3058" s="710"/>
    </row>
    <row r="3059" spans="1:1" x14ac:dyDescent="0.25">
      <c r="A3059" s="710"/>
    </row>
    <row r="3060" spans="1:1" x14ac:dyDescent="0.25">
      <c r="A3060" s="710"/>
    </row>
    <row r="3061" spans="1:1" x14ac:dyDescent="0.25">
      <c r="A3061" s="710"/>
    </row>
    <row r="3062" spans="1:1" x14ac:dyDescent="0.25">
      <c r="A3062" s="710"/>
    </row>
    <row r="3063" spans="1:1" x14ac:dyDescent="0.25">
      <c r="A3063" s="710"/>
    </row>
    <row r="3064" spans="1:1" x14ac:dyDescent="0.25">
      <c r="A3064" s="710"/>
    </row>
    <row r="3065" spans="1:1" x14ac:dyDescent="0.25">
      <c r="A3065" s="710"/>
    </row>
    <row r="3066" spans="1:1" x14ac:dyDescent="0.25">
      <c r="A3066" s="710"/>
    </row>
    <row r="3067" spans="1:1" x14ac:dyDescent="0.25">
      <c r="A3067" s="710"/>
    </row>
    <row r="3068" spans="1:1" x14ac:dyDescent="0.25">
      <c r="A3068" s="710"/>
    </row>
    <row r="3069" spans="1:1" x14ac:dyDescent="0.25">
      <c r="A3069" s="710"/>
    </row>
    <row r="3070" spans="1:1" x14ac:dyDescent="0.25">
      <c r="A3070" s="710"/>
    </row>
    <row r="3071" spans="1:1" x14ac:dyDescent="0.25">
      <c r="A3071" s="710"/>
    </row>
    <row r="3072" spans="1:1" x14ac:dyDescent="0.25">
      <c r="A3072" s="710"/>
    </row>
    <row r="3073" spans="1:1" x14ac:dyDescent="0.25">
      <c r="A3073" s="710"/>
    </row>
    <row r="3074" spans="1:1" x14ac:dyDescent="0.25">
      <c r="A3074" s="710"/>
    </row>
    <row r="3075" spans="1:1" x14ac:dyDescent="0.25">
      <c r="A3075" s="710"/>
    </row>
    <row r="3076" spans="1:1" x14ac:dyDescent="0.25">
      <c r="A3076" s="710"/>
    </row>
    <row r="3077" spans="1:1" x14ac:dyDescent="0.25">
      <c r="A3077" s="710"/>
    </row>
    <row r="3078" spans="1:1" x14ac:dyDescent="0.25">
      <c r="A3078" s="710"/>
    </row>
    <row r="3079" spans="1:1" x14ac:dyDescent="0.25">
      <c r="A3079" s="710"/>
    </row>
    <row r="3080" spans="1:1" x14ac:dyDescent="0.25">
      <c r="A3080" s="710"/>
    </row>
    <row r="3081" spans="1:1" x14ac:dyDescent="0.25">
      <c r="A3081" s="710"/>
    </row>
    <row r="3082" spans="1:1" x14ac:dyDescent="0.25">
      <c r="A3082" s="710"/>
    </row>
    <row r="3083" spans="1:1" x14ac:dyDescent="0.25">
      <c r="A3083" s="710"/>
    </row>
    <row r="3084" spans="1:1" x14ac:dyDescent="0.25">
      <c r="A3084" s="710"/>
    </row>
    <row r="3085" spans="1:1" x14ac:dyDescent="0.25">
      <c r="A3085" s="710"/>
    </row>
    <row r="3086" spans="1:1" x14ac:dyDescent="0.25">
      <c r="A3086" s="710"/>
    </row>
    <row r="3087" spans="1:1" x14ac:dyDescent="0.25">
      <c r="A3087" s="710"/>
    </row>
    <row r="3088" spans="1:1" x14ac:dyDescent="0.25">
      <c r="A3088" s="710"/>
    </row>
    <row r="3089" spans="1:1" x14ac:dyDescent="0.25">
      <c r="A3089" s="710"/>
    </row>
    <row r="3090" spans="1:1" x14ac:dyDescent="0.25">
      <c r="A3090" s="710"/>
    </row>
    <row r="3091" spans="1:1" x14ac:dyDescent="0.25">
      <c r="A3091" s="710"/>
    </row>
    <row r="3092" spans="1:1" x14ac:dyDescent="0.25">
      <c r="A3092" s="710"/>
    </row>
    <row r="3093" spans="1:1" x14ac:dyDescent="0.25">
      <c r="A3093" s="710"/>
    </row>
    <row r="3094" spans="1:1" x14ac:dyDescent="0.25">
      <c r="A3094" s="710"/>
    </row>
    <row r="3095" spans="1:1" x14ac:dyDescent="0.25">
      <c r="A3095" s="710"/>
    </row>
    <row r="3096" spans="1:1" x14ac:dyDescent="0.25">
      <c r="A3096" s="710"/>
    </row>
    <row r="3097" spans="1:1" x14ac:dyDescent="0.25">
      <c r="A3097" s="710"/>
    </row>
    <row r="3098" spans="1:1" x14ac:dyDescent="0.25">
      <c r="A3098" s="710"/>
    </row>
    <row r="3099" spans="1:1" x14ac:dyDescent="0.25">
      <c r="A3099" s="710"/>
    </row>
    <row r="3100" spans="1:1" x14ac:dyDescent="0.25">
      <c r="A3100" s="710"/>
    </row>
    <row r="3101" spans="1:1" x14ac:dyDescent="0.25">
      <c r="A3101" s="710"/>
    </row>
    <row r="3102" spans="1:1" x14ac:dyDescent="0.25">
      <c r="A3102" s="710"/>
    </row>
    <row r="3103" spans="1:1" x14ac:dyDescent="0.25">
      <c r="A3103" s="710"/>
    </row>
    <row r="3104" spans="1:1" x14ac:dyDescent="0.25">
      <c r="A3104" s="710"/>
    </row>
    <row r="3105" spans="1:1" x14ac:dyDescent="0.25">
      <c r="A3105" s="710"/>
    </row>
    <row r="3106" spans="1:1" x14ac:dyDescent="0.25">
      <c r="A3106" s="710"/>
    </row>
    <row r="3107" spans="1:1" x14ac:dyDescent="0.25">
      <c r="A3107" s="710"/>
    </row>
    <row r="3108" spans="1:1" x14ac:dyDescent="0.25">
      <c r="A3108" s="710"/>
    </row>
    <row r="3109" spans="1:1" x14ac:dyDescent="0.25">
      <c r="A3109" s="710"/>
    </row>
    <row r="3110" spans="1:1" x14ac:dyDescent="0.25">
      <c r="A3110" s="710"/>
    </row>
    <row r="3111" spans="1:1" x14ac:dyDescent="0.25">
      <c r="A3111" s="710"/>
    </row>
    <row r="3112" spans="1:1" x14ac:dyDescent="0.25">
      <c r="A3112" s="710"/>
    </row>
    <row r="3113" spans="1:1" x14ac:dyDescent="0.25">
      <c r="A3113" s="710"/>
    </row>
    <row r="3114" spans="1:1" x14ac:dyDescent="0.25">
      <c r="A3114" s="710"/>
    </row>
    <row r="3115" spans="1:1" x14ac:dyDescent="0.25">
      <c r="A3115" s="710"/>
    </row>
    <row r="3116" spans="1:1" x14ac:dyDescent="0.25">
      <c r="A3116" s="710"/>
    </row>
    <row r="3117" spans="1:1" x14ac:dyDescent="0.25">
      <c r="A3117" s="710"/>
    </row>
    <row r="3118" spans="1:1" x14ac:dyDescent="0.25">
      <c r="A3118" s="710"/>
    </row>
    <row r="3119" spans="1:1" x14ac:dyDescent="0.25">
      <c r="A3119" s="710"/>
    </row>
    <row r="3120" spans="1:1" x14ac:dyDescent="0.25">
      <c r="A3120" s="710"/>
    </row>
    <row r="3121" spans="1:1" x14ac:dyDescent="0.25">
      <c r="A3121" s="710"/>
    </row>
    <row r="3122" spans="1:1" x14ac:dyDescent="0.25">
      <c r="A3122" s="710"/>
    </row>
    <row r="3123" spans="1:1" x14ac:dyDescent="0.25">
      <c r="A3123" s="710"/>
    </row>
    <row r="3124" spans="1:1" x14ac:dyDescent="0.25">
      <c r="A3124" s="710"/>
    </row>
    <row r="3125" spans="1:1" x14ac:dyDescent="0.25">
      <c r="A3125" s="710"/>
    </row>
    <row r="3126" spans="1:1" x14ac:dyDescent="0.25">
      <c r="A3126" s="710"/>
    </row>
    <row r="3127" spans="1:1" x14ac:dyDescent="0.25">
      <c r="A3127" s="710"/>
    </row>
    <row r="3128" spans="1:1" x14ac:dyDescent="0.25">
      <c r="A3128" s="710"/>
    </row>
    <row r="3129" spans="1:1" x14ac:dyDescent="0.25">
      <c r="A3129" s="710"/>
    </row>
    <row r="3130" spans="1:1" x14ac:dyDescent="0.25">
      <c r="A3130" s="710"/>
    </row>
    <row r="3131" spans="1:1" x14ac:dyDescent="0.25">
      <c r="A3131" s="710"/>
    </row>
    <row r="3132" spans="1:1" x14ac:dyDescent="0.25">
      <c r="A3132" s="710"/>
    </row>
    <row r="3133" spans="1:1" x14ac:dyDescent="0.25">
      <c r="A3133" s="710"/>
    </row>
    <row r="3134" spans="1:1" x14ac:dyDescent="0.25">
      <c r="A3134" s="710"/>
    </row>
    <row r="3135" spans="1:1" x14ac:dyDescent="0.25">
      <c r="A3135" s="710"/>
    </row>
    <row r="3136" spans="1:1" x14ac:dyDescent="0.25">
      <c r="A3136" s="710"/>
    </row>
    <row r="3137" spans="1:1" x14ac:dyDescent="0.25">
      <c r="A3137" s="710"/>
    </row>
    <row r="3138" spans="1:1" x14ac:dyDescent="0.25">
      <c r="A3138" s="710"/>
    </row>
    <row r="3139" spans="1:1" x14ac:dyDescent="0.25">
      <c r="A3139" s="710"/>
    </row>
    <row r="3140" spans="1:1" x14ac:dyDescent="0.25">
      <c r="A3140" s="710"/>
    </row>
    <row r="3141" spans="1:1" x14ac:dyDescent="0.25">
      <c r="A3141" s="710"/>
    </row>
    <row r="3142" spans="1:1" x14ac:dyDescent="0.25">
      <c r="A3142" s="710"/>
    </row>
    <row r="3143" spans="1:1" x14ac:dyDescent="0.25">
      <c r="A3143" s="710"/>
    </row>
    <row r="3144" spans="1:1" x14ac:dyDescent="0.25">
      <c r="A3144" s="710"/>
    </row>
    <row r="3145" spans="1:1" x14ac:dyDescent="0.25">
      <c r="A3145" s="710"/>
    </row>
    <row r="3146" spans="1:1" x14ac:dyDescent="0.25">
      <c r="A3146" s="710"/>
    </row>
    <row r="3147" spans="1:1" x14ac:dyDescent="0.25">
      <c r="A3147" s="710"/>
    </row>
    <row r="3148" spans="1:1" x14ac:dyDescent="0.25">
      <c r="A3148" s="710"/>
    </row>
    <row r="3149" spans="1:1" x14ac:dyDescent="0.25">
      <c r="A3149" s="710"/>
    </row>
    <row r="3150" spans="1:1" x14ac:dyDescent="0.25">
      <c r="A3150" s="710"/>
    </row>
    <row r="3151" spans="1:1" x14ac:dyDescent="0.25">
      <c r="A3151" s="710"/>
    </row>
    <row r="3152" spans="1:1" x14ac:dyDescent="0.25">
      <c r="A3152" s="710"/>
    </row>
    <row r="3153" spans="1:1" x14ac:dyDescent="0.25">
      <c r="A3153" s="710"/>
    </row>
    <row r="3154" spans="1:1" x14ac:dyDescent="0.25">
      <c r="A3154" s="710"/>
    </row>
    <row r="3155" spans="1:1" x14ac:dyDescent="0.25">
      <c r="A3155" s="710"/>
    </row>
    <row r="3156" spans="1:1" x14ac:dyDescent="0.25">
      <c r="A3156" s="710"/>
    </row>
    <row r="3157" spans="1:1" x14ac:dyDescent="0.25">
      <c r="A3157" s="710"/>
    </row>
    <row r="3158" spans="1:1" x14ac:dyDescent="0.25">
      <c r="A3158" s="710"/>
    </row>
    <row r="3159" spans="1:1" x14ac:dyDescent="0.25">
      <c r="A3159" s="710"/>
    </row>
    <row r="3160" spans="1:1" x14ac:dyDescent="0.25">
      <c r="A3160" s="710"/>
    </row>
    <row r="3161" spans="1:1" x14ac:dyDescent="0.25">
      <c r="A3161" s="710"/>
    </row>
    <row r="3162" spans="1:1" x14ac:dyDescent="0.25">
      <c r="A3162" s="710"/>
    </row>
    <row r="3163" spans="1:1" x14ac:dyDescent="0.25">
      <c r="A3163" s="710"/>
    </row>
    <row r="3164" spans="1:1" x14ac:dyDescent="0.25">
      <c r="A3164" s="710"/>
    </row>
    <row r="3165" spans="1:1" x14ac:dyDescent="0.25">
      <c r="A3165" s="710"/>
    </row>
    <row r="3166" spans="1:1" x14ac:dyDescent="0.25">
      <c r="A3166" s="710"/>
    </row>
    <row r="3167" spans="1:1" x14ac:dyDescent="0.25">
      <c r="A3167" s="710"/>
    </row>
    <row r="3168" spans="1:1" x14ac:dyDescent="0.25">
      <c r="A3168" s="710"/>
    </row>
    <row r="3169" spans="1:1" x14ac:dyDescent="0.25">
      <c r="A3169" s="710"/>
    </row>
    <row r="3170" spans="1:1" x14ac:dyDescent="0.25">
      <c r="A3170" s="710"/>
    </row>
    <row r="3171" spans="1:1" x14ac:dyDescent="0.25">
      <c r="A3171" s="710"/>
    </row>
    <row r="3172" spans="1:1" x14ac:dyDescent="0.25">
      <c r="A3172" s="710"/>
    </row>
    <row r="3173" spans="1:1" x14ac:dyDescent="0.25">
      <c r="A3173" s="710"/>
    </row>
    <row r="3174" spans="1:1" x14ac:dyDescent="0.25">
      <c r="A3174" s="710"/>
    </row>
    <row r="3175" spans="1:1" x14ac:dyDescent="0.25">
      <c r="A3175" s="710"/>
    </row>
    <row r="3176" spans="1:1" x14ac:dyDescent="0.25">
      <c r="A3176" s="710"/>
    </row>
    <row r="3177" spans="1:1" x14ac:dyDescent="0.25">
      <c r="A3177" s="710"/>
    </row>
    <row r="3178" spans="1:1" x14ac:dyDescent="0.25">
      <c r="A3178" s="710"/>
    </row>
    <row r="3179" spans="1:1" x14ac:dyDescent="0.25">
      <c r="A3179" s="710"/>
    </row>
    <row r="3180" spans="1:1" x14ac:dyDescent="0.25">
      <c r="A3180" s="710"/>
    </row>
    <row r="3181" spans="1:1" x14ac:dyDescent="0.25">
      <c r="A3181" s="710"/>
    </row>
    <row r="3182" spans="1:1" x14ac:dyDescent="0.25">
      <c r="A3182" s="710"/>
    </row>
    <row r="3183" spans="1:1" x14ac:dyDescent="0.25">
      <c r="A3183" s="710"/>
    </row>
    <row r="3184" spans="1:1" x14ac:dyDescent="0.25">
      <c r="A3184" s="710"/>
    </row>
    <row r="3185" spans="1:1" x14ac:dyDescent="0.25">
      <c r="A3185" s="710"/>
    </row>
    <row r="3186" spans="1:1" x14ac:dyDescent="0.25">
      <c r="A3186" s="710"/>
    </row>
    <row r="3187" spans="1:1" x14ac:dyDescent="0.25">
      <c r="A3187" s="710"/>
    </row>
    <row r="3188" spans="1:1" x14ac:dyDescent="0.25">
      <c r="A3188" s="710"/>
    </row>
    <row r="3189" spans="1:1" x14ac:dyDescent="0.25">
      <c r="A3189" s="710"/>
    </row>
    <row r="3190" spans="1:1" x14ac:dyDescent="0.25">
      <c r="A3190" s="710"/>
    </row>
    <row r="3191" spans="1:1" x14ac:dyDescent="0.25">
      <c r="A3191" s="710"/>
    </row>
    <row r="3192" spans="1:1" x14ac:dyDescent="0.25">
      <c r="A3192" s="710"/>
    </row>
    <row r="3193" spans="1:1" x14ac:dyDescent="0.25">
      <c r="A3193" s="710"/>
    </row>
    <row r="3194" spans="1:1" x14ac:dyDescent="0.25">
      <c r="A3194" s="710"/>
    </row>
    <row r="3195" spans="1:1" x14ac:dyDescent="0.25">
      <c r="A3195" s="710"/>
    </row>
    <row r="3196" spans="1:1" x14ac:dyDescent="0.25">
      <c r="A3196" s="710"/>
    </row>
    <row r="3197" spans="1:1" x14ac:dyDescent="0.25">
      <c r="A3197" s="710"/>
    </row>
    <row r="3198" spans="1:1" x14ac:dyDescent="0.25">
      <c r="A3198" s="710"/>
    </row>
    <row r="3199" spans="1:1" x14ac:dyDescent="0.25">
      <c r="A3199" s="710"/>
    </row>
    <row r="3200" spans="1:1" x14ac:dyDescent="0.25">
      <c r="A3200" s="710"/>
    </row>
    <row r="3201" spans="1:1" x14ac:dyDescent="0.25">
      <c r="A3201" s="710"/>
    </row>
    <row r="3202" spans="1:1" x14ac:dyDescent="0.25">
      <c r="A3202" s="710"/>
    </row>
    <row r="3203" spans="1:1" x14ac:dyDescent="0.25">
      <c r="A3203" s="710"/>
    </row>
    <row r="3204" spans="1:1" x14ac:dyDescent="0.25">
      <c r="A3204" s="710"/>
    </row>
    <row r="3205" spans="1:1" x14ac:dyDescent="0.25">
      <c r="A3205" s="710"/>
    </row>
    <row r="3206" spans="1:1" x14ac:dyDescent="0.25">
      <c r="A3206" s="710"/>
    </row>
    <row r="3207" spans="1:1" x14ac:dyDescent="0.25">
      <c r="A3207" s="710"/>
    </row>
    <row r="3208" spans="1:1" x14ac:dyDescent="0.25">
      <c r="A3208" s="710"/>
    </row>
    <row r="3209" spans="1:1" x14ac:dyDescent="0.25">
      <c r="A3209" s="710"/>
    </row>
    <row r="3210" spans="1:1" x14ac:dyDescent="0.25">
      <c r="A3210" s="710"/>
    </row>
    <row r="3211" spans="1:1" x14ac:dyDescent="0.25">
      <c r="A3211" s="710"/>
    </row>
    <row r="3212" spans="1:1" x14ac:dyDescent="0.25">
      <c r="A3212" s="710"/>
    </row>
    <row r="3213" spans="1:1" x14ac:dyDescent="0.25">
      <c r="A3213" s="710"/>
    </row>
    <row r="3214" spans="1:1" x14ac:dyDescent="0.25">
      <c r="A3214" s="710"/>
    </row>
    <row r="3215" spans="1:1" x14ac:dyDescent="0.25">
      <c r="A3215" s="710"/>
    </row>
    <row r="3216" spans="1:1" x14ac:dyDescent="0.25">
      <c r="A3216" s="710"/>
    </row>
    <row r="3217" spans="1:1" x14ac:dyDescent="0.25">
      <c r="A3217" s="710"/>
    </row>
    <row r="3218" spans="1:1" x14ac:dyDescent="0.25">
      <c r="A3218" s="710"/>
    </row>
    <row r="3219" spans="1:1" x14ac:dyDescent="0.25">
      <c r="A3219" s="710"/>
    </row>
    <row r="3220" spans="1:1" x14ac:dyDescent="0.25">
      <c r="A3220" s="710"/>
    </row>
    <row r="3221" spans="1:1" x14ac:dyDescent="0.25">
      <c r="A3221" s="710"/>
    </row>
    <row r="3222" spans="1:1" x14ac:dyDescent="0.25">
      <c r="A3222" s="710"/>
    </row>
    <row r="3223" spans="1:1" x14ac:dyDescent="0.25">
      <c r="A3223" s="710"/>
    </row>
    <row r="3224" spans="1:1" x14ac:dyDescent="0.25">
      <c r="A3224" s="710"/>
    </row>
    <row r="3225" spans="1:1" x14ac:dyDescent="0.25">
      <c r="A3225" s="710"/>
    </row>
    <row r="3226" spans="1:1" x14ac:dyDescent="0.25">
      <c r="A3226" s="710"/>
    </row>
    <row r="3227" spans="1:1" x14ac:dyDescent="0.25">
      <c r="A3227" s="710"/>
    </row>
    <row r="3228" spans="1:1" x14ac:dyDescent="0.25">
      <c r="A3228" s="710"/>
    </row>
    <row r="3229" spans="1:1" x14ac:dyDescent="0.25">
      <c r="A3229" s="710"/>
    </row>
    <row r="3230" spans="1:1" x14ac:dyDescent="0.25">
      <c r="A3230" s="710"/>
    </row>
    <row r="3231" spans="1:1" x14ac:dyDescent="0.25">
      <c r="A3231" s="710"/>
    </row>
    <row r="3232" spans="1:1" x14ac:dyDescent="0.25">
      <c r="A3232" s="710"/>
    </row>
    <row r="3233" spans="1:1" x14ac:dyDescent="0.25">
      <c r="A3233" s="710"/>
    </row>
    <row r="3234" spans="1:1" x14ac:dyDescent="0.25">
      <c r="A3234" s="710"/>
    </row>
    <row r="3235" spans="1:1" x14ac:dyDescent="0.25">
      <c r="A3235" s="710"/>
    </row>
    <row r="3236" spans="1:1" x14ac:dyDescent="0.25">
      <c r="A3236" s="710"/>
    </row>
    <row r="3237" spans="1:1" x14ac:dyDescent="0.25">
      <c r="A3237" s="710"/>
    </row>
    <row r="3238" spans="1:1" x14ac:dyDescent="0.25">
      <c r="A3238" s="710"/>
    </row>
    <row r="3239" spans="1:1" x14ac:dyDescent="0.25">
      <c r="A3239" s="710"/>
    </row>
    <row r="3240" spans="1:1" x14ac:dyDescent="0.25">
      <c r="A3240" s="710"/>
    </row>
    <row r="3241" spans="1:1" x14ac:dyDescent="0.25">
      <c r="A3241" s="710"/>
    </row>
    <row r="3242" spans="1:1" x14ac:dyDescent="0.25">
      <c r="A3242" s="710"/>
    </row>
    <row r="3243" spans="1:1" x14ac:dyDescent="0.25">
      <c r="A3243" s="710"/>
    </row>
    <row r="3244" spans="1:1" x14ac:dyDescent="0.25">
      <c r="A3244" s="710"/>
    </row>
    <row r="3245" spans="1:1" x14ac:dyDescent="0.25">
      <c r="A3245" s="710"/>
    </row>
    <row r="3246" spans="1:1" x14ac:dyDescent="0.25">
      <c r="A3246" s="710"/>
    </row>
    <row r="3247" spans="1:1" x14ac:dyDescent="0.25">
      <c r="A3247" s="710"/>
    </row>
    <row r="3248" spans="1:1" x14ac:dyDescent="0.25">
      <c r="A3248" s="710"/>
    </row>
    <row r="3249" spans="1:1" x14ac:dyDescent="0.25">
      <c r="A3249" s="710"/>
    </row>
    <row r="3250" spans="1:1" x14ac:dyDescent="0.25">
      <c r="A3250" s="710"/>
    </row>
    <row r="3251" spans="1:1" x14ac:dyDescent="0.25">
      <c r="A3251" s="710"/>
    </row>
    <row r="3252" spans="1:1" x14ac:dyDescent="0.25">
      <c r="A3252" s="710"/>
    </row>
    <row r="3253" spans="1:1" x14ac:dyDescent="0.25">
      <c r="A3253" s="710"/>
    </row>
    <row r="3254" spans="1:1" x14ac:dyDescent="0.25">
      <c r="A3254" s="710"/>
    </row>
    <row r="3255" spans="1:1" x14ac:dyDescent="0.25">
      <c r="A3255" s="710"/>
    </row>
    <row r="3256" spans="1:1" x14ac:dyDescent="0.25">
      <c r="A3256" s="710"/>
    </row>
    <row r="3257" spans="1:1" x14ac:dyDescent="0.25">
      <c r="A3257" s="710"/>
    </row>
    <row r="3258" spans="1:1" x14ac:dyDescent="0.25">
      <c r="A3258" s="710"/>
    </row>
    <row r="3259" spans="1:1" x14ac:dyDescent="0.25">
      <c r="A3259" s="710"/>
    </row>
    <row r="3260" spans="1:1" x14ac:dyDescent="0.25">
      <c r="A3260" s="710"/>
    </row>
    <row r="3261" spans="1:1" x14ac:dyDescent="0.25">
      <c r="A3261" s="710"/>
    </row>
    <row r="3262" spans="1:1" x14ac:dyDescent="0.25">
      <c r="A3262" s="710"/>
    </row>
    <row r="3263" spans="1:1" x14ac:dyDescent="0.25">
      <c r="A3263" s="710"/>
    </row>
    <row r="3264" spans="1:1" x14ac:dyDescent="0.25">
      <c r="A3264" s="710"/>
    </row>
    <row r="3265" spans="1:1" x14ac:dyDescent="0.25">
      <c r="A3265" s="710"/>
    </row>
    <row r="3266" spans="1:1" x14ac:dyDescent="0.25">
      <c r="A3266" s="710"/>
    </row>
    <row r="3267" spans="1:1" x14ac:dyDescent="0.25">
      <c r="A3267" s="710"/>
    </row>
    <row r="3268" spans="1:1" x14ac:dyDescent="0.25">
      <c r="A3268" s="710"/>
    </row>
    <row r="3269" spans="1:1" x14ac:dyDescent="0.25">
      <c r="A3269" s="710"/>
    </row>
    <row r="3270" spans="1:1" x14ac:dyDescent="0.25">
      <c r="A3270" s="710"/>
    </row>
    <row r="3271" spans="1:1" x14ac:dyDescent="0.25">
      <c r="A3271" s="710"/>
    </row>
    <row r="3272" spans="1:1" x14ac:dyDescent="0.25">
      <c r="A3272" s="710"/>
    </row>
    <row r="3273" spans="1:1" x14ac:dyDescent="0.25">
      <c r="A3273" s="710"/>
    </row>
    <row r="3274" spans="1:1" x14ac:dyDescent="0.25">
      <c r="A3274" s="710"/>
    </row>
    <row r="3275" spans="1:1" x14ac:dyDescent="0.25">
      <c r="A3275" s="710"/>
    </row>
    <row r="3276" spans="1:1" x14ac:dyDescent="0.25">
      <c r="A3276" s="710"/>
    </row>
    <row r="3277" spans="1:1" x14ac:dyDescent="0.25">
      <c r="A3277" s="710"/>
    </row>
    <row r="3278" spans="1:1" x14ac:dyDescent="0.25">
      <c r="A3278" s="710"/>
    </row>
    <row r="3279" spans="1:1" x14ac:dyDescent="0.25">
      <c r="A3279" s="710"/>
    </row>
    <row r="3280" spans="1:1" x14ac:dyDescent="0.25">
      <c r="A3280" s="710"/>
    </row>
    <row r="3281" spans="1:1" x14ac:dyDescent="0.25">
      <c r="A3281" s="710"/>
    </row>
    <row r="3282" spans="1:1" x14ac:dyDescent="0.25">
      <c r="A3282" s="710"/>
    </row>
    <row r="3283" spans="1:1" x14ac:dyDescent="0.25">
      <c r="A3283" s="710"/>
    </row>
    <row r="3284" spans="1:1" x14ac:dyDescent="0.25">
      <c r="A3284" s="710"/>
    </row>
    <row r="3285" spans="1:1" x14ac:dyDescent="0.25">
      <c r="A3285" s="710"/>
    </row>
    <row r="3286" spans="1:1" x14ac:dyDescent="0.25">
      <c r="A3286" s="710"/>
    </row>
    <row r="3287" spans="1:1" x14ac:dyDescent="0.25">
      <c r="A3287" s="710"/>
    </row>
    <row r="3288" spans="1:1" x14ac:dyDescent="0.25">
      <c r="A3288" s="710"/>
    </row>
    <row r="3289" spans="1:1" x14ac:dyDescent="0.25">
      <c r="A3289" s="710"/>
    </row>
    <row r="3290" spans="1:1" x14ac:dyDescent="0.25">
      <c r="A3290" s="710"/>
    </row>
    <row r="3291" spans="1:1" x14ac:dyDescent="0.25">
      <c r="A3291" s="710"/>
    </row>
    <row r="3292" spans="1:1" x14ac:dyDescent="0.25">
      <c r="A3292" s="710"/>
    </row>
    <row r="3293" spans="1:1" x14ac:dyDescent="0.25">
      <c r="A3293" s="710"/>
    </row>
    <row r="3294" spans="1:1" x14ac:dyDescent="0.25">
      <c r="A3294" s="710"/>
    </row>
    <row r="3295" spans="1:1" x14ac:dyDescent="0.25">
      <c r="A3295" s="710"/>
    </row>
    <row r="3296" spans="1:1" x14ac:dyDescent="0.25">
      <c r="A3296" s="710"/>
    </row>
    <row r="3297" spans="1:1" x14ac:dyDescent="0.25">
      <c r="A3297" s="710"/>
    </row>
    <row r="3298" spans="1:1" x14ac:dyDescent="0.25">
      <c r="A3298" s="710"/>
    </row>
    <row r="3299" spans="1:1" x14ac:dyDescent="0.25">
      <c r="A3299" s="710"/>
    </row>
    <row r="3300" spans="1:1" x14ac:dyDescent="0.25">
      <c r="A3300" s="710"/>
    </row>
    <row r="3301" spans="1:1" x14ac:dyDescent="0.25">
      <c r="A3301" s="710"/>
    </row>
    <row r="3302" spans="1:1" x14ac:dyDescent="0.25">
      <c r="A3302" s="710"/>
    </row>
    <row r="3303" spans="1:1" x14ac:dyDescent="0.25">
      <c r="A3303" s="710"/>
    </row>
    <row r="3304" spans="1:1" x14ac:dyDescent="0.25">
      <c r="A3304" s="710"/>
    </row>
    <row r="3305" spans="1:1" x14ac:dyDescent="0.25">
      <c r="A3305" s="710"/>
    </row>
    <row r="3306" spans="1:1" x14ac:dyDescent="0.25">
      <c r="A3306" s="710"/>
    </row>
    <row r="3307" spans="1:1" x14ac:dyDescent="0.25">
      <c r="A3307" s="710"/>
    </row>
    <row r="3308" spans="1:1" x14ac:dyDescent="0.25">
      <c r="A3308" s="710"/>
    </row>
    <row r="3309" spans="1:1" x14ac:dyDescent="0.25">
      <c r="A3309" s="710"/>
    </row>
    <row r="3310" spans="1:1" x14ac:dyDescent="0.25">
      <c r="A3310" s="710"/>
    </row>
    <row r="3311" spans="1:1" x14ac:dyDescent="0.25">
      <c r="A3311" s="710"/>
    </row>
    <row r="3312" spans="1:1" x14ac:dyDescent="0.25">
      <c r="A3312" s="710"/>
    </row>
    <row r="3313" spans="1:1" x14ac:dyDescent="0.25">
      <c r="A3313" s="710"/>
    </row>
    <row r="3314" spans="1:1" x14ac:dyDescent="0.25">
      <c r="A3314" s="710"/>
    </row>
    <row r="3315" spans="1:1" x14ac:dyDescent="0.25">
      <c r="A3315" s="710"/>
    </row>
    <row r="3316" spans="1:1" x14ac:dyDescent="0.25">
      <c r="A3316" s="710"/>
    </row>
    <row r="3317" spans="1:1" x14ac:dyDescent="0.25">
      <c r="A3317" s="710"/>
    </row>
    <row r="3318" spans="1:1" x14ac:dyDescent="0.25">
      <c r="A3318" s="710"/>
    </row>
    <row r="3319" spans="1:1" x14ac:dyDescent="0.25">
      <c r="A3319" s="710"/>
    </row>
    <row r="3320" spans="1:1" x14ac:dyDescent="0.25">
      <c r="A3320" s="710"/>
    </row>
    <row r="3321" spans="1:1" x14ac:dyDescent="0.25">
      <c r="A3321" s="710"/>
    </row>
    <row r="3322" spans="1:1" x14ac:dyDescent="0.25">
      <c r="A3322" s="710"/>
    </row>
    <row r="3323" spans="1:1" x14ac:dyDescent="0.25">
      <c r="A3323" s="710"/>
    </row>
    <row r="3324" spans="1:1" x14ac:dyDescent="0.25">
      <c r="A3324" s="710"/>
    </row>
    <row r="3325" spans="1:1" x14ac:dyDescent="0.25">
      <c r="A3325" s="710"/>
    </row>
    <row r="3326" spans="1:1" x14ac:dyDescent="0.25">
      <c r="A3326" s="710"/>
    </row>
    <row r="3327" spans="1:1" x14ac:dyDescent="0.25">
      <c r="A3327" s="710"/>
    </row>
    <row r="3328" spans="1:1" x14ac:dyDescent="0.25">
      <c r="A3328" s="710"/>
    </row>
    <row r="3329" spans="1:1" x14ac:dyDescent="0.25">
      <c r="A3329" s="710"/>
    </row>
    <row r="3330" spans="1:1" x14ac:dyDescent="0.25">
      <c r="A3330" s="710"/>
    </row>
    <row r="3331" spans="1:1" x14ac:dyDescent="0.25">
      <c r="A3331" s="710"/>
    </row>
    <row r="3332" spans="1:1" x14ac:dyDescent="0.25">
      <c r="A3332" s="710"/>
    </row>
    <row r="3333" spans="1:1" x14ac:dyDescent="0.25">
      <c r="A3333" s="710"/>
    </row>
    <row r="3334" spans="1:1" x14ac:dyDescent="0.25">
      <c r="A3334" s="710"/>
    </row>
    <row r="3335" spans="1:1" x14ac:dyDescent="0.25">
      <c r="A3335" s="710"/>
    </row>
    <row r="3336" spans="1:1" x14ac:dyDescent="0.25">
      <c r="A3336" s="710"/>
    </row>
    <row r="3337" spans="1:1" x14ac:dyDescent="0.25">
      <c r="A3337" s="710"/>
    </row>
    <row r="3338" spans="1:1" x14ac:dyDescent="0.25">
      <c r="A3338" s="710"/>
    </row>
    <row r="3339" spans="1:1" x14ac:dyDescent="0.25">
      <c r="A3339" s="710"/>
    </row>
    <row r="3340" spans="1:1" x14ac:dyDescent="0.25">
      <c r="A3340" s="710"/>
    </row>
    <row r="3341" spans="1:1" x14ac:dyDescent="0.25">
      <c r="A3341" s="710"/>
    </row>
    <row r="3342" spans="1:1" x14ac:dyDescent="0.25">
      <c r="A3342" s="710"/>
    </row>
    <row r="3343" spans="1:1" x14ac:dyDescent="0.25">
      <c r="A3343" s="710"/>
    </row>
    <row r="3344" spans="1:1" x14ac:dyDescent="0.25">
      <c r="A3344" s="710"/>
    </row>
    <row r="3345" spans="1:1" x14ac:dyDescent="0.25">
      <c r="A3345" s="710"/>
    </row>
    <row r="3346" spans="1:1" x14ac:dyDescent="0.25">
      <c r="A3346" s="710"/>
    </row>
    <row r="3347" spans="1:1" x14ac:dyDescent="0.25">
      <c r="A3347" s="710"/>
    </row>
    <row r="3348" spans="1:1" x14ac:dyDescent="0.25">
      <c r="A3348" s="710"/>
    </row>
    <row r="3349" spans="1:1" x14ac:dyDescent="0.25">
      <c r="A3349" s="710"/>
    </row>
    <row r="3350" spans="1:1" x14ac:dyDescent="0.25">
      <c r="A3350" s="710"/>
    </row>
    <row r="3351" spans="1:1" x14ac:dyDescent="0.25">
      <c r="A3351" s="710"/>
    </row>
    <row r="3352" spans="1:1" x14ac:dyDescent="0.25">
      <c r="A3352" s="710"/>
    </row>
    <row r="3353" spans="1:1" x14ac:dyDescent="0.25">
      <c r="A3353" s="710"/>
    </row>
    <row r="3354" spans="1:1" x14ac:dyDescent="0.25">
      <c r="A3354" s="710"/>
    </row>
    <row r="3355" spans="1:1" x14ac:dyDescent="0.25">
      <c r="A3355" s="710"/>
    </row>
    <row r="3356" spans="1:1" x14ac:dyDescent="0.25">
      <c r="A3356" s="710"/>
    </row>
    <row r="3357" spans="1:1" x14ac:dyDescent="0.25">
      <c r="A3357" s="710"/>
    </row>
    <row r="3358" spans="1:1" x14ac:dyDescent="0.25">
      <c r="A3358" s="710"/>
    </row>
    <row r="3359" spans="1:1" x14ac:dyDescent="0.25">
      <c r="A3359" s="710"/>
    </row>
    <row r="3360" spans="1:1" x14ac:dyDescent="0.25">
      <c r="A3360" s="710"/>
    </row>
    <row r="3361" spans="1:1" x14ac:dyDescent="0.25">
      <c r="A3361" s="710"/>
    </row>
    <row r="3362" spans="1:1" x14ac:dyDescent="0.25">
      <c r="A3362" s="710"/>
    </row>
    <row r="3363" spans="1:1" x14ac:dyDescent="0.25">
      <c r="A3363" s="710"/>
    </row>
    <row r="3364" spans="1:1" x14ac:dyDescent="0.25">
      <c r="A3364" s="710"/>
    </row>
    <row r="3365" spans="1:1" x14ac:dyDescent="0.25">
      <c r="A3365" s="710"/>
    </row>
    <row r="3366" spans="1:1" x14ac:dyDescent="0.25">
      <c r="A3366" s="710"/>
    </row>
    <row r="3367" spans="1:1" x14ac:dyDescent="0.25">
      <c r="A3367" s="710"/>
    </row>
    <row r="3368" spans="1:1" x14ac:dyDescent="0.25">
      <c r="A3368" s="710"/>
    </row>
    <row r="3369" spans="1:1" x14ac:dyDescent="0.25">
      <c r="A3369" s="710"/>
    </row>
    <row r="3370" spans="1:1" x14ac:dyDescent="0.25">
      <c r="A3370" s="710"/>
    </row>
    <row r="3371" spans="1:1" x14ac:dyDescent="0.25">
      <c r="A3371" s="710"/>
    </row>
    <row r="3372" spans="1:1" x14ac:dyDescent="0.25">
      <c r="A3372" s="710"/>
    </row>
    <row r="3373" spans="1:1" x14ac:dyDescent="0.25">
      <c r="A3373" s="710"/>
    </row>
    <row r="3374" spans="1:1" x14ac:dyDescent="0.25">
      <c r="A3374" s="710"/>
    </row>
    <row r="3375" spans="1:1" x14ac:dyDescent="0.25">
      <c r="A3375" s="710"/>
    </row>
    <row r="3376" spans="1:1" x14ac:dyDescent="0.25">
      <c r="A3376" s="710"/>
    </row>
    <row r="3377" spans="1:1" x14ac:dyDescent="0.25">
      <c r="A3377" s="710"/>
    </row>
    <row r="3378" spans="1:1" x14ac:dyDescent="0.25">
      <c r="A3378" s="710"/>
    </row>
    <row r="3379" spans="1:1" x14ac:dyDescent="0.25">
      <c r="A3379" s="710"/>
    </row>
    <row r="3380" spans="1:1" x14ac:dyDescent="0.25">
      <c r="A3380" s="710"/>
    </row>
    <row r="3381" spans="1:1" x14ac:dyDescent="0.25">
      <c r="A3381" s="710"/>
    </row>
    <row r="3382" spans="1:1" x14ac:dyDescent="0.25">
      <c r="A3382" s="710"/>
    </row>
    <row r="3383" spans="1:1" x14ac:dyDescent="0.25">
      <c r="A3383" s="710"/>
    </row>
    <row r="3384" spans="1:1" x14ac:dyDescent="0.25">
      <c r="A3384" s="710"/>
    </row>
    <row r="3385" spans="1:1" x14ac:dyDescent="0.25">
      <c r="A3385" s="710"/>
    </row>
    <row r="3386" spans="1:1" x14ac:dyDescent="0.25">
      <c r="A3386" s="710"/>
    </row>
    <row r="3387" spans="1:1" x14ac:dyDescent="0.25">
      <c r="A3387" s="710"/>
    </row>
    <row r="3388" spans="1:1" x14ac:dyDescent="0.25">
      <c r="A3388" s="710"/>
    </row>
    <row r="3389" spans="1:1" x14ac:dyDescent="0.25">
      <c r="A3389" s="710"/>
    </row>
    <row r="3390" spans="1:1" x14ac:dyDescent="0.25">
      <c r="A3390" s="710"/>
    </row>
    <row r="3391" spans="1:1" x14ac:dyDescent="0.25">
      <c r="A3391" s="710"/>
    </row>
    <row r="3392" spans="1:1" x14ac:dyDescent="0.25">
      <c r="A3392" s="710"/>
    </row>
    <row r="3393" spans="1:1" x14ac:dyDescent="0.25">
      <c r="A3393" s="710"/>
    </row>
    <row r="3394" spans="1:1" x14ac:dyDescent="0.25">
      <c r="A3394" s="710"/>
    </row>
    <row r="3395" spans="1:1" x14ac:dyDescent="0.25">
      <c r="A3395" s="710"/>
    </row>
    <row r="3396" spans="1:1" x14ac:dyDescent="0.25">
      <c r="A3396" s="710"/>
    </row>
    <row r="3397" spans="1:1" x14ac:dyDescent="0.25">
      <c r="A3397" s="710"/>
    </row>
    <row r="3398" spans="1:1" x14ac:dyDescent="0.25">
      <c r="A3398" s="710"/>
    </row>
    <row r="3399" spans="1:1" x14ac:dyDescent="0.25">
      <c r="A3399" s="710"/>
    </row>
    <row r="3400" spans="1:1" x14ac:dyDescent="0.25">
      <c r="A3400" s="710"/>
    </row>
    <row r="3401" spans="1:1" x14ac:dyDescent="0.25">
      <c r="A3401" s="710"/>
    </row>
    <row r="3402" spans="1:1" x14ac:dyDescent="0.25">
      <c r="A3402" s="710"/>
    </row>
    <row r="3403" spans="1:1" x14ac:dyDescent="0.25">
      <c r="A3403" s="710"/>
    </row>
    <row r="3404" spans="1:1" x14ac:dyDescent="0.25">
      <c r="A3404" s="710"/>
    </row>
    <row r="3405" spans="1:1" x14ac:dyDescent="0.25">
      <c r="A3405" s="710"/>
    </row>
    <row r="3406" spans="1:1" x14ac:dyDescent="0.25">
      <c r="A3406" s="710"/>
    </row>
    <row r="3407" spans="1:1" x14ac:dyDescent="0.25">
      <c r="A3407" s="710"/>
    </row>
    <row r="3408" spans="1:1" x14ac:dyDescent="0.25">
      <c r="A3408" s="710"/>
    </row>
    <row r="3409" spans="1:1" x14ac:dyDescent="0.25">
      <c r="A3409" s="710"/>
    </row>
    <row r="3410" spans="1:1" x14ac:dyDescent="0.25">
      <c r="A3410" s="710"/>
    </row>
    <row r="3411" spans="1:1" x14ac:dyDescent="0.25">
      <c r="A3411" s="710"/>
    </row>
    <row r="3412" spans="1:1" x14ac:dyDescent="0.25">
      <c r="A3412" s="710"/>
    </row>
    <row r="3413" spans="1:1" x14ac:dyDescent="0.25">
      <c r="A3413" s="710"/>
    </row>
    <row r="3414" spans="1:1" x14ac:dyDescent="0.25">
      <c r="A3414" s="710"/>
    </row>
    <row r="3415" spans="1:1" x14ac:dyDescent="0.25">
      <c r="A3415" s="710"/>
    </row>
    <row r="3416" spans="1:1" x14ac:dyDescent="0.25">
      <c r="A3416" s="710"/>
    </row>
    <row r="3417" spans="1:1" x14ac:dyDescent="0.25">
      <c r="A3417" s="710"/>
    </row>
    <row r="3418" spans="1:1" x14ac:dyDescent="0.25">
      <c r="A3418" s="710"/>
    </row>
    <row r="3419" spans="1:1" x14ac:dyDescent="0.25">
      <c r="A3419" s="710"/>
    </row>
    <row r="3420" spans="1:1" x14ac:dyDescent="0.25">
      <c r="A3420" s="710"/>
    </row>
    <row r="3421" spans="1:1" x14ac:dyDescent="0.25">
      <c r="A3421" s="710"/>
    </row>
    <row r="3422" spans="1:1" x14ac:dyDescent="0.25">
      <c r="A3422" s="710"/>
    </row>
    <row r="3423" spans="1:1" x14ac:dyDescent="0.25">
      <c r="A3423" s="710"/>
    </row>
    <row r="3424" spans="1:1" x14ac:dyDescent="0.25">
      <c r="A3424" s="710"/>
    </row>
    <row r="3425" spans="1:1" x14ac:dyDescent="0.25">
      <c r="A3425" s="710"/>
    </row>
    <row r="3426" spans="1:1" x14ac:dyDescent="0.25">
      <c r="A3426" s="710"/>
    </row>
    <row r="3427" spans="1:1" x14ac:dyDescent="0.25">
      <c r="A3427" s="710"/>
    </row>
    <row r="3428" spans="1:1" x14ac:dyDescent="0.25">
      <c r="A3428" s="710"/>
    </row>
    <row r="3429" spans="1:1" x14ac:dyDescent="0.25">
      <c r="A3429" s="710"/>
    </row>
    <row r="3430" spans="1:1" x14ac:dyDescent="0.25">
      <c r="A3430" s="710"/>
    </row>
    <row r="3431" spans="1:1" x14ac:dyDescent="0.25">
      <c r="A3431" s="710"/>
    </row>
    <row r="3432" spans="1:1" x14ac:dyDescent="0.25">
      <c r="A3432" s="710"/>
    </row>
    <row r="3433" spans="1:1" x14ac:dyDescent="0.25">
      <c r="A3433" s="710"/>
    </row>
    <row r="3434" spans="1:1" x14ac:dyDescent="0.25">
      <c r="A3434" s="710"/>
    </row>
    <row r="3435" spans="1:1" x14ac:dyDescent="0.25">
      <c r="A3435" s="710"/>
    </row>
    <row r="3436" spans="1:1" x14ac:dyDescent="0.25">
      <c r="A3436" s="710"/>
    </row>
    <row r="3437" spans="1:1" x14ac:dyDescent="0.25">
      <c r="A3437" s="710"/>
    </row>
    <row r="3438" spans="1:1" x14ac:dyDescent="0.25">
      <c r="A3438" s="710"/>
    </row>
    <row r="3439" spans="1:1" x14ac:dyDescent="0.25">
      <c r="A3439" s="710"/>
    </row>
    <row r="3440" spans="1:1" x14ac:dyDescent="0.25">
      <c r="A3440" s="710"/>
    </row>
    <row r="3441" spans="1:1" x14ac:dyDescent="0.25">
      <c r="A3441" s="710"/>
    </row>
    <row r="3442" spans="1:1" x14ac:dyDescent="0.25">
      <c r="A3442" s="710"/>
    </row>
    <row r="3443" spans="1:1" x14ac:dyDescent="0.25">
      <c r="A3443" s="710"/>
    </row>
    <row r="3444" spans="1:1" x14ac:dyDescent="0.25">
      <c r="A3444" s="710"/>
    </row>
    <row r="3445" spans="1:1" x14ac:dyDescent="0.25">
      <c r="A3445" s="710"/>
    </row>
    <row r="3446" spans="1:1" x14ac:dyDescent="0.25">
      <c r="A3446" s="710"/>
    </row>
    <row r="3447" spans="1:1" x14ac:dyDescent="0.25">
      <c r="A3447" s="710"/>
    </row>
    <row r="3448" spans="1:1" x14ac:dyDescent="0.25">
      <c r="A3448" s="710"/>
    </row>
    <row r="3449" spans="1:1" x14ac:dyDescent="0.25">
      <c r="A3449" s="710"/>
    </row>
    <row r="3450" spans="1:1" x14ac:dyDescent="0.25">
      <c r="A3450" s="710"/>
    </row>
    <row r="3451" spans="1:1" x14ac:dyDescent="0.25">
      <c r="A3451" s="710"/>
    </row>
    <row r="3452" spans="1:1" x14ac:dyDescent="0.25">
      <c r="A3452" s="710"/>
    </row>
    <row r="3453" spans="1:1" x14ac:dyDescent="0.25">
      <c r="A3453" s="710"/>
    </row>
    <row r="3454" spans="1:1" x14ac:dyDescent="0.25">
      <c r="A3454" s="710"/>
    </row>
    <row r="3455" spans="1:1" x14ac:dyDescent="0.25">
      <c r="A3455" s="710"/>
    </row>
    <row r="3456" spans="1:1" x14ac:dyDescent="0.25">
      <c r="A3456" s="710"/>
    </row>
    <row r="3457" spans="1:1" x14ac:dyDescent="0.25">
      <c r="A3457" s="710"/>
    </row>
    <row r="3458" spans="1:1" x14ac:dyDescent="0.25">
      <c r="A3458" s="710"/>
    </row>
    <row r="3459" spans="1:1" x14ac:dyDescent="0.25">
      <c r="A3459" s="710"/>
    </row>
    <row r="3460" spans="1:1" x14ac:dyDescent="0.25">
      <c r="A3460" s="710"/>
    </row>
    <row r="3461" spans="1:1" x14ac:dyDescent="0.25">
      <c r="A3461" s="710"/>
    </row>
    <row r="3462" spans="1:1" x14ac:dyDescent="0.25">
      <c r="A3462" s="710"/>
    </row>
    <row r="3463" spans="1:1" x14ac:dyDescent="0.25">
      <c r="A3463" s="710"/>
    </row>
    <row r="3464" spans="1:1" x14ac:dyDescent="0.25">
      <c r="A3464" s="710"/>
    </row>
    <row r="3465" spans="1:1" x14ac:dyDescent="0.25">
      <c r="A3465" s="710"/>
    </row>
    <row r="3466" spans="1:1" x14ac:dyDescent="0.25">
      <c r="A3466" s="710"/>
    </row>
    <row r="3467" spans="1:1" x14ac:dyDescent="0.25">
      <c r="A3467" s="710"/>
    </row>
    <row r="3468" spans="1:1" x14ac:dyDescent="0.25">
      <c r="A3468" s="710"/>
    </row>
    <row r="3469" spans="1:1" x14ac:dyDescent="0.25">
      <c r="A3469" s="710"/>
    </row>
    <row r="3470" spans="1:1" x14ac:dyDescent="0.25">
      <c r="A3470" s="710"/>
    </row>
    <row r="3471" spans="1:1" x14ac:dyDescent="0.25">
      <c r="A3471" s="710"/>
    </row>
    <row r="3472" spans="1:1" x14ac:dyDescent="0.25">
      <c r="A3472" s="710"/>
    </row>
    <row r="3473" spans="1:1" x14ac:dyDescent="0.25">
      <c r="A3473" s="710"/>
    </row>
    <row r="3474" spans="1:1" x14ac:dyDescent="0.25">
      <c r="A3474" s="710"/>
    </row>
    <row r="3475" spans="1:1" x14ac:dyDescent="0.25">
      <c r="A3475" s="710"/>
    </row>
    <row r="3476" spans="1:1" x14ac:dyDescent="0.25">
      <c r="A3476" s="710"/>
    </row>
    <row r="3477" spans="1:1" x14ac:dyDescent="0.25">
      <c r="A3477" s="710"/>
    </row>
    <row r="3478" spans="1:1" x14ac:dyDescent="0.25">
      <c r="A3478" s="710"/>
    </row>
    <row r="3479" spans="1:1" x14ac:dyDescent="0.25">
      <c r="A3479" s="710"/>
    </row>
    <row r="3480" spans="1:1" x14ac:dyDescent="0.25">
      <c r="A3480" s="710"/>
    </row>
    <row r="3481" spans="1:1" x14ac:dyDescent="0.25">
      <c r="A3481" s="710"/>
    </row>
    <row r="3482" spans="1:1" x14ac:dyDescent="0.25">
      <c r="A3482" s="710"/>
    </row>
    <row r="3483" spans="1:1" x14ac:dyDescent="0.25">
      <c r="A3483" s="710"/>
    </row>
    <row r="3484" spans="1:1" x14ac:dyDescent="0.25">
      <c r="A3484" s="710"/>
    </row>
    <row r="3485" spans="1:1" x14ac:dyDescent="0.25">
      <c r="A3485" s="710"/>
    </row>
    <row r="3486" spans="1:1" x14ac:dyDescent="0.25">
      <c r="A3486" s="710"/>
    </row>
    <row r="3487" spans="1:1" x14ac:dyDescent="0.25">
      <c r="A3487" s="710"/>
    </row>
    <row r="3488" spans="1:1" x14ac:dyDescent="0.25">
      <c r="A3488" s="710"/>
    </row>
    <row r="3489" spans="1:1" x14ac:dyDescent="0.25">
      <c r="A3489" s="710"/>
    </row>
    <row r="3490" spans="1:1" x14ac:dyDescent="0.25">
      <c r="A3490" s="710"/>
    </row>
    <row r="3491" spans="1:1" x14ac:dyDescent="0.25">
      <c r="A3491" s="710"/>
    </row>
    <row r="3492" spans="1:1" x14ac:dyDescent="0.25">
      <c r="A3492" s="710"/>
    </row>
    <row r="3493" spans="1:1" x14ac:dyDescent="0.25">
      <c r="A3493" s="710"/>
    </row>
    <row r="3494" spans="1:1" x14ac:dyDescent="0.25">
      <c r="A3494" s="710"/>
    </row>
    <row r="3495" spans="1:1" x14ac:dyDescent="0.25">
      <c r="A3495" s="710"/>
    </row>
    <row r="3496" spans="1:1" x14ac:dyDescent="0.25">
      <c r="A3496" s="710"/>
    </row>
    <row r="3497" spans="1:1" x14ac:dyDescent="0.25">
      <c r="A3497" s="710"/>
    </row>
    <row r="3498" spans="1:1" x14ac:dyDescent="0.25">
      <c r="A3498" s="710"/>
    </row>
    <row r="3499" spans="1:1" x14ac:dyDescent="0.25">
      <c r="A3499" s="710"/>
    </row>
    <row r="3500" spans="1:1" x14ac:dyDescent="0.25">
      <c r="A3500" s="710"/>
    </row>
    <row r="3501" spans="1:1" x14ac:dyDescent="0.25">
      <c r="A3501" s="710"/>
    </row>
    <row r="3502" spans="1:1" x14ac:dyDescent="0.25">
      <c r="A3502" s="710"/>
    </row>
    <row r="3503" spans="1:1" x14ac:dyDescent="0.25">
      <c r="A3503" s="710"/>
    </row>
    <row r="3504" spans="1:1" x14ac:dyDescent="0.25">
      <c r="A3504" s="710"/>
    </row>
    <row r="3505" spans="1:1" x14ac:dyDescent="0.25">
      <c r="A3505" s="710"/>
    </row>
    <row r="3506" spans="1:1" x14ac:dyDescent="0.25">
      <c r="A3506" s="710"/>
    </row>
    <row r="3507" spans="1:1" x14ac:dyDescent="0.25">
      <c r="A3507" s="710"/>
    </row>
    <row r="3508" spans="1:1" x14ac:dyDescent="0.25">
      <c r="A3508" s="710"/>
    </row>
    <row r="3509" spans="1:1" x14ac:dyDescent="0.25">
      <c r="A3509" s="710"/>
    </row>
    <row r="3510" spans="1:1" x14ac:dyDescent="0.25">
      <c r="A3510" s="710"/>
    </row>
    <row r="3511" spans="1:1" x14ac:dyDescent="0.25">
      <c r="A3511" s="710"/>
    </row>
    <row r="3512" spans="1:1" x14ac:dyDescent="0.25">
      <c r="A3512" s="710"/>
    </row>
    <row r="3513" spans="1:1" x14ac:dyDescent="0.25">
      <c r="A3513" s="710"/>
    </row>
    <row r="3514" spans="1:1" x14ac:dyDescent="0.25">
      <c r="A3514" s="710"/>
    </row>
    <row r="3515" spans="1:1" x14ac:dyDescent="0.25">
      <c r="A3515" s="710"/>
    </row>
    <row r="3516" spans="1:1" x14ac:dyDescent="0.25">
      <c r="A3516" s="710"/>
    </row>
    <row r="3517" spans="1:1" x14ac:dyDescent="0.25">
      <c r="A3517" s="710"/>
    </row>
    <row r="3518" spans="1:1" x14ac:dyDescent="0.25">
      <c r="A3518" s="710"/>
    </row>
    <row r="3519" spans="1:1" x14ac:dyDescent="0.25">
      <c r="A3519" s="710"/>
    </row>
    <row r="3520" spans="1:1" x14ac:dyDescent="0.25">
      <c r="A3520" s="710"/>
    </row>
    <row r="3521" spans="1:1" x14ac:dyDescent="0.25">
      <c r="A3521" s="710"/>
    </row>
    <row r="3522" spans="1:1" x14ac:dyDescent="0.25">
      <c r="A3522" s="710"/>
    </row>
    <row r="3523" spans="1:1" x14ac:dyDescent="0.25">
      <c r="A3523" s="710"/>
    </row>
    <row r="3524" spans="1:1" x14ac:dyDescent="0.25">
      <c r="A3524" s="710"/>
    </row>
    <row r="3525" spans="1:1" x14ac:dyDescent="0.25">
      <c r="A3525" s="710"/>
    </row>
    <row r="3526" spans="1:1" x14ac:dyDescent="0.25">
      <c r="A3526" s="710"/>
    </row>
    <row r="3527" spans="1:1" x14ac:dyDescent="0.25">
      <c r="A3527" s="710"/>
    </row>
    <row r="3528" spans="1:1" x14ac:dyDescent="0.25">
      <c r="A3528" s="710"/>
    </row>
    <row r="3529" spans="1:1" x14ac:dyDescent="0.25">
      <c r="A3529" s="710"/>
    </row>
    <row r="3530" spans="1:1" x14ac:dyDescent="0.25">
      <c r="A3530" s="710"/>
    </row>
    <row r="3531" spans="1:1" x14ac:dyDescent="0.25">
      <c r="A3531" s="710"/>
    </row>
    <row r="3532" spans="1:1" x14ac:dyDescent="0.25">
      <c r="A3532" s="710"/>
    </row>
    <row r="3533" spans="1:1" x14ac:dyDescent="0.25">
      <c r="A3533" s="710"/>
    </row>
    <row r="3534" spans="1:1" x14ac:dyDescent="0.25">
      <c r="A3534" s="710"/>
    </row>
    <row r="3535" spans="1:1" x14ac:dyDescent="0.25">
      <c r="A3535" s="710"/>
    </row>
    <row r="3536" spans="1:1" x14ac:dyDescent="0.25">
      <c r="A3536" s="710"/>
    </row>
    <row r="3537" spans="1:1" x14ac:dyDescent="0.25">
      <c r="A3537" s="710"/>
    </row>
    <row r="3538" spans="1:1" x14ac:dyDescent="0.25">
      <c r="A3538" s="710"/>
    </row>
    <row r="3539" spans="1:1" x14ac:dyDescent="0.25">
      <c r="A3539" s="710"/>
    </row>
    <row r="3540" spans="1:1" x14ac:dyDescent="0.25">
      <c r="A3540" s="710"/>
    </row>
    <row r="3541" spans="1:1" x14ac:dyDescent="0.25">
      <c r="A3541" s="710"/>
    </row>
    <row r="3542" spans="1:1" x14ac:dyDescent="0.25">
      <c r="A3542" s="710"/>
    </row>
    <row r="3543" spans="1:1" x14ac:dyDescent="0.25">
      <c r="A3543" s="710"/>
    </row>
    <row r="3544" spans="1:1" x14ac:dyDescent="0.25">
      <c r="A3544" s="710"/>
    </row>
    <row r="3545" spans="1:1" x14ac:dyDescent="0.25">
      <c r="A3545" s="710"/>
    </row>
    <row r="3546" spans="1:1" x14ac:dyDescent="0.25">
      <c r="A3546" s="710"/>
    </row>
    <row r="3547" spans="1:1" x14ac:dyDescent="0.25">
      <c r="A3547" s="710"/>
    </row>
    <row r="3548" spans="1:1" x14ac:dyDescent="0.25">
      <c r="A3548" s="710"/>
    </row>
    <row r="3549" spans="1:1" x14ac:dyDescent="0.25">
      <c r="A3549" s="710"/>
    </row>
    <row r="3550" spans="1:1" x14ac:dyDescent="0.25">
      <c r="A3550" s="710"/>
    </row>
    <row r="3551" spans="1:1" x14ac:dyDescent="0.25">
      <c r="A3551" s="710"/>
    </row>
    <row r="3552" spans="1:1" x14ac:dyDescent="0.25">
      <c r="A3552" s="710"/>
    </row>
    <row r="3553" spans="1:1" x14ac:dyDescent="0.25">
      <c r="A3553" s="710"/>
    </row>
    <row r="3554" spans="1:1" x14ac:dyDescent="0.25">
      <c r="A3554" s="710"/>
    </row>
    <row r="3555" spans="1:1" x14ac:dyDescent="0.25">
      <c r="A3555" s="710"/>
    </row>
    <row r="3556" spans="1:1" x14ac:dyDescent="0.25">
      <c r="A3556" s="710"/>
    </row>
    <row r="3557" spans="1:1" x14ac:dyDescent="0.25">
      <c r="A3557" s="710"/>
    </row>
    <row r="3558" spans="1:1" x14ac:dyDescent="0.25">
      <c r="A3558" s="710"/>
    </row>
    <row r="3559" spans="1:1" x14ac:dyDescent="0.25">
      <c r="A3559" s="710"/>
    </row>
    <row r="3560" spans="1:1" x14ac:dyDescent="0.25">
      <c r="A3560" s="710"/>
    </row>
    <row r="3561" spans="1:1" x14ac:dyDescent="0.25">
      <c r="A3561" s="710"/>
    </row>
    <row r="3562" spans="1:1" x14ac:dyDescent="0.25">
      <c r="A3562" s="710"/>
    </row>
    <row r="3563" spans="1:1" x14ac:dyDescent="0.25">
      <c r="A3563" s="710"/>
    </row>
    <row r="3564" spans="1:1" x14ac:dyDescent="0.25">
      <c r="A3564" s="710"/>
    </row>
    <row r="3565" spans="1:1" x14ac:dyDescent="0.25">
      <c r="A3565" s="710"/>
    </row>
    <row r="3566" spans="1:1" x14ac:dyDescent="0.25">
      <c r="A3566" s="710"/>
    </row>
    <row r="3567" spans="1:1" x14ac:dyDescent="0.25">
      <c r="A3567" s="710"/>
    </row>
    <row r="3568" spans="1:1" x14ac:dyDescent="0.25">
      <c r="A3568" s="710"/>
    </row>
    <row r="3569" spans="1:1" x14ac:dyDescent="0.25">
      <c r="A3569" s="710"/>
    </row>
    <row r="3570" spans="1:1" x14ac:dyDescent="0.25">
      <c r="A3570" s="710"/>
    </row>
    <row r="3571" spans="1:1" x14ac:dyDescent="0.25">
      <c r="A3571" s="710"/>
    </row>
    <row r="3572" spans="1:1" x14ac:dyDescent="0.25">
      <c r="A3572" s="710"/>
    </row>
    <row r="3573" spans="1:1" x14ac:dyDescent="0.25">
      <c r="A3573" s="710"/>
    </row>
    <row r="3574" spans="1:1" x14ac:dyDescent="0.25">
      <c r="A3574" s="710"/>
    </row>
    <row r="3575" spans="1:1" x14ac:dyDescent="0.25">
      <c r="A3575" s="710"/>
    </row>
    <row r="3576" spans="1:1" x14ac:dyDescent="0.25">
      <c r="A3576" s="710"/>
    </row>
    <row r="3577" spans="1:1" x14ac:dyDescent="0.25">
      <c r="A3577" s="710"/>
    </row>
    <row r="3578" spans="1:1" x14ac:dyDescent="0.25">
      <c r="A3578" s="710"/>
    </row>
    <row r="3579" spans="1:1" x14ac:dyDescent="0.25">
      <c r="A3579" s="710"/>
    </row>
    <row r="3580" spans="1:1" x14ac:dyDescent="0.25">
      <c r="A3580" s="710"/>
    </row>
    <row r="3581" spans="1:1" x14ac:dyDescent="0.25">
      <c r="A3581" s="710"/>
    </row>
    <row r="3582" spans="1:1" x14ac:dyDescent="0.25">
      <c r="A3582" s="710"/>
    </row>
    <row r="3583" spans="1:1" x14ac:dyDescent="0.25">
      <c r="A3583" s="710"/>
    </row>
    <row r="3584" spans="1:1" x14ac:dyDescent="0.25">
      <c r="A3584" s="710"/>
    </row>
    <row r="3585" spans="1:1" x14ac:dyDescent="0.25">
      <c r="A3585" s="710"/>
    </row>
    <row r="3586" spans="1:1" x14ac:dyDescent="0.25">
      <c r="A3586" s="710"/>
    </row>
    <row r="3587" spans="1:1" x14ac:dyDescent="0.25">
      <c r="A3587" s="710"/>
    </row>
    <row r="3588" spans="1:1" x14ac:dyDescent="0.25">
      <c r="A3588" s="710"/>
    </row>
    <row r="3589" spans="1:1" x14ac:dyDescent="0.25">
      <c r="A3589" s="710"/>
    </row>
    <row r="3590" spans="1:1" x14ac:dyDescent="0.25">
      <c r="A3590" s="710"/>
    </row>
    <row r="3591" spans="1:1" x14ac:dyDescent="0.25">
      <c r="A3591" s="710"/>
    </row>
    <row r="3592" spans="1:1" x14ac:dyDescent="0.25">
      <c r="A3592" s="710"/>
    </row>
    <row r="3593" spans="1:1" x14ac:dyDescent="0.25">
      <c r="A3593" s="710"/>
    </row>
    <row r="3594" spans="1:1" x14ac:dyDescent="0.25">
      <c r="A3594" s="710"/>
    </row>
    <row r="3595" spans="1:1" x14ac:dyDescent="0.25">
      <c r="A3595" s="710"/>
    </row>
    <row r="3596" spans="1:1" x14ac:dyDescent="0.25">
      <c r="A3596" s="710"/>
    </row>
    <row r="3597" spans="1:1" x14ac:dyDescent="0.25">
      <c r="A3597" s="710"/>
    </row>
    <row r="3598" spans="1:1" x14ac:dyDescent="0.25">
      <c r="A3598" s="710"/>
    </row>
    <row r="3599" spans="1:1" x14ac:dyDescent="0.25">
      <c r="A3599" s="710"/>
    </row>
    <row r="3600" spans="1:1" x14ac:dyDescent="0.25">
      <c r="A3600" s="710"/>
    </row>
    <row r="3601" spans="1:1" x14ac:dyDescent="0.25">
      <c r="A3601" s="710"/>
    </row>
    <row r="3602" spans="1:1" x14ac:dyDescent="0.25">
      <c r="A3602" s="710"/>
    </row>
    <row r="3603" spans="1:1" x14ac:dyDescent="0.25">
      <c r="A3603" s="710"/>
    </row>
    <row r="3604" spans="1:1" x14ac:dyDescent="0.25">
      <c r="A3604" s="710"/>
    </row>
    <row r="3605" spans="1:1" x14ac:dyDescent="0.25">
      <c r="A3605" s="710"/>
    </row>
    <row r="3606" spans="1:1" x14ac:dyDescent="0.25">
      <c r="A3606" s="710"/>
    </row>
    <row r="3607" spans="1:1" x14ac:dyDescent="0.25">
      <c r="A3607" s="710"/>
    </row>
    <row r="3608" spans="1:1" x14ac:dyDescent="0.25">
      <c r="A3608" s="710"/>
    </row>
    <row r="3609" spans="1:1" x14ac:dyDescent="0.25">
      <c r="A3609" s="710"/>
    </row>
    <row r="3610" spans="1:1" x14ac:dyDescent="0.25">
      <c r="A3610" s="710"/>
    </row>
    <row r="3611" spans="1:1" x14ac:dyDescent="0.25">
      <c r="A3611" s="710"/>
    </row>
    <row r="3612" spans="1:1" x14ac:dyDescent="0.25">
      <c r="A3612" s="710"/>
    </row>
    <row r="3613" spans="1:1" x14ac:dyDescent="0.25">
      <c r="A3613" s="710"/>
    </row>
    <row r="3614" spans="1:1" x14ac:dyDescent="0.25">
      <c r="A3614" s="710"/>
    </row>
    <row r="3615" spans="1:1" x14ac:dyDescent="0.25">
      <c r="A3615" s="710"/>
    </row>
    <row r="3616" spans="1:1" x14ac:dyDescent="0.25">
      <c r="A3616" s="710"/>
    </row>
    <row r="3617" spans="1:1" x14ac:dyDescent="0.25">
      <c r="A3617" s="710"/>
    </row>
    <row r="3618" spans="1:1" x14ac:dyDescent="0.25">
      <c r="A3618" s="710"/>
    </row>
    <row r="3619" spans="1:1" x14ac:dyDescent="0.25">
      <c r="A3619" s="710"/>
    </row>
    <row r="3620" spans="1:1" x14ac:dyDescent="0.25">
      <c r="A3620" s="710"/>
    </row>
    <row r="3621" spans="1:1" x14ac:dyDescent="0.25">
      <c r="A3621" s="710"/>
    </row>
    <row r="3622" spans="1:1" x14ac:dyDescent="0.25">
      <c r="A3622" s="710"/>
    </row>
    <row r="3623" spans="1:1" x14ac:dyDescent="0.25">
      <c r="A3623" s="710"/>
    </row>
    <row r="3624" spans="1:1" x14ac:dyDescent="0.25">
      <c r="A3624" s="710"/>
    </row>
    <row r="3625" spans="1:1" x14ac:dyDescent="0.25">
      <c r="A3625" s="710"/>
    </row>
    <row r="3626" spans="1:1" x14ac:dyDescent="0.25">
      <c r="A3626" s="710"/>
    </row>
    <row r="3627" spans="1:1" x14ac:dyDescent="0.25">
      <c r="A3627" s="710"/>
    </row>
    <row r="3628" spans="1:1" x14ac:dyDescent="0.25">
      <c r="A3628" s="710"/>
    </row>
    <row r="3629" spans="1:1" x14ac:dyDescent="0.25">
      <c r="A3629" s="710"/>
    </row>
    <row r="3630" spans="1:1" x14ac:dyDescent="0.25">
      <c r="A3630" s="710"/>
    </row>
    <row r="3631" spans="1:1" x14ac:dyDescent="0.25">
      <c r="A3631" s="710"/>
    </row>
    <row r="3632" spans="1:1" x14ac:dyDescent="0.25">
      <c r="A3632" s="710"/>
    </row>
    <row r="3633" spans="1:1" x14ac:dyDescent="0.25">
      <c r="A3633" s="710"/>
    </row>
    <row r="3634" spans="1:1" x14ac:dyDescent="0.25">
      <c r="A3634" s="710"/>
    </row>
    <row r="3635" spans="1:1" x14ac:dyDescent="0.25">
      <c r="A3635" s="710"/>
    </row>
    <row r="3636" spans="1:1" x14ac:dyDescent="0.25">
      <c r="A3636" s="710"/>
    </row>
    <row r="3637" spans="1:1" x14ac:dyDescent="0.25">
      <c r="A3637" s="710"/>
    </row>
    <row r="3638" spans="1:1" x14ac:dyDescent="0.25">
      <c r="A3638" s="710"/>
    </row>
    <row r="3639" spans="1:1" x14ac:dyDescent="0.25">
      <c r="A3639" s="710"/>
    </row>
    <row r="3640" spans="1:1" x14ac:dyDescent="0.25">
      <c r="A3640" s="710"/>
    </row>
    <row r="3641" spans="1:1" x14ac:dyDescent="0.25">
      <c r="A3641" s="710"/>
    </row>
    <row r="3642" spans="1:1" x14ac:dyDescent="0.25">
      <c r="A3642" s="710"/>
    </row>
    <row r="3643" spans="1:1" x14ac:dyDescent="0.25">
      <c r="A3643" s="710"/>
    </row>
    <row r="3644" spans="1:1" x14ac:dyDescent="0.25">
      <c r="A3644" s="710"/>
    </row>
    <row r="3645" spans="1:1" x14ac:dyDescent="0.25">
      <c r="A3645" s="710"/>
    </row>
    <row r="3646" spans="1:1" x14ac:dyDescent="0.25">
      <c r="A3646" s="710"/>
    </row>
    <row r="3647" spans="1:1" x14ac:dyDescent="0.25">
      <c r="A3647" s="710"/>
    </row>
    <row r="3648" spans="1:1" x14ac:dyDescent="0.25">
      <c r="A3648" s="710"/>
    </row>
    <row r="3649" spans="1:1" x14ac:dyDescent="0.25">
      <c r="A3649" s="710"/>
    </row>
    <row r="3650" spans="1:1" x14ac:dyDescent="0.25">
      <c r="A3650" s="710"/>
    </row>
    <row r="3651" spans="1:1" x14ac:dyDescent="0.25">
      <c r="A3651" s="710"/>
    </row>
    <row r="3652" spans="1:1" x14ac:dyDescent="0.25">
      <c r="A3652" s="710"/>
    </row>
    <row r="3653" spans="1:1" x14ac:dyDescent="0.25">
      <c r="A3653" s="710"/>
    </row>
    <row r="3654" spans="1:1" x14ac:dyDescent="0.25">
      <c r="A3654" s="710"/>
    </row>
    <row r="3655" spans="1:1" x14ac:dyDescent="0.25">
      <c r="A3655" s="710"/>
    </row>
    <row r="3656" spans="1:1" x14ac:dyDescent="0.25">
      <c r="A3656" s="710"/>
    </row>
    <row r="3657" spans="1:1" x14ac:dyDescent="0.25">
      <c r="A3657" s="710"/>
    </row>
    <row r="3658" spans="1:1" x14ac:dyDescent="0.25">
      <c r="A3658" s="710"/>
    </row>
    <row r="3659" spans="1:1" x14ac:dyDescent="0.25">
      <c r="A3659" s="710"/>
    </row>
    <row r="3660" spans="1:1" x14ac:dyDescent="0.25">
      <c r="A3660" s="710"/>
    </row>
    <row r="3661" spans="1:1" x14ac:dyDescent="0.25">
      <c r="A3661" s="710"/>
    </row>
    <row r="3662" spans="1:1" x14ac:dyDescent="0.25">
      <c r="A3662" s="710"/>
    </row>
    <row r="3663" spans="1:1" x14ac:dyDescent="0.25">
      <c r="A3663" s="710"/>
    </row>
    <row r="3664" spans="1:1" x14ac:dyDescent="0.25">
      <c r="A3664" s="710"/>
    </row>
    <row r="3665" spans="1:1" x14ac:dyDescent="0.25">
      <c r="A3665" s="710"/>
    </row>
    <row r="3666" spans="1:1" x14ac:dyDescent="0.25">
      <c r="A3666" s="710"/>
    </row>
    <row r="3667" spans="1:1" x14ac:dyDescent="0.25">
      <c r="A3667" s="710"/>
    </row>
    <row r="3668" spans="1:1" x14ac:dyDescent="0.25">
      <c r="A3668" s="710"/>
    </row>
    <row r="3669" spans="1:1" x14ac:dyDescent="0.25">
      <c r="A3669" s="710"/>
    </row>
    <row r="3670" spans="1:1" x14ac:dyDescent="0.25">
      <c r="A3670" s="710"/>
    </row>
    <row r="3671" spans="1:1" x14ac:dyDescent="0.25">
      <c r="A3671" s="710"/>
    </row>
    <row r="3672" spans="1:1" x14ac:dyDescent="0.25">
      <c r="A3672" s="710"/>
    </row>
    <row r="3673" spans="1:1" x14ac:dyDescent="0.25">
      <c r="A3673" s="710"/>
    </row>
    <row r="3674" spans="1:1" x14ac:dyDescent="0.25">
      <c r="A3674" s="710"/>
    </row>
    <row r="3675" spans="1:1" x14ac:dyDescent="0.25">
      <c r="A3675" s="710"/>
    </row>
    <row r="3676" spans="1:1" x14ac:dyDescent="0.25">
      <c r="A3676" s="710"/>
    </row>
    <row r="3677" spans="1:1" x14ac:dyDescent="0.25">
      <c r="A3677" s="710"/>
    </row>
    <row r="3678" spans="1:1" x14ac:dyDescent="0.25">
      <c r="A3678" s="710"/>
    </row>
    <row r="3679" spans="1:1" x14ac:dyDescent="0.25">
      <c r="A3679" s="710"/>
    </row>
    <row r="3680" spans="1:1" x14ac:dyDescent="0.25">
      <c r="A3680" s="710"/>
    </row>
    <row r="3681" spans="1:1" x14ac:dyDescent="0.25">
      <c r="A3681" s="710"/>
    </row>
    <row r="3682" spans="1:1" x14ac:dyDescent="0.25">
      <c r="A3682" s="710"/>
    </row>
    <row r="3683" spans="1:1" x14ac:dyDescent="0.25">
      <c r="A3683" s="710"/>
    </row>
    <row r="3684" spans="1:1" x14ac:dyDescent="0.25">
      <c r="A3684" s="710"/>
    </row>
    <row r="3685" spans="1:1" x14ac:dyDescent="0.25">
      <c r="A3685" s="710"/>
    </row>
    <row r="3686" spans="1:1" x14ac:dyDescent="0.25">
      <c r="A3686" s="710"/>
    </row>
    <row r="3687" spans="1:1" x14ac:dyDescent="0.25">
      <c r="A3687" s="710"/>
    </row>
    <row r="3688" spans="1:1" x14ac:dyDescent="0.25">
      <c r="A3688" s="710"/>
    </row>
    <row r="3689" spans="1:1" x14ac:dyDescent="0.25">
      <c r="A3689" s="710"/>
    </row>
    <row r="3690" spans="1:1" x14ac:dyDescent="0.25">
      <c r="A3690" s="710"/>
    </row>
    <row r="3691" spans="1:1" x14ac:dyDescent="0.25">
      <c r="A3691" s="710"/>
    </row>
    <row r="3692" spans="1:1" x14ac:dyDescent="0.25">
      <c r="A3692" s="710"/>
    </row>
    <row r="3693" spans="1:1" x14ac:dyDescent="0.25">
      <c r="A3693" s="710"/>
    </row>
    <row r="3694" spans="1:1" x14ac:dyDescent="0.25">
      <c r="A3694" s="710"/>
    </row>
    <row r="3695" spans="1:1" x14ac:dyDescent="0.25">
      <c r="A3695" s="710"/>
    </row>
    <row r="3696" spans="1:1" x14ac:dyDescent="0.25">
      <c r="A3696" s="710"/>
    </row>
    <row r="3697" spans="1:1" x14ac:dyDescent="0.25">
      <c r="A3697" s="710"/>
    </row>
    <row r="3698" spans="1:1" x14ac:dyDescent="0.25">
      <c r="A3698" s="710"/>
    </row>
    <row r="3699" spans="1:1" x14ac:dyDescent="0.25">
      <c r="A3699" s="710"/>
    </row>
    <row r="3700" spans="1:1" x14ac:dyDescent="0.25">
      <c r="A3700" s="710"/>
    </row>
    <row r="3701" spans="1:1" x14ac:dyDescent="0.25">
      <c r="A3701" s="710"/>
    </row>
    <row r="3702" spans="1:1" x14ac:dyDescent="0.25">
      <c r="A3702" s="710"/>
    </row>
    <row r="3703" spans="1:1" x14ac:dyDescent="0.25">
      <c r="A3703" s="710"/>
    </row>
    <row r="3704" spans="1:1" x14ac:dyDescent="0.25">
      <c r="A3704" s="710"/>
    </row>
    <row r="3705" spans="1:1" x14ac:dyDescent="0.25">
      <c r="A3705" s="710"/>
    </row>
    <row r="3706" spans="1:1" x14ac:dyDescent="0.25">
      <c r="A3706" s="710"/>
    </row>
    <row r="3707" spans="1:1" x14ac:dyDescent="0.25">
      <c r="A3707" s="710"/>
    </row>
    <row r="3708" spans="1:1" x14ac:dyDescent="0.25">
      <c r="A3708" s="710"/>
    </row>
    <row r="3709" spans="1:1" x14ac:dyDescent="0.25">
      <c r="A3709" s="710"/>
    </row>
    <row r="3710" spans="1:1" x14ac:dyDescent="0.25">
      <c r="A3710" s="710"/>
    </row>
    <row r="3711" spans="1:1" x14ac:dyDescent="0.25">
      <c r="A3711" s="710"/>
    </row>
    <row r="3712" spans="1:1" x14ac:dyDescent="0.25">
      <c r="A3712" s="710"/>
    </row>
    <row r="3713" spans="1:1" x14ac:dyDescent="0.25">
      <c r="A3713" s="710"/>
    </row>
    <row r="3714" spans="1:1" x14ac:dyDescent="0.25">
      <c r="A3714" s="710"/>
    </row>
    <row r="3715" spans="1:1" x14ac:dyDescent="0.25">
      <c r="A3715" s="710"/>
    </row>
    <row r="3716" spans="1:1" x14ac:dyDescent="0.25">
      <c r="A3716" s="710"/>
    </row>
    <row r="3717" spans="1:1" x14ac:dyDescent="0.25">
      <c r="A3717" s="710"/>
    </row>
    <row r="3718" spans="1:1" x14ac:dyDescent="0.25">
      <c r="A3718" s="710"/>
    </row>
    <row r="3719" spans="1:1" x14ac:dyDescent="0.25">
      <c r="A3719" s="710"/>
    </row>
    <row r="3720" spans="1:1" x14ac:dyDescent="0.25">
      <c r="A3720" s="710"/>
    </row>
    <row r="3721" spans="1:1" x14ac:dyDescent="0.25">
      <c r="A3721" s="710"/>
    </row>
    <row r="3722" spans="1:1" x14ac:dyDescent="0.25">
      <c r="A3722" s="710"/>
    </row>
    <row r="3723" spans="1:1" x14ac:dyDescent="0.25">
      <c r="A3723" s="710"/>
    </row>
    <row r="3724" spans="1:1" x14ac:dyDescent="0.25">
      <c r="A3724" s="710"/>
    </row>
    <row r="3725" spans="1:1" x14ac:dyDescent="0.25">
      <c r="A3725" s="710"/>
    </row>
    <row r="3726" spans="1:1" x14ac:dyDescent="0.25">
      <c r="A3726" s="710"/>
    </row>
    <row r="3727" spans="1:1" x14ac:dyDescent="0.25">
      <c r="A3727" s="710"/>
    </row>
    <row r="3728" spans="1:1" x14ac:dyDescent="0.25">
      <c r="A3728" s="710"/>
    </row>
    <row r="3729" spans="1:1" x14ac:dyDescent="0.25">
      <c r="A3729" s="710"/>
    </row>
    <row r="3730" spans="1:1" x14ac:dyDescent="0.25">
      <c r="A3730" s="710"/>
    </row>
    <row r="3731" spans="1:1" x14ac:dyDescent="0.25">
      <c r="A3731" s="710"/>
    </row>
    <row r="3732" spans="1:1" x14ac:dyDescent="0.25">
      <c r="A3732" s="710"/>
    </row>
    <row r="3733" spans="1:1" x14ac:dyDescent="0.25">
      <c r="A3733" s="710"/>
    </row>
    <row r="3734" spans="1:1" x14ac:dyDescent="0.25">
      <c r="A3734" s="710"/>
    </row>
    <row r="3735" spans="1:1" x14ac:dyDescent="0.25">
      <c r="A3735" s="710"/>
    </row>
    <row r="3736" spans="1:1" x14ac:dyDescent="0.25">
      <c r="A3736" s="710"/>
    </row>
    <row r="3737" spans="1:1" x14ac:dyDescent="0.25">
      <c r="A3737" s="710"/>
    </row>
    <row r="3738" spans="1:1" x14ac:dyDescent="0.25">
      <c r="A3738" s="710"/>
    </row>
    <row r="3739" spans="1:1" x14ac:dyDescent="0.25">
      <c r="A3739" s="710"/>
    </row>
    <row r="3740" spans="1:1" x14ac:dyDescent="0.25">
      <c r="A3740" s="710"/>
    </row>
    <row r="3741" spans="1:1" x14ac:dyDescent="0.25">
      <c r="A3741" s="710"/>
    </row>
    <row r="3742" spans="1:1" x14ac:dyDescent="0.25">
      <c r="A3742" s="710"/>
    </row>
    <row r="3743" spans="1:1" x14ac:dyDescent="0.25">
      <c r="A3743" s="710"/>
    </row>
    <row r="3744" spans="1:1" x14ac:dyDescent="0.25">
      <c r="A3744" s="710"/>
    </row>
    <row r="3745" spans="1:1" x14ac:dyDescent="0.25">
      <c r="A3745" s="710"/>
    </row>
    <row r="3746" spans="1:1" x14ac:dyDescent="0.25">
      <c r="A3746" s="710"/>
    </row>
    <row r="3747" spans="1:1" x14ac:dyDescent="0.25">
      <c r="A3747" s="710"/>
    </row>
    <row r="3748" spans="1:1" x14ac:dyDescent="0.25">
      <c r="A3748" s="710"/>
    </row>
    <row r="3749" spans="1:1" x14ac:dyDescent="0.25">
      <c r="A3749" s="710"/>
    </row>
    <row r="3750" spans="1:1" x14ac:dyDescent="0.25">
      <c r="A3750" s="710"/>
    </row>
    <row r="3751" spans="1:1" x14ac:dyDescent="0.25">
      <c r="A3751" s="710"/>
    </row>
    <row r="3752" spans="1:1" x14ac:dyDescent="0.25">
      <c r="A3752" s="710"/>
    </row>
    <row r="3753" spans="1:1" x14ac:dyDescent="0.25">
      <c r="A3753" s="710"/>
    </row>
    <row r="3754" spans="1:1" x14ac:dyDescent="0.25">
      <c r="A3754" s="710"/>
    </row>
    <row r="3755" spans="1:1" x14ac:dyDescent="0.25">
      <c r="A3755" s="710"/>
    </row>
    <row r="3756" spans="1:1" x14ac:dyDescent="0.25">
      <c r="A3756" s="710"/>
    </row>
    <row r="3757" spans="1:1" x14ac:dyDescent="0.25">
      <c r="A3757" s="710"/>
    </row>
    <row r="3758" spans="1:1" x14ac:dyDescent="0.25">
      <c r="A3758" s="710"/>
    </row>
    <row r="3759" spans="1:1" x14ac:dyDescent="0.25">
      <c r="A3759" s="710"/>
    </row>
    <row r="3760" spans="1:1" x14ac:dyDescent="0.25">
      <c r="A3760" s="710"/>
    </row>
    <row r="3761" spans="1:1" x14ac:dyDescent="0.25">
      <c r="A3761" s="710"/>
    </row>
    <row r="3762" spans="1:1" x14ac:dyDescent="0.25">
      <c r="A3762" s="710"/>
    </row>
    <row r="3763" spans="1:1" x14ac:dyDescent="0.25">
      <c r="A3763" s="710"/>
    </row>
    <row r="3764" spans="1:1" x14ac:dyDescent="0.25">
      <c r="A3764" s="710"/>
    </row>
    <row r="3765" spans="1:1" x14ac:dyDescent="0.25">
      <c r="A3765" s="710"/>
    </row>
    <row r="3766" spans="1:1" x14ac:dyDescent="0.25">
      <c r="A3766" s="710"/>
    </row>
    <row r="3767" spans="1:1" x14ac:dyDescent="0.25">
      <c r="A3767" s="710"/>
    </row>
    <row r="3768" spans="1:1" x14ac:dyDescent="0.25">
      <c r="A3768" s="710"/>
    </row>
    <row r="3769" spans="1:1" x14ac:dyDescent="0.25">
      <c r="A3769" s="710"/>
    </row>
    <row r="3770" spans="1:1" x14ac:dyDescent="0.25">
      <c r="A3770" s="710"/>
    </row>
    <row r="3771" spans="1:1" x14ac:dyDescent="0.25">
      <c r="A3771" s="710"/>
    </row>
    <row r="3772" spans="1:1" x14ac:dyDescent="0.25">
      <c r="A3772" s="710"/>
    </row>
    <row r="3773" spans="1:1" x14ac:dyDescent="0.25">
      <c r="A3773" s="710"/>
    </row>
    <row r="3774" spans="1:1" x14ac:dyDescent="0.25">
      <c r="A3774" s="710"/>
    </row>
    <row r="3775" spans="1:1" x14ac:dyDescent="0.25">
      <c r="A3775" s="710"/>
    </row>
    <row r="3776" spans="1:1" x14ac:dyDescent="0.25">
      <c r="A3776" s="710"/>
    </row>
    <row r="3777" spans="1:1" x14ac:dyDescent="0.25">
      <c r="A3777" s="710"/>
    </row>
    <row r="3778" spans="1:1" x14ac:dyDescent="0.25">
      <c r="A3778" s="710"/>
    </row>
    <row r="3779" spans="1:1" x14ac:dyDescent="0.25">
      <c r="A3779" s="710"/>
    </row>
    <row r="3780" spans="1:1" x14ac:dyDescent="0.25">
      <c r="A3780" s="710"/>
    </row>
    <row r="3781" spans="1:1" x14ac:dyDescent="0.25">
      <c r="A3781" s="710"/>
    </row>
    <row r="3782" spans="1:1" x14ac:dyDescent="0.25">
      <c r="A3782" s="710"/>
    </row>
    <row r="3783" spans="1:1" x14ac:dyDescent="0.25">
      <c r="A3783" s="710"/>
    </row>
    <row r="3784" spans="1:1" x14ac:dyDescent="0.25">
      <c r="A3784" s="710"/>
    </row>
    <row r="3785" spans="1:1" x14ac:dyDescent="0.25">
      <c r="A3785" s="710"/>
    </row>
    <row r="3786" spans="1:1" x14ac:dyDescent="0.25">
      <c r="A3786" s="710"/>
    </row>
    <row r="3787" spans="1:1" x14ac:dyDescent="0.25">
      <c r="A3787" s="710"/>
    </row>
    <row r="3788" spans="1:1" x14ac:dyDescent="0.25">
      <c r="A3788" s="710"/>
    </row>
    <row r="3789" spans="1:1" x14ac:dyDescent="0.25">
      <c r="A3789" s="710"/>
    </row>
    <row r="3790" spans="1:1" x14ac:dyDescent="0.25">
      <c r="A3790" s="710"/>
    </row>
    <row r="3791" spans="1:1" x14ac:dyDescent="0.25">
      <c r="A3791" s="710"/>
    </row>
    <row r="3792" spans="1:1" x14ac:dyDescent="0.25">
      <c r="A3792" s="710"/>
    </row>
    <row r="3793" spans="1:1" x14ac:dyDescent="0.25">
      <c r="A3793" s="710"/>
    </row>
    <row r="3794" spans="1:1" x14ac:dyDescent="0.25">
      <c r="A3794" s="710"/>
    </row>
    <row r="3795" spans="1:1" x14ac:dyDescent="0.25">
      <c r="A3795" s="710"/>
    </row>
    <row r="3796" spans="1:1" x14ac:dyDescent="0.25">
      <c r="A3796" s="710"/>
    </row>
    <row r="3797" spans="1:1" x14ac:dyDescent="0.25">
      <c r="A3797" s="710"/>
    </row>
    <row r="3798" spans="1:1" x14ac:dyDescent="0.25">
      <c r="A3798" s="710"/>
    </row>
    <row r="3799" spans="1:1" x14ac:dyDescent="0.25">
      <c r="A3799" s="710"/>
    </row>
    <row r="3800" spans="1:1" x14ac:dyDescent="0.25">
      <c r="A3800" s="710"/>
    </row>
    <row r="3801" spans="1:1" x14ac:dyDescent="0.25">
      <c r="A3801" s="710"/>
    </row>
    <row r="3802" spans="1:1" x14ac:dyDescent="0.25">
      <c r="A3802" s="710"/>
    </row>
    <row r="3803" spans="1:1" x14ac:dyDescent="0.25">
      <c r="A3803" s="710"/>
    </row>
    <row r="3804" spans="1:1" x14ac:dyDescent="0.25">
      <c r="A3804" s="710"/>
    </row>
    <row r="3805" spans="1:1" x14ac:dyDescent="0.25">
      <c r="A3805" s="710"/>
    </row>
    <row r="3806" spans="1:1" x14ac:dyDescent="0.25">
      <c r="A3806" s="710"/>
    </row>
    <row r="3807" spans="1:1" x14ac:dyDescent="0.25">
      <c r="A3807" s="710"/>
    </row>
    <row r="3808" spans="1:1" x14ac:dyDescent="0.25">
      <c r="A3808" s="710"/>
    </row>
    <row r="3809" spans="1:1" x14ac:dyDescent="0.25">
      <c r="A3809" s="710"/>
    </row>
    <row r="3810" spans="1:1" x14ac:dyDescent="0.25">
      <c r="A3810" s="710"/>
    </row>
    <row r="3811" spans="1:1" x14ac:dyDescent="0.25">
      <c r="A3811" s="710"/>
    </row>
    <row r="3812" spans="1:1" x14ac:dyDescent="0.25">
      <c r="A3812" s="710"/>
    </row>
    <row r="3813" spans="1:1" x14ac:dyDescent="0.25">
      <c r="A3813" s="710"/>
    </row>
    <row r="3814" spans="1:1" x14ac:dyDescent="0.25">
      <c r="A3814" s="710"/>
    </row>
    <row r="3815" spans="1:1" x14ac:dyDescent="0.25">
      <c r="A3815" s="710"/>
    </row>
    <row r="3816" spans="1:1" x14ac:dyDescent="0.25">
      <c r="A3816" s="710"/>
    </row>
    <row r="3817" spans="1:1" x14ac:dyDescent="0.25">
      <c r="A3817" s="710"/>
    </row>
    <row r="3818" spans="1:1" x14ac:dyDescent="0.25">
      <c r="A3818" s="710"/>
    </row>
    <row r="3819" spans="1:1" x14ac:dyDescent="0.25">
      <c r="A3819" s="710"/>
    </row>
    <row r="3820" spans="1:1" x14ac:dyDescent="0.25">
      <c r="A3820" s="710"/>
    </row>
    <row r="3821" spans="1:1" x14ac:dyDescent="0.25">
      <c r="A3821" s="710"/>
    </row>
    <row r="3822" spans="1:1" x14ac:dyDescent="0.25">
      <c r="A3822" s="710"/>
    </row>
    <row r="3823" spans="1:1" x14ac:dyDescent="0.25">
      <c r="A3823" s="710"/>
    </row>
    <row r="3824" spans="1:1" x14ac:dyDescent="0.25">
      <c r="A3824" s="710"/>
    </row>
    <row r="3825" spans="1:1" x14ac:dyDescent="0.25">
      <c r="A3825" s="710"/>
    </row>
    <row r="3826" spans="1:1" x14ac:dyDescent="0.25">
      <c r="A3826" s="710"/>
    </row>
    <row r="3827" spans="1:1" x14ac:dyDescent="0.25">
      <c r="A3827" s="710"/>
    </row>
    <row r="3828" spans="1:1" x14ac:dyDescent="0.25">
      <c r="A3828" s="710"/>
    </row>
    <row r="3829" spans="1:1" x14ac:dyDescent="0.25">
      <c r="A3829" s="710"/>
    </row>
    <row r="3830" spans="1:1" x14ac:dyDescent="0.25">
      <c r="A3830" s="710"/>
    </row>
    <row r="3831" spans="1:1" x14ac:dyDescent="0.25">
      <c r="A3831" s="710"/>
    </row>
    <row r="3832" spans="1:1" x14ac:dyDescent="0.25">
      <c r="A3832" s="710"/>
    </row>
    <row r="3833" spans="1:1" x14ac:dyDescent="0.25">
      <c r="A3833" s="710"/>
    </row>
    <row r="3834" spans="1:1" x14ac:dyDescent="0.25">
      <c r="A3834" s="710"/>
    </row>
    <row r="3835" spans="1:1" x14ac:dyDescent="0.25">
      <c r="A3835" s="710"/>
    </row>
    <row r="3836" spans="1:1" x14ac:dyDescent="0.25">
      <c r="A3836" s="710"/>
    </row>
    <row r="3837" spans="1:1" x14ac:dyDescent="0.25">
      <c r="A3837" s="710"/>
    </row>
    <row r="3838" spans="1:1" x14ac:dyDescent="0.25">
      <c r="A3838" s="710"/>
    </row>
    <row r="3839" spans="1:1" x14ac:dyDescent="0.25">
      <c r="A3839" s="710"/>
    </row>
    <row r="3840" spans="1:1" x14ac:dyDescent="0.25">
      <c r="A3840" s="710"/>
    </row>
    <row r="3841" spans="1:1" x14ac:dyDescent="0.25">
      <c r="A3841" s="710"/>
    </row>
    <row r="3842" spans="1:1" x14ac:dyDescent="0.25">
      <c r="A3842" s="710"/>
    </row>
    <row r="3843" spans="1:1" x14ac:dyDescent="0.25">
      <c r="A3843" s="710"/>
    </row>
    <row r="3844" spans="1:1" x14ac:dyDescent="0.25">
      <c r="A3844" s="710"/>
    </row>
    <row r="3845" spans="1:1" x14ac:dyDescent="0.25">
      <c r="A3845" s="710"/>
    </row>
    <row r="3846" spans="1:1" x14ac:dyDescent="0.25">
      <c r="A3846" s="710"/>
    </row>
    <row r="3847" spans="1:1" x14ac:dyDescent="0.25">
      <c r="A3847" s="710"/>
    </row>
    <row r="3848" spans="1:1" x14ac:dyDescent="0.25">
      <c r="A3848" s="710"/>
    </row>
    <row r="3849" spans="1:1" x14ac:dyDescent="0.25">
      <c r="A3849" s="710"/>
    </row>
    <row r="3850" spans="1:1" x14ac:dyDescent="0.25">
      <c r="A3850" s="710"/>
    </row>
    <row r="3851" spans="1:1" x14ac:dyDescent="0.25">
      <c r="A3851" s="710"/>
    </row>
    <row r="3852" spans="1:1" x14ac:dyDescent="0.25">
      <c r="A3852" s="710"/>
    </row>
    <row r="3853" spans="1:1" x14ac:dyDescent="0.25">
      <c r="A3853" s="710"/>
    </row>
    <row r="3854" spans="1:1" x14ac:dyDescent="0.25">
      <c r="A3854" s="710"/>
    </row>
    <row r="3855" spans="1:1" x14ac:dyDescent="0.25">
      <c r="A3855" s="710"/>
    </row>
    <row r="3856" spans="1:1" x14ac:dyDescent="0.25">
      <c r="A3856" s="710"/>
    </row>
    <row r="3857" spans="1:1" x14ac:dyDescent="0.25">
      <c r="A3857" s="710"/>
    </row>
    <row r="3858" spans="1:1" x14ac:dyDescent="0.25">
      <c r="A3858" s="710"/>
    </row>
    <row r="3859" spans="1:1" x14ac:dyDescent="0.25">
      <c r="A3859" s="710"/>
    </row>
    <row r="3860" spans="1:1" x14ac:dyDescent="0.25">
      <c r="A3860" s="710"/>
    </row>
    <row r="3861" spans="1:1" x14ac:dyDescent="0.25">
      <c r="A3861" s="710"/>
    </row>
    <row r="3862" spans="1:1" x14ac:dyDescent="0.25">
      <c r="A3862" s="710"/>
    </row>
    <row r="3863" spans="1:1" x14ac:dyDescent="0.25">
      <c r="A3863" s="710"/>
    </row>
    <row r="3864" spans="1:1" x14ac:dyDescent="0.25">
      <c r="A3864" s="710"/>
    </row>
    <row r="3865" spans="1:1" x14ac:dyDescent="0.25">
      <c r="A3865" s="710"/>
    </row>
    <row r="3866" spans="1:1" x14ac:dyDescent="0.25">
      <c r="A3866" s="710"/>
    </row>
    <row r="3867" spans="1:1" x14ac:dyDescent="0.25">
      <c r="A3867" s="710"/>
    </row>
    <row r="3868" spans="1:1" x14ac:dyDescent="0.25">
      <c r="A3868" s="710"/>
    </row>
    <row r="3869" spans="1:1" x14ac:dyDescent="0.25">
      <c r="A3869" s="710"/>
    </row>
    <row r="3870" spans="1:1" x14ac:dyDescent="0.25">
      <c r="A3870" s="710"/>
    </row>
    <row r="3871" spans="1:1" x14ac:dyDescent="0.25">
      <c r="A3871" s="710"/>
    </row>
    <row r="3872" spans="1:1" x14ac:dyDescent="0.25">
      <c r="A3872" s="710"/>
    </row>
    <row r="3873" spans="1:1" x14ac:dyDescent="0.25">
      <c r="A3873" s="710"/>
    </row>
    <row r="3874" spans="1:1" x14ac:dyDescent="0.25">
      <c r="A3874" s="710"/>
    </row>
    <row r="3875" spans="1:1" x14ac:dyDescent="0.25">
      <c r="A3875" s="710"/>
    </row>
    <row r="3876" spans="1:1" x14ac:dyDescent="0.25">
      <c r="A3876" s="710"/>
    </row>
    <row r="3877" spans="1:1" x14ac:dyDescent="0.25">
      <c r="A3877" s="710"/>
    </row>
    <row r="3878" spans="1:1" x14ac:dyDescent="0.25">
      <c r="A3878" s="710"/>
    </row>
    <row r="3879" spans="1:1" x14ac:dyDescent="0.25">
      <c r="A3879" s="710"/>
    </row>
    <row r="3880" spans="1:1" x14ac:dyDescent="0.25">
      <c r="A3880" s="710"/>
    </row>
    <row r="3881" spans="1:1" x14ac:dyDescent="0.25">
      <c r="A3881" s="710"/>
    </row>
    <row r="3882" spans="1:1" x14ac:dyDescent="0.25">
      <c r="A3882" s="710"/>
    </row>
    <row r="3883" spans="1:1" x14ac:dyDescent="0.25">
      <c r="A3883" s="710"/>
    </row>
    <row r="3884" spans="1:1" x14ac:dyDescent="0.25">
      <c r="A3884" s="710"/>
    </row>
    <row r="3885" spans="1:1" x14ac:dyDescent="0.25">
      <c r="A3885" s="710"/>
    </row>
    <row r="3886" spans="1:1" x14ac:dyDescent="0.25">
      <c r="A3886" s="710"/>
    </row>
    <row r="3887" spans="1:1" x14ac:dyDescent="0.25">
      <c r="A3887" s="710"/>
    </row>
    <row r="3888" spans="1:1" x14ac:dyDescent="0.25">
      <c r="A3888" s="710"/>
    </row>
    <row r="3889" spans="1:1" x14ac:dyDescent="0.25">
      <c r="A3889" s="710"/>
    </row>
    <row r="3890" spans="1:1" x14ac:dyDescent="0.25">
      <c r="A3890" s="710"/>
    </row>
    <row r="3891" spans="1:1" x14ac:dyDescent="0.25">
      <c r="A3891" s="710"/>
    </row>
    <row r="3892" spans="1:1" x14ac:dyDescent="0.25">
      <c r="A3892" s="710"/>
    </row>
    <row r="3893" spans="1:1" x14ac:dyDescent="0.25">
      <c r="A3893" s="710"/>
    </row>
    <row r="3894" spans="1:1" x14ac:dyDescent="0.25">
      <c r="A3894" s="710"/>
    </row>
    <row r="3895" spans="1:1" x14ac:dyDescent="0.25">
      <c r="A3895" s="710"/>
    </row>
    <row r="3896" spans="1:1" x14ac:dyDescent="0.25">
      <c r="A3896" s="710"/>
    </row>
    <row r="3897" spans="1:1" x14ac:dyDescent="0.25">
      <c r="A3897" s="710"/>
    </row>
    <row r="3898" spans="1:1" x14ac:dyDescent="0.25">
      <c r="A3898" s="710"/>
    </row>
    <row r="3899" spans="1:1" x14ac:dyDescent="0.25">
      <c r="A3899" s="710"/>
    </row>
    <row r="3900" spans="1:1" x14ac:dyDescent="0.25">
      <c r="A3900" s="710"/>
    </row>
    <row r="3901" spans="1:1" x14ac:dyDescent="0.25">
      <c r="A3901" s="710"/>
    </row>
    <row r="3902" spans="1:1" x14ac:dyDescent="0.25">
      <c r="A3902" s="710"/>
    </row>
    <row r="3903" spans="1:1" x14ac:dyDescent="0.25">
      <c r="A3903" s="710"/>
    </row>
    <row r="3904" spans="1:1" x14ac:dyDescent="0.25">
      <c r="A3904" s="710"/>
    </row>
    <row r="3905" spans="1:1" x14ac:dyDescent="0.25">
      <c r="A3905" s="710"/>
    </row>
    <row r="3906" spans="1:1" x14ac:dyDescent="0.25">
      <c r="A3906" s="710"/>
    </row>
    <row r="3907" spans="1:1" x14ac:dyDescent="0.25">
      <c r="A3907" s="710"/>
    </row>
    <row r="3908" spans="1:1" x14ac:dyDescent="0.25">
      <c r="A3908" s="710"/>
    </row>
    <row r="3909" spans="1:1" x14ac:dyDescent="0.25">
      <c r="A3909" s="710"/>
    </row>
    <row r="3910" spans="1:1" x14ac:dyDescent="0.25">
      <c r="A3910" s="710"/>
    </row>
    <row r="3911" spans="1:1" x14ac:dyDescent="0.25">
      <c r="A3911" s="710"/>
    </row>
    <row r="3912" spans="1:1" x14ac:dyDescent="0.25">
      <c r="A3912" s="710"/>
    </row>
    <row r="3913" spans="1:1" x14ac:dyDescent="0.25">
      <c r="A3913" s="710"/>
    </row>
    <row r="3914" spans="1:1" x14ac:dyDescent="0.25">
      <c r="A3914" s="710"/>
    </row>
    <row r="3915" spans="1:1" x14ac:dyDescent="0.25">
      <c r="A3915" s="710"/>
    </row>
    <row r="3916" spans="1:1" x14ac:dyDescent="0.25">
      <c r="A3916" s="710"/>
    </row>
    <row r="3917" spans="1:1" x14ac:dyDescent="0.25">
      <c r="A3917" s="710"/>
    </row>
    <row r="3918" spans="1:1" x14ac:dyDescent="0.25">
      <c r="A3918" s="710"/>
    </row>
    <row r="3919" spans="1:1" x14ac:dyDescent="0.25">
      <c r="A3919" s="710"/>
    </row>
    <row r="3920" spans="1:1" x14ac:dyDescent="0.25">
      <c r="A3920" s="710"/>
    </row>
    <row r="3921" spans="1:1" x14ac:dyDescent="0.25">
      <c r="A3921" s="710"/>
    </row>
    <row r="3922" spans="1:1" x14ac:dyDescent="0.25">
      <c r="A3922" s="710"/>
    </row>
    <row r="3923" spans="1:1" x14ac:dyDescent="0.25">
      <c r="A3923" s="710"/>
    </row>
    <row r="3924" spans="1:1" x14ac:dyDescent="0.25">
      <c r="A3924" s="710"/>
    </row>
    <row r="3925" spans="1:1" x14ac:dyDescent="0.25">
      <c r="A3925" s="710"/>
    </row>
    <row r="3926" spans="1:1" x14ac:dyDescent="0.25">
      <c r="A3926" s="710"/>
    </row>
    <row r="3927" spans="1:1" x14ac:dyDescent="0.25">
      <c r="A3927" s="710"/>
    </row>
    <row r="3928" spans="1:1" x14ac:dyDescent="0.25">
      <c r="A3928" s="710"/>
    </row>
    <row r="3929" spans="1:1" x14ac:dyDescent="0.25">
      <c r="A3929" s="710"/>
    </row>
    <row r="3930" spans="1:1" x14ac:dyDescent="0.25">
      <c r="A3930" s="710"/>
    </row>
    <row r="3931" spans="1:1" x14ac:dyDescent="0.25">
      <c r="A3931" s="710"/>
    </row>
    <row r="3932" spans="1:1" x14ac:dyDescent="0.25">
      <c r="A3932" s="710"/>
    </row>
    <row r="3933" spans="1:1" x14ac:dyDescent="0.25">
      <c r="A3933" s="710"/>
    </row>
    <row r="3934" spans="1:1" x14ac:dyDescent="0.25">
      <c r="A3934" s="710"/>
    </row>
    <row r="3935" spans="1:1" x14ac:dyDescent="0.25">
      <c r="A3935" s="710"/>
    </row>
    <row r="3936" spans="1:1" x14ac:dyDescent="0.25">
      <c r="A3936" s="710"/>
    </row>
    <row r="3937" spans="1:1" x14ac:dyDescent="0.25">
      <c r="A3937" s="710"/>
    </row>
    <row r="3938" spans="1:1" x14ac:dyDescent="0.25">
      <c r="A3938" s="710"/>
    </row>
    <row r="3939" spans="1:1" x14ac:dyDescent="0.25">
      <c r="A3939" s="710"/>
    </row>
    <row r="3940" spans="1:1" x14ac:dyDescent="0.25">
      <c r="A3940" s="710"/>
    </row>
    <row r="3941" spans="1:1" x14ac:dyDescent="0.25">
      <c r="A3941" s="710"/>
    </row>
    <row r="3942" spans="1:1" x14ac:dyDescent="0.25">
      <c r="A3942" s="710"/>
    </row>
    <row r="3943" spans="1:1" x14ac:dyDescent="0.25">
      <c r="A3943" s="710"/>
    </row>
    <row r="3944" spans="1:1" x14ac:dyDescent="0.25">
      <c r="A3944" s="710"/>
    </row>
    <row r="3945" spans="1:1" x14ac:dyDescent="0.25">
      <c r="A3945" s="710"/>
    </row>
    <row r="3946" spans="1:1" x14ac:dyDescent="0.25">
      <c r="A3946" s="710"/>
    </row>
    <row r="3947" spans="1:1" x14ac:dyDescent="0.25">
      <c r="A3947" s="710"/>
    </row>
    <row r="3948" spans="1:1" x14ac:dyDescent="0.25">
      <c r="A3948" s="710"/>
    </row>
    <row r="3949" spans="1:1" x14ac:dyDescent="0.25">
      <c r="A3949" s="710"/>
    </row>
    <row r="3950" spans="1:1" x14ac:dyDescent="0.25">
      <c r="A3950" s="710"/>
    </row>
    <row r="3951" spans="1:1" x14ac:dyDescent="0.25">
      <c r="A3951" s="710"/>
    </row>
    <row r="3952" spans="1:1" x14ac:dyDescent="0.25">
      <c r="A3952" s="710"/>
    </row>
    <row r="3953" spans="1:1" x14ac:dyDescent="0.25">
      <c r="A3953" s="710"/>
    </row>
    <row r="3954" spans="1:1" x14ac:dyDescent="0.25">
      <c r="A3954" s="710"/>
    </row>
    <row r="3955" spans="1:1" x14ac:dyDescent="0.25">
      <c r="A3955" s="710"/>
    </row>
    <row r="3956" spans="1:1" x14ac:dyDescent="0.25">
      <c r="A3956" s="710"/>
    </row>
    <row r="3957" spans="1:1" x14ac:dyDescent="0.25">
      <c r="A3957" s="710"/>
    </row>
    <row r="3958" spans="1:1" x14ac:dyDescent="0.25">
      <c r="A3958" s="710"/>
    </row>
    <row r="3959" spans="1:1" x14ac:dyDescent="0.25">
      <c r="A3959" s="710"/>
    </row>
    <row r="3960" spans="1:1" x14ac:dyDescent="0.25">
      <c r="A3960" s="710"/>
    </row>
    <row r="3961" spans="1:1" x14ac:dyDescent="0.25">
      <c r="A3961" s="710"/>
    </row>
    <row r="3962" spans="1:1" x14ac:dyDescent="0.25">
      <c r="A3962" s="710"/>
    </row>
    <row r="3963" spans="1:1" x14ac:dyDescent="0.25">
      <c r="A3963" s="710"/>
    </row>
    <row r="3964" spans="1:1" x14ac:dyDescent="0.25">
      <c r="A3964" s="710"/>
    </row>
    <row r="3965" spans="1:1" x14ac:dyDescent="0.25">
      <c r="A3965" s="710"/>
    </row>
    <row r="3966" spans="1:1" x14ac:dyDescent="0.25">
      <c r="A3966" s="710"/>
    </row>
    <row r="3967" spans="1:1" x14ac:dyDescent="0.25">
      <c r="A3967" s="710"/>
    </row>
    <row r="3968" spans="1:1" x14ac:dyDescent="0.25">
      <c r="A3968" s="710"/>
    </row>
    <row r="3969" spans="1:1" x14ac:dyDescent="0.25">
      <c r="A3969" s="710"/>
    </row>
    <row r="3970" spans="1:1" x14ac:dyDescent="0.25">
      <c r="A3970" s="710"/>
    </row>
    <row r="3971" spans="1:1" x14ac:dyDescent="0.25">
      <c r="A3971" s="710"/>
    </row>
    <row r="3972" spans="1:1" x14ac:dyDescent="0.25">
      <c r="A3972" s="710"/>
    </row>
    <row r="3973" spans="1:1" x14ac:dyDescent="0.25">
      <c r="A3973" s="710"/>
    </row>
    <row r="3974" spans="1:1" x14ac:dyDescent="0.25">
      <c r="A3974" s="710"/>
    </row>
    <row r="3975" spans="1:1" x14ac:dyDescent="0.25">
      <c r="A3975" s="710"/>
    </row>
    <row r="3976" spans="1:1" x14ac:dyDescent="0.25">
      <c r="A3976" s="710"/>
    </row>
    <row r="3977" spans="1:1" x14ac:dyDescent="0.25">
      <c r="A3977" s="710"/>
    </row>
    <row r="3978" spans="1:1" x14ac:dyDescent="0.25">
      <c r="A3978" s="710"/>
    </row>
    <row r="3979" spans="1:1" x14ac:dyDescent="0.25">
      <c r="A3979" s="710"/>
    </row>
    <row r="3980" spans="1:1" x14ac:dyDescent="0.25">
      <c r="A3980" s="710"/>
    </row>
    <row r="3981" spans="1:1" x14ac:dyDescent="0.25">
      <c r="A3981" s="710"/>
    </row>
    <row r="3982" spans="1:1" x14ac:dyDescent="0.25">
      <c r="A3982" s="710"/>
    </row>
    <row r="3983" spans="1:1" x14ac:dyDescent="0.25">
      <c r="A3983" s="710"/>
    </row>
    <row r="3984" spans="1:1" x14ac:dyDescent="0.25">
      <c r="A3984" s="710"/>
    </row>
    <row r="3985" spans="1:1" x14ac:dyDescent="0.25">
      <c r="A3985" s="710"/>
    </row>
    <row r="3986" spans="1:1" x14ac:dyDescent="0.25">
      <c r="A3986" s="710"/>
    </row>
    <row r="3987" spans="1:1" x14ac:dyDescent="0.25">
      <c r="A3987" s="710"/>
    </row>
    <row r="3988" spans="1:1" x14ac:dyDescent="0.25">
      <c r="A3988" s="710"/>
    </row>
    <row r="3989" spans="1:1" x14ac:dyDescent="0.25">
      <c r="A3989" s="710"/>
    </row>
    <row r="3990" spans="1:1" x14ac:dyDescent="0.25">
      <c r="A3990" s="710"/>
    </row>
    <row r="3991" spans="1:1" x14ac:dyDescent="0.25">
      <c r="A3991" s="710"/>
    </row>
    <row r="3992" spans="1:1" x14ac:dyDescent="0.25">
      <c r="A3992" s="710"/>
    </row>
    <row r="3993" spans="1:1" x14ac:dyDescent="0.25">
      <c r="A3993" s="710"/>
    </row>
    <row r="3994" spans="1:1" x14ac:dyDescent="0.25">
      <c r="A3994" s="710"/>
    </row>
    <row r="3995" spans="1:1" x14ac:dyDescent="0.25">
      <c r="A3995" s="710"/>
    </row>
    <row r="3996" spans="1:1" x14ac:dyDescent="0.25">
      <c r="A3996" s="710"/>
    </row>
    <row r="3997" spans="1:1" x14ac:dyDescent="0.25">
      <c r="A3997" s="710"/>
    </row>
    <row r="3998" spans="1:1" x14ac:dyDescent="0.25">
      <c r="A3998" s="710"/>
    </row>
    <row r="3999" spans="1:1" x14ac:dyDescent="0.25">
      <c r="A3999" s="710"/>
    </row>
    <row r="4000" spans="1:1" x14ac:dyDescent="0.25">
      <c r="A4000" s="710"/>
    </row>
    <row r="4001" spans="1:1" x14ac:dyDescent="0.25">
      <c r="A4001" s="710"/>
    </row>
    <row r="4002" spans="1:1" x14ac:dyDescent="0.25">
      <c r="A4002" s="710"/>
    </row>
    <row r="4003" spans="1:1" x14ac:dyDescent="0.25">
      <c r="A4003" s="710"/>
    </row>
    <row r="4004" spans="1:1" x14ac:dyDescent="0.25">
      <c r="A4004" s="710"/>
    </row>
    <row r="4005" spans="1:1" x14ac:dyDescent="0.25">
      <c r="A4005" s="710"/>
    </row>
    <row r="4006" spans="1:1" x14ac:dyDescent="0.25">
      <c r="A4006" s="710"/>
    </row>
    <row r="4007" spans="1:1" x14ac:dyDescent="0.25">
      <c r="A4007" s="710"/>
    </row>
    <row r="4008" spans="1:1" x14ac:dyDescent="0.25">
      <c r="A4008" s="710"/>
    </row>
    <row r="4009" spans="1:1" x14ac:dyDescent="0.25">
      <c r="A4009" s="710"/>
    </row>
    <row r="4010" spans="1:1" x14ac:dyDescent="0.25">
      <c r="A4010" s="710"/>
    </row>
    <row r="4011" spans="1:1" x14ac:dyDescent="0.25">
      <c r="A4011" s="710"/>
    </row>
    <row r="4012" spans="1:1" x14ac:dyDescent="0.25">
      <c r="A4012" s="710"/>
    </row>
    <row r="4013" spans="1:1" x14ac:dyDescent="0.25">
      <c r="A4013" s="710"/>
    </row>
    <row r="4014" spans="1:1" x14ac:dyDescent="0.25">
      <c r="A4014" s="710"/>
    </row>
    <row r="4015" spans="1:1" x14ac:dyDescent="0.25">
      <c r="A4015" s="710"/>
    </row>
    <row r="4016" spans="1:1" x14ac:dyDescent="0.25">
      <c r="A4016" s="710"/>
    </row>
    <row r="4017" spans="1:1" x14ac:dyDescent="0.25">
      <c r="A4017" s="710"/>
    </row>
    <row r="4018" spans="1:1" x14ac:dyDescent="0.25">
      <c r="A4018" s="710"/>
    </row>
    <row r="4019" spans="1:1" x14ac:dyDescent="0.25">
      <c r="A4019" s="710"/>
    </row>
    <row r="4020" spans="1:1" x14ac:dyDescent="0.25">
      <c r="A4020" s="710"/>
    </row>
    <row r="4021" spans="1:1" x14ac:dyDescent="0.25">
      <c r="A4021" s="710"/>
    </row>
    <row r="4022" spans="1:1" x14ac:dyDescent="0.25">
      <c r="A4022" s="710"/>
    </row>
    <row r="4023" spans="1:1" x14ac:dyDescent="0.25">
      <c r="A4023" s="710"/>
    </row>
    <row r="4024" spans="1:1" x14ac:dyDescent="0.25">
      <c r="A4024" s="710"/>
    </row>
    <row r="4025" spans="1:1" x14ac:dyDescent="0.25">
      <c r="A4025" s="710"/>
    </row>
    <row r="4026" spans="1:1" x14ac:dyDescent="0.25">
      <c r="A4026" s="710"/>
    </row>
    <row r="4027" spans="1:1" x14ac:dyDescent="0.25">
      <c r="A4027" s="710"/>
    </row>
    <row r="4028" spans="1:1" x14ac:dyDescent="0.25">
      <c r="A4028" s="710"/>
    </row>
    <row r="4029" spans="1:1" x14ac:dyDescent="0.25">
      <c r="A4029" s="710"/>
    </row>
    <row r="4030" spans="1:1" x14ac:dyDescent="0.25">
      <c r="A4030" s="710"/>
    </row>
    <row r="4031" spans="1:1" x14ac:dyDescent="0.25">
      <c r="A4031" s="710"/>
    </row>
    <row r="4032" spans="1:1" x14ac:dyDescent="0.25">
      <c r="A4032" s="710"/>
    </row>
    <row r="4033" spans="1:1" x14ac:dyDescent="0.25">
      <c r="A4033" s="710"/>
    </row>
    <row r="4034" spans="1:1" x14ac:dyDescent="0.25">
      <c r="A4034" s="710"/>
    </row>
    <row r="4035" spans="1:1" x14ac:dyDescent="0.25">
      <c r="A4035" s="710"/>
    </row>
    <row r="4036" spans="1:1" x14ac:dyDescent="0.25">
      <c r="A4036" s="710"/>
    </row>
    <row r="4037" spans="1:1" x14ac:dyDescent="0.25">
      <c r="A4037" s="710"/>
    </row>
    <row r="4038" spans="1:1" x14ac:dyDescent="0.25">
      <c r="A4038" s="710"/>
    </row>
    <row r="4039" spans="1:1" x14ac:dyDescent="0.25">
      <c r="A4039" s="710"/>
    </row>
    <row r="4040" spans="1:1" x14ac:dyDescent="0.25">
      <c r="A4040" s="710"/>
    </row>
    <row r="4041" spans="1:1" x14ac:dyDescent="0.25">
      <c r="A4041" s="710"/>
    </row>
    <row r="4042" spans="1:1" x14ac:dyDescent="0.25">
      <c r="A4042" s="710"/>
    </row>
    <row r="4043" spans="1:1" x14ac:dyDescent="0.25">
      <c r="A4043" s="710"/>
    </row>
    <row r="4044" spans="1:1" x14ac:dyDescent="0.25">
      <c r="A4044" s="710"/>
    </row>
    <row r="4045" spans="1:1" x14ac:dyDescent="0.25">
      <c r="A4045" s="710"/>
    </row>
    <row r="4046" spans="1:1" x14ac:dyDescent="0.25">
      <c r="A4046" s="710"/>
    </row>
    <row r="4047" spans="1:1" x14ac:dyDescent="0.25">
      <c r="A4047" s="710"/>
    </row>
    <row r="4048" spans="1:1" x14ac:dyDescent="0.25">
      <c r="A4048" s="710"/>
    </row>
    <row r="4049" spans="1:1" x14ac:dyDescent="0.25">
      <c r="A4049" s="710"/>
    </row>
    <row r="4050" spans="1:1" x14ac:dyDescent="0.25">
      <c r="A4050" s="710"/>
    </row>
    <row r="4051" spans="1:1" x14ac:dyDescent="0.25">
      <c r="A4051" s="710"/>
    </row>
    <row r="4052" spans="1:1" x14ac:dyDescent="0.25">
      <c r="A4052" s="710"/>
    </row>
    <row r="4053" spans="1:1" x14ac:dyDescent="0.25">
      <c r="A4053" s="710"/>
    </row>
    <row r="4054" spans="1:1" x14ac:dyDescent="0.25">
      <c r="A4054" s="710"/>
    </row>
    <row r="4055" spans="1:1" x14ac:dyDescent="0.25">
      <c r="A4055" s="710"/>
    </row>
    <row r="4056" spans="1:1" x14ac:dyDescent="0.25">
      <c r="A4056" s="710"/>
    </row>
    <row r="4057" spans="1:1" x14ac:dyDescent="0.25">
      <c r="A4057" s="710"/>
    </row>
    <row r="4058" spans="1:1" x14ac:dyDescent="0.25">
      <c r="A4058" s="710"/>
    </row>
    <row r="4059" spans="1:1" x14ac:dyDescent="0.25">
      <c r="A4059" s="710"/>
    </row>
    <row r="4060" spans="1:1" x14ac:dyDescent="0.25">
      <c r="A4060" s="710"/>
    </row>
    <row r="4061" spans="1:1" x14ac:dyDescent="0.25">
      <c r="A4061" s="710"/>
    </row>
    <row r="4062" spans="1:1" x14ac:dyDescent="0.25">
      <c r="A4062" s="710"/>
    </row>
    <row r="4063" spans="1:1" x14ac:dyDescent="0.25">
      <c r="A4063" s="710"/>
    </row>
    <row r="4064" spans="1:1" x14ac:dyDescent="0.25">
      <c r="A4064" s="710"/>
    </row>
    <row r="4065" spans="1:1" x14ac:dyDescent="0.25">
      <c r="A4065" s="710"/>
    </row>
    <row r="4066" spans="1:1" x14ac:dyDescent="0.25">
      <c r="A4066" s="710"/>
    </row>
    <row r="4067" spans="1:1" x14ac:dyDescent="0.25">
      <c r="A4067" s="710"/>
    </row>
    <row r="4068" spans="1:1" x14ac:dyDescent="0.25">
      <c r="A4068" s="710"/>
    </row>
    <row r="4069" spans="1:1" x14ac:dyDescent="0.25">
      <c r="A4069" s="710"/>
    </row>
    <row r="4070" spans="1:1" x14ac:dyDescent="0.25">
      <c r="A4070" s="710"/>
    </row>
    <row r="4071" spans="1:1" x14ac:dyDescent="0.25">
      <c r="A4071" s="710"/>
    </row>
    <row r="4072" spans="1:1" x14ac:dyDescent="0.25">
      <c r="A4072" s="710"/>
    </row>
    <row r="4073" spans="1:1" x14ac:dyDescent="0.25">
      <c r="A4073" s="710"/>
    </row>
    <row r="4074" spans="1:1" x14ac:dyDescent="0.25">
      <c r="A4074" s="710"/>
    </row>
    <row r="4075" spans="1:1" x14ac:dyDescent="0.25">
      <c r="A4075" s="710"/>
    </row>
    <row r="4076" spans="1:1" x14ac:dyDescent="0.25">
      <c r="A4076" s="710"/>
    </row>
    <row r="4077" spans="1:1" x14ac:dyDescent="0.25">
      <c r="A4077" s="710"/>
    </row>
    <row r="4078" spans="1:1" x14ac:dyDescent="0.25">
      <c r="A4078" s="710"/>
    </row>
    <row r="4079" spans="1:1" x14ac:dyDescent="0.25">
      <c r="A4079" s="710"/>
    </row>
    <row r="4080" spans="1:1" x14ac:dyDescent="0.25">
      <c r="A4080" s="710"/>
    </row>
    <row r="4081" spans="1:1" x14ac:dyDescent="0.25">
      <c r="A4081" s="710"/>
    </row>
    <row r="4082" spans="1:1" x14ac:dyDescent="0.25">
      <c r="A4082" s="710"/>
    </row>
    <row r="4083" spans="1:1" x14ac:dyDescent="0.25">
      <c r="A4083" s="710"/>
    </row>
    <row r="4084" spans="1:1" x14ac:dyDescent="0.25">
      <c r="A4084" s="710"/>
    </row>
    <row r="4085" spans="1:1" x14ac:dyDescent="0.25">
      <c r="A4085" s="710"/>
    </row>
    <row r="4086" spans="1:1" x14ac:dyDescent="0.25">
      <c r="A4086" s="710"/>
    </row>
    <row r="4087" spans="1:1" x14ac:dyDescent="0.25">
      <c r="A4087" s="710"/>
    </row>
    <row r="4088" spans="1:1" x14ac:dyDescent="0.25">
      <c r="A4088" s="710"/>
    </row>
    <row r="4089" spans="1:1" x14ac:dyDescent="0.25">
      <c r="A4089" s="710"/>
    </row>
    <row r="4090" spans="1:1" x14ac:dyDescent="0.25">
      <c r="A4090" s="710"/>
    </row>
    <row r="4091" spans="1:1" x14ac:dyDescent="0.25">
      <c r="A4091" s="710"/>
    </row>
    <row r="4092" spans="1:1" x14ac:dyDescent="0.25">
      <c r="A4092" s="710"/>
    </row>
    <row r="4093" spans="1:1" x14ac:dyDescent="0.25">
      <c r="A4093" s="710"/>
    </row>
    <row r="4094" spans="1:1" x14ac:dyDescent="0.25">
      <c r="A4094" s="710"/>
    </row>
    <row r="4095" spans="1:1" x14ac:dyDescent="0.25">
      <c r="A4095" s="710"/>
    </row>
    <row r="4096" spans="1:1" x14ac:dyDescent="0.25">
      <c r="A4096" s="710"/>
    </row>
    <row r="4097" spans="1:1" x14ac:dyDescent="0.25">
      <c r="A4097" s="710"/>
    </row>
    <row r="4098" spans="1:1" x14ac:dyDescent="0.25">
      <c r="A4098" s="710"/>
    </row>
    <row r="4099" spans="1:1" x14ac:dyDescent="0.25">
      <c r="A4099" s="710"/>
    </row>
    <row r="4100" spans="1:1" x14ac:dyDescent="0.25">
      <c r="A4100" s="710"/>
    </row>
    <row r="4101" spans="1:1" x14ac:dyDescent="0.25">
      <c r="A4101" s="710"/>
    </row>
    <row r="4102" spans="1:1" x14ac:dyDescent="0.25">
      <c r="A4102" s="710"/>
    </row>
    <row r="4103" spans="1:1" x14ac:dyDescent="0.25">
      <c r="A4103" s="710"/>
    </row>
    <row r="4104" spans="1:1" x14ac:dyDescent="0.25">
      <c r="A4104" s="710"/>
    </row>
    <row r="4105" spans="1:1" x14ac:dyDescent="0.25">
      <c r="A4105" s="710"/>
    </row>
    <row r="4106" spans="1:1" x14ac:dyDescent="0.25">
      <c r="A4106" s="710"/>
    </row>
    <row r="4107" spans="1:1" x14ac:dyDescent="0.25">
      <c r="A4107" s="710"/>
    </row>
    <row r="4108" spans="1:1" x14ac:dyDescent="0.25">
      <c r="A4108" s="710"/>
    </row>
    <row r="4109" spans="1:1" x14ac:dyDescent="0.25">
      <c r="A4109" s="710"/>
    </row>
    <row r="4110" spans="1:1" x14ac:dyDescent="0.25">
      <c r="A4110" s="710"/>
    </row>
    <row r="4111" spans="1:1" x14ac:dyDescent="0.25">
      <c r="A4111" s="710"/>
    </row>
    <row r="4112" spans="1:1" x14ac:dyDescent="0.25">
      <c r="A4112" s="710"/>
    </row>
    <row r="4113" spans="1:1" x14ac:dyDescent="0.25">
      <c r="A4113" s="710"/>
    </row>
    <row r="4114" spans="1:1" x14ac:dyDescent="0.25">
      <c r="A4114" s="710"/>
    </row>
    <row r="4115" spans="1:1" x14ac:dyDescent="0.25">
      <c r="A4115" s="710"/>
    </row>
    <row r="4116" spans="1:1" x14ac:dyDescent="0.25">
      <c r="A4116" s="710"/>
    </row>
    <row r="4117" spans="1:1" x14ac:dyDescent="0.25">
      <c r="A4117" s="710"/>
    </row>
    <row r="4118" spans="1:1" x14ac:dyDescent="0.25">
      <c r="A4118" s="710"/>
    </row>
    <row r="4119" spans="1:1" x14ac:dyDescent="0.25">
      <c r="A4119" s="710"/>
    </row>
    <row r="4120" spans="1:1" x14ac:dyDescent="0.25">
      <c r="A4120" s="710"/>
    </row>
    <row r="4121" spans="1:1" x14ac:dyDescent="0.25">
      <c r="A4121" s="710"/>
    </row>
    <row r="4122" spans="1:1" x14ac:dyDescent="0.25">
      <c r="A4122" s="710"/>
    </row>
    <row r="4123" spans="1:1" x14ac:dyDescent="0.25">
      <c r="A4123" s="710"/>
    </row>
    <row r="4124" spans="1:1" x14ac:dyDescent="0.25">
      <c r="A4124" s="710"/>
    </row>
    <row r="4125" spans="1:1" x14ac:dyDescent="0.25">
      <c r="A4125" s="710"/>
    </row>
    <row r="4126" spans="1:1" x14ac:dyDescent="0.25">
      <c r="A4126" s="710"/>
    </row>
    <row r="4127" spans="1:1" x14ac:dyDescent="0.25">
      <c r="A4127" s="710"/>
    </row>
    <row r="4128" spans="1:1" x14ac:dyDescent="0.25">
      <c r="A4128" s="710"/>
    </row>
    <row r="4129" spans="1:1" x14ac:dyDescent="0.25">
      <c r="A4129" s="710"/>
    </row>
    <row r="4130" spans="1:1" x14ac:dyDescent="0.25">
      <c r="A4130" s="710"/>
    </row>
    <row r="4131" spans="1:1" x14ac:dyDescent="0.25">
      <c r="A4131" s="710"/>
    </row>
    <row r="4132" spans="1:1" x14ac:dyDescent="0.25">
      <c r="A4132" s="710"/>
    </row>
    <row r="4133" spans="1:1" x14ac:dyDescent="0.25">
      <c r="A4133" s="710"/>
    </row>
    <row r="4134" spans="1:1" x14ac:dyDescent="0.25">
      <c r="A4134" s="710"/>
    </row>
    <row r="4135" spans="1:1" x14ac:dyDescent="0.25">
      <c r="A4135" s="710"/>
    </row>
    <row r="4136" spans="1:1" x14ac:dyDescent="0.25">
      <c r="A4136" s="710"/>
    </row>
    <row r="4137" spans="1:1" x14ac:dyDescent="0.25">
      <c r="A4137" s="710"/>
    </row>
    <row r="4138" spans="1:1" x14ac:dyDescent="0.25">
      <c r="A4138" s="710"/>
    </row>
    <row r="4139" spans="1:1" x14ac:dyDescent="0.25">
      <c r="A4139" s="710"/>
    </row>
    <row r="4140" spans="1:1" x14ac:dyDescent="0.25">
      <c r="A4140" s="710"/>
    </row>
    <row r="4141" spans="1:1" x14ac:dyDescent="0.25">
      <c r="A4141" s="710"/>
    </row>
    <row r="4142" spans="1:1" x14ac:dyDescent="0.25">
      <c r="A4142" s="710"/>
    </row>
    <row r="4143" spans="1:1" x14ac:dyDescent="0.25">
      <c r="A4143" s="710"/>
    </row>
    <row r="4144" spans="1:1" x14ac:dyDescent="0.25">
      <c r="A4144" s="710"/>
    </row>
    <row r="4145" spans="1:1" x14ac:dyDescent="0.25">
      <c r="A4145" s="710"/>
    </row>
    <row r="4146" spans="1:1" x14ac:dyDescent="0.25">
      <c r="A4146" s="710"/>
    </row>
    <row r="4147" spans="1:1" x14ac:dyDescent="0.25">
      <c r="A4147" s="710"/>
    </row>
    <row r="4148" spans="1:1" x14ac:dyDescent="0.25">
      <c r="A4148" s="710"/>
    </row>
    <row r="4149" spans="1:1" x14ac:dyDescent="0.25">
      <c r="A4149" s="710"/>
    </row>
    <row r="4150" spans="1:1" x14ac:dyDescent="0.25">
      <c r="A4150" s="710"/>
    </row>
    <row r="4151" spans="1:1" x14ac:dyDescent="0.25">
      <c r="A4151" s="710"/>
    </row>
    <row r="4152" spans="1:1" x14ac:dyDescent="0.25">
      <c r="A4152" s="710"/>
    </row>
    <row r="4153" spans="1:1" x14ac:dyDescent="0.25">
      <c r="A4153" s="710"/>
    </row>
    <row r="4154" spans="1:1" x14ac:dyDescent="0.25">
      <c r="A4154" s="710"/>
    </row>
    <row r="4155" spans="1:1" x14ac:dyDescent="0.25">
      <c r="A4155" s="710"/>
    </row>
    <row r="4156" spans="1:1" x14ac:dyDescent="0.25">
      <c r="A4156" s="710"/>
    </row>
    <row r="4157" spans="1:1" x14ac:dyDescent="0.25">
      <c r="A4157" s="710"/>
    </row>
    <row r="4158" spans="1:1" x14ac:dyDescent="0.25">
      <c r="A4158" s="710"/>
    </row>
    <row r="4159" spans="1:1" x14ac:dyDescent="0.25">
      <c r="A4159" s="710"/>
    </row>
    <row r="4160" spans="1:1" x14ac:dyDescent="0.25">
      <c r="A4160" s="710"/>
    </row>
    <row r="4161" spans="1:1" x14ac:dyDescent="0.25">
      <c r="A4161" s="710"/>
    </row>
    <row r="4162" spans="1:1" x14ac:dyDescent="0.25">
      <c r="A4162" s="710"/>
    </row>
    <row r="4163" spans="1:1" x14ac:dyDescent="0.25">
      <c r="A4163" s="710"/>
    </row>
    <row r="4164" spans="1:1" x14ac:dyDescent="0.25">
      <c r="A4164" s="710"/>
    </row>
    <row r="4165" spans="1:1" x14ac:dyDescent="0.25">
      <c r="A4165" s="710"/>
    </row>
    <row r="4166" spans="1:1" x14ac:dyDescent="0.25">
      <c r="A4166" s="710"/>
    </row>
    <row r="4167" spans="1:1" x14ac:dyDescent="0.25">
      <c r="A4167" s="710"/>
    </row>
    <row r="4168" spans="1:1" x14ac:dyDescent="0.25">
      <c r="A4168" s="710"/>
    </row>
    <row r="4169" spans="1:1" x14ac:dyDescent="0.25">
      <c r="A4169" s="710"/>
    </row>
    <row r="4170" spans="1:1" x14ac:dyDescent="0.25">
      <c r="A4170" s="710"/>
    </row>
    <row r="4171" spans="1:1" x14ac:dyDescent="0.25">
      <c r="A4171" s="710"/>
    </row>
    <row r="4172" spans="1:1" x14ac:dyDescent="0.25">
      <c r="A4172" s="710"/>
    </row>
    <row r="4173" spans="1:1" x14ac:dyDescent="0.25">
      <c r="A4173" s="710"/>
    </row>
    <row r="4174" spans="1:1" x14ac:dyDescent="0.25">
      <c r="A4174" s="710"/>
    </row>
    <row r="4175" spans="1:1" x14ac:dyDescent="0.25">
      <c r="A4175" s="710"/>
    </row>
    <row r="4176" spans="1:1" x14ac:dyDescent="0.25">
      <c r="A4176" s="710"/>
    </row>
    <row r="4177" spans="1:1" x14ac:dyDescent="0.25">
      <c r="A4177" s="710"/>
    </row>
    <row r="4178" spans="1:1" x14ac:dyDescent="0.25">
      <c r="A4178" s="710"/>
    </row>
    <row r="4179" spans="1:1" x14ac:dyDescent="0.25">
      <c r="A4179" s="710"/>
    </row>
    <row r="4180" spans="1:1" x14ac:dyDescent="0.25">
      <c r="A4180" s="710"/>
    </row>
    <row r="4181" spans="1:1" x14ac:dyDescent="0.25">
      <c r="A4181" s="710"/>
    </row>
    <row r="4182" spans="1:1" x14ac:dyDescent="0.25">
      <c r="A4182" s="710"/>
    </row>
    <row r="4183" spans="1:1" x14ac:dyDescent="0.25">
      <c r="A4183" s="710"/>
    </row>
    <row r="4184" spans="1:1" x14ac:dyDescent="0.25">
      <c r="A4184" s="710"/>
    </row>
    <row r="4185" spans="1:1" x14ac:dyDescent="0.25">
      <c r="A4185" s="710"/>
    </row>
    <row r="4186" spans="1:1" x14ac:dyDescent="0.25">
      <c r="A4186" s="710"/>
    </row>
    <row r="4187" spans="1:1" x14ac:dyDescent="0.25">
      <c r="A4187" s="710"/>
    </row>
    <row r="4188" spans="1:1" x14ac:dyDescent="0.25">
      <c r="A4188" s="710"/>
    </row>
    <row r="4189" spans="1:1" x14ac:dyDescent="0.25">
      <c r="A4189" s="710"/>
    </row>
    <row r="4190" spans="1:1" x14ac:dyDescent="0.25">
      <c r="A4190" s="710"/>
    </row>
    <row r="4191" spans="1:1" x14ac:dyDescent="0.25">
      <c r="A4191" s="710"/>
    </row>
    <row r="4192" spans="1:1" x14ac:dyDescent="0.25">
      <c r="A4192" s="710"/>
    </row>
    <row r="4193" spans="1:1" x14ac:dyDescent="0.25">
      <c r="A4193" s="710"/>
    </row>
    <row r="4194" spans="1:1" x14ac:dyDescent="0.25">
      <c r="A4194" s="710"/>
    </row>
    <row r="4195" spans="1:1" x14ac:dyDescent="0.25">
      <c r="A4195" s="710"/>
    </row>
    <row r="4196" spans="1:1" x14ac:dyDescent="0.25">
      <c r="A4196" s="710"/>
    </row>
    <row r="4197" spans="1:1" x14ac:dyDescent="0.25">
      <c r="A4197" s="710"/>
    </row>
    <row r="4198" spans="1:1" x14ac:dyDescent="0.25">
      <c r="A4198" s="710"/>
    </row>
    <row r="4199" spans="1:1" x14ac:dyDescent="0.25">
      <c r="A4199" s="710"/>
    </row>
    <row r="4200" spans="1:1" x14ac:dyDescent="0.25">
      <c r="A4200" s="710"/>
    </row>
    <row r="4201" spans="1:1" x14ac:dyDescent="0.25">
      <c r="A4201" s="710"/>
    </row>
    <row r="4202" spans="1:1" x14ac:dyDescent="0.25">
      <c r="A4202" s="710"/>
    </row>
    <row r="4203" spans="1:1" x14ac:dyDescent="0.25">
      <c r="A4203" s="710"/>
    </row>
    <row r="4204" spans="1:1" x14ac:dyDescent="0.25">
      <c r="A4204" s="710"/>
    </row>
    <row r="4205" spans="1:1" x14ac:dyDescent="0.25">
      <c r="A4205" s="710"/>
    </row>
    <row r="4206" spans="1:1" x14ac:dyDescent="0.25">
      <c r="A4206" s="710"/>
    </row>
    <row r="4207" spans="1:1" x14ac:dyDescent="0.25">
      <c r="A4207" s="710"/>
    </row>
    <row r="4208" spans="1:1" x14ac:dyDescent="0.25">
      <c r="A4208" s="710"/>
    </row>
    <row r="4209" spans="1:1" x14ac:dyDescent="0.25">
      <c r="A4209" s="710"/>
    </row>
    <row r="4210" spans="1:1" x14ac:dyDescent="0.25">
      <c r="A4210" s="710"/>
    </row>
    <row r="4211" spans="1:1" x14ac:dyDescent="0.25">
      <c r="A4211" s="710"/>
    </row>
    <row r="4212" spans="1:1" x14ac:dyDescent="0.25">
      <c r="A4212" s="710"/>
    </row>
    <row r="4213" spans="1:1" x14ac:dyDescent="0.25">
      <c r="A4213" s="710"/>
    </row>
    <row r="4214" spans="1:1" x14ac:dyDescent="0.25">
      <c r="A4214" s="710"/>
    </row>
    <row r="4215" spans="1:1" x14ac:dyDescent="0.25">
      <c r="A4215" s="710"/>
    </row>
    <row r="4216" spans="1:1" x14ac:dyDescent="0.25">
      <c r="A4216" s="710"/>
    </row>
    <row r="4217" spans="1:1" x14ac:dyDescent="0.25">
      <c r="A4217" s="710"/>
    </row>
    <row r="4218" spans="1:1" x14ac:dyDescent="0.25">
      <c r="A4218" s="710"/>
    </row>
    <row r="4219" spans="1:1" x14ac:dyDescent="0.25">
      <c r="A4219" s="710"/>
    </row>
    <row r="4220" spans="1:1" x14ac:dyDescent="0.25">
      <c r="A4220" s="710"/>
    </row>
    <row r="4221" spans="1:1" x14ac:dyDescent="0.25">
      <c r="A4221" s="710"/>
    </row>
    <row r="4222" spans="1:1" x14ac:dyDescent="0.25">
      <c r="A4222" s="710"/>
    </row>
    <row r="4223" spans="1:1" x14ac:dyDescent="0.25">
      <c r="A4223" s="710"/>
    </row>
    <row r="4224" spans="1:1" x14ac:dyDescent="0.25">
      <c r="A4224" s="710"/>
    </row>
    <row r="4225" spans="1:1" x14ac:dyDescent="0.25">
      <c r="A4225" s="710"/>
    </row>
    <row r="4226" spans="1:1" x14ac:dyDescent="0.25">
      <c r="A4226" s="710"/>
    </row>
    <row r="4227" spans="1:1" x14ac:dyDescent="0.25">
      <c r="A4227" s="710"/>
    </row>
    <row r="4228" spans="1:1" x14ac:dyDescent="0.25">
      <c r="A4228" s="710"/>
    </row>
    <row r="4229" spans="1:1" x14ac:dyDescent="0.25">
      <c r="A4229" s="710"/>
    </row>
    <row r="4230" spans="1:1" x14ac:dyDescent="0.25">
      <c r="A4230" s="710"/>
    </row>
    <row r="4231" spans="1:1" x14ac:dyDescent="0.25">
      <c r="A4231" s="710"/>
    </row>
    <row r="4232" spans="1:1" x14ac:dyDescent="0.25">
      <c r="A4232" s="710"/>
    </row>
    <row r="4233" spans="1:1" x14ac:dyDescent="0.25">
      <c r="A4233" s="710"/>
    </row>
    <row r="4234" spans="1:1" x14ac:dyDescent="0.25">
      <c r="A4234" s="710"/>
    </row>
    <row r="4235" spans="1:1" x14ac:dyDescent="0.25">
      <c r="A4235" s="710"/>
    </row>
    <row r="4236" spans="1:1" x14ac:dyDescent="0.25">
      <c r="A4236" s="710"/>
    </row>
    <row r="4237" spans="1:1" x14ac:dyDescent="0.25">
      <c r="A4237" s="710"/>
    </row>
    <row r="4238" spans="1:1" x14ac:dyDescent="0.25">
      <c r="A4238" s="710"/>
    </row>
    <row r="4239" spans="1:1" x14ac:dyDescent="0.25">
      <c r="A4239" s="710"/>
    </row>
    <row r="4240" spans="1:1" x14ac:dyDescent="0.25">
      <c r="A4240" s="710"/>
    </row>
    <row r="4241" spans="1:1" x14ac:dyDescent="0.25">
      <c r="A4241" s="710"/>
    </row>
    <row r="4242" spans="1:1" x14ac:dyDescent="0.25">
      <c r="A4242" s="710"/>
    </row>
    <row r="4243" spans="1:1" x14ac:dyDescent="0.25">
      <c r="A4243" s="710"/>
    </row>
    <row r="4244" spans="1:1" x14ac:dyDescent="0.25">
      <c r="A4244" s="710"/>
    </row>
    <row r="4245" spans="1:1" x14ac:dyDescent="0.25">
      <c r="A4245" s="710"/>
    </row>
    <row r="4246" spans="1:1" x14ac:dyDescent="0.25">
      <c r="A4246" s="710"/>
    </row>
    <row r="4247" spans="1:1" x14ac:dyDescent="0.25">
      <c r="A4247" s="710"/>
    </row>
    <row r="4248" spans="1:1" x14ac:dyDescent="0.25">
      <c r="A4248" s="710"/>
    </row>
    <row r="4249" spans="1:1" x14ac:dyDescent="0.25">
      <c r="A4249" s="710"/>
    </row>
    <row r="4250" spans="1:1" x14ac:dyDescent="0.25">
      <c r="A4250" s="710"/>
    </row>
    <row r="4251" spans="1:1" x14ac:dyDescent="0.25">
      <c r="A4251" s="710"/>
    </row>
    <row r="4252" spans="1:1" x14ac:dyDescent="0.25">
      <c r="A4252" s="710"/>
    </row>
    <row r="4253" spans="1:1" x14ac:dyDescent="0.25">
      <c r="A4253" s="710"/>
    </row>
    <row r="4254" spans="1:1" x14ac:dyDescent="0.25">
      <c r="A4254" s="710"/>
    </row>
    <row r="4255" spans="1:1" x14ac:dyDescent="0.25">
      <c r="A4255" s="710"/>
    </row>
    <row r="4256" spans="1:1" x14ac:dyDescent="0.25">
      <c r="A4256" s="710"/>
    </row>
    <row r="4257" spans="1:1" x14ac:dyDescent="0.25">
      <c r="A4257" s="710"/>
    </row>
    <row r="4258" spans="1:1" x14ac:dyDescent="0.25">
      <c r="A4258" s="710"/>
    </row>
    <row r="4259" spans="1:1" x14ac:dyDescent="0.25">
      <c r="A4259" s="710"/>
    </row>
    <row r="4260" spans="1:1" x14ac:dyDescent="0.25">
      <c r="A4260" s="710"/>
    </row>
    <row r="4261" spans="1:1" x14ac:dyDescent="0.25">
      <c r="A4261" s="710"/>
    </row>
    <row r="4262" spans="1:1" x14ac:dyDescent="0.25">
      <c r="A4262" s="710"/>
    </row>
    <row r="4263" spans="1:1" x14ac:dyDescent="0.25">
      <c r="A4263" s="710"/>
    </row>
    <row r="4264" spans="1:1" x14ac:dyDescent="0.25">
      <c r="A4264" s="710"/>
    </row>
    <row r="4265" spans="1:1" x14ac:dyDescent="0.25">
      <c r="A4265" s="710"/>
    </row>
    <row r="4266" spans="1:1" x14ac:dyDescent="0.25">
      <c r="A4266" s="710"/>
    </row>
    <row r="4267" spans="1:1" x14ac:dyDescent="0.25">
      <c r="A4267" s="710"/>
    </row>
    <row r="4268" spans="1:1" x14ac:dyDescent="0.25">
      <c r="A4268" s="710"/>
    </row>
    <row r="4269" spans="1:1" x14ac:dyDescent="0.25">
      <c r="A4269" s="710"/>
    </row>
    <row r="4270" spans="1:1" x14ac:dyDescent="0.25">
      <c r="A4270" s="710"/>
    </row>
    <row r="4271" spans="1:1" x14ac:dyDescent="0.25">
      <c r="A4271" s="710"/>
    </row>
    <row r="4272" spans="1:1" x14ac:dyDescent="0.25">
      <c r="A4272" s="710"/>
    </row>
    <row r="4273" spans="1:1" x14ac:dyDescent="0.25">
      <c r="A4273" s="710"/>
    </row>
    <row r="4274" spans="1:1" x14ac:dyDescent="0.25">
      <c r="A4274" s="710"/>
    </row>
    <row r="4275" spans="1:1" x14ac:dyDescent="0.25">
      <c r="A4275" s="710"/>
    </row>
    <row r="4276" spans="1:1" x14ac:dyDescent="0.25">
      <c r="A4276" s="710"/>
    </row>
    <row r="4277" spans="1:1" x14ac:dyDescent="0.25">
      <c r="A4277" s="710"/>
    </row>
    <row r="4278" spans="1:1" x14ac:dyDescent="0.25">
      <c r="A4278" s="710"/>
    </row>
    <row r="4279" spans="1:1" x14ac:dyDescent="0.25">
      <c r="A4279" s="710"/>
    </row>
    <row r="4280" spans="1:1" x14ac:dyDescent="0.25">
      <c r="A4280" s="710"/>
    </row>
    <row r="4281" spans="1:1" x14ac:dyDescent="0.25">
      <c r="A4281" s="710"/>
    </row>
    <row r="4282" spans="1:1" x14ac:dyDescent="0.25">
      <c r="A4282" s="710"/>
    </row>
    <row r="4283" spans="1:1" x14ac:dyDescent="0.25">
      <c r="A4283" s="710"/>
    </row>
    <row r="4284" spans="1:1" x14ac:dyDescent="0.25">
      <c r="A4284" s="710"/>
    </row>
    <row r="4285" spans="1:1" x14ac:dyDescent="0.25">
      <c r="A4285" s="710"/>
    </row>
    <row r="4286" spans="1:1" x14ac:dyDescent="0.25">
      <c r="A4286" s="710"/>
    </row>
    <row r="4287" spans="1:1" x14ac:dyDescent="0.25">
      <c r="A4287" s="710"/>
    </row>
    <row r="4288" spans="1:1" x14ac:dyDescent="0.25">
      <c r="A4288" s="710"/>
    </row>
    <row r="4289" spans="1:1" x14ac:dyDescent="0.25">
      <c r="A4289" s="710"/>
    </row>
    <row r="4290" spans="1:1" x14ac:dyDescent="0.25">
      <c r="A4290" s="710"/>
    </row>
    <row r="4291" spans="1:1" x14ac:dyDescent="0.25">
      <c r="A4291" s="710"/>
    </row>
    <row r="4292" spans="1:1" x14ac:dyDescent="0.25">
      <c r="A4292" s="710"/>
    </row>
    <row r="4293" spans="1:1" x14ac:dyDescent="0.25">
      <c r="A4293" s="710"/>
    </row>
    <row r="4294" spans="1:1" x14ac:dyDescent="0.25">
      <c r="A4294" s="710"/>
    </row>
    <row r="4295" spans="1:1" x14ac:dyDescent="0.25">
      <c r="A4295" s="710"/>
    </row>
    <row r="4296" spans="1:1" x14ac:dyDescent="0.25">
      <c r="A4296" s="710"/>
    </row>
    <row r="4297" spans="1:1" x14ac:dyDescent="0.25">
      <c r="A4297" s="710"/>
    </row>
    <row r="4298" spans="1:1" x14ac:dyDescent="0.25">
      <c r="A4298" s="710"/>
    </row>
    <row r="4299" spans="1:1" x14ac:dyDescent="0.25">
      <c r="A4299" s="710"/>
    </row>
    <row r="4300" spans="1:1" x14ac:dyDescent="0.25">
      <c r="A4300" s="710"/>
    </row>
    <row r="4301" spans="1:1" x14ac:dyDescent="0.25">
      <c r="A4301" s="710"/>
    </row>
    <row r="4302" spans="1:1" x14ac:dyDescent="0.25">
      <c r="A4302" s="710"/>
    </row>
    <row r="4303" spans="1:1" x14ac:dyDescent="0.25">
      <c r="A4303" s="710"/>
    </row>
    <row r="4304" spans="1:1" x14ac:dyDescent="0.25">
      <c r="A4304" s="710"/>
    </row>
    <row r="4305" spans="1:1" x14ac:dyDescent="0.25">
      <c r="A4305" s="710"/>
    </row>
    <row r="4306" spans="1:1" x14ac:dyDescent="0.25">
      <c r="A4306" s="710"/>
    </row>
    <row r="4307" spans="1:1" x14ac:dyDescent="0.25">
      <c r="A4307" s="710"/>
    </row>
    <row r="4308" spans="1:1" x14ac:dyDescent="0.25">
      <c r="A4308" s="710"/>
    </row>
    <row r="4309" spans="1:1" x14ac:dyDescent="0.25">
      <c r="A4309" s="710"/>
    </row>
    <row r="4310" spans="1:1" x14ac:dyDescent="0.25">
      <c r="A4310" s="710"/>
    </row>
    <row r="4311" spans="1:1" x14ac:dyDescent="0.25">
      <c r="A4311" s="710"/>
    </row>
    <row r="4312" spans="1:1" x14ac:dyDescent="0.25">
      <c r="A4312" s="710"/>
    </row>
    <row r="4313" spans="1:1" x14ac:dyDescent="0.25">
      <c r="A4313" s="710"/>
    </row>
    <row r="4314" spans="1:1" x14ac:dyDescent="0.25">
      <c r="A4314" s="710"/>
    </row>
    <row r="4315" spans="1:1" x14ac:dyDescent="0.25">
      <c r="A4315" s="710"/>
    </row>
    <row r="4316" spans="1:1" x14ac:dyDescent="0.25">
      <c r="A4316" s="710"/>
    </row>
    <row r="4317" spans="1:1" x14ac:dyDescent="0.25">
      <c r="A4317" s="710"/>
    </row>
    <row r="4318" spans="1:1" x14ac:dyDescent="0.25">
      <c r="A4318" s="710"/>
    </row>
    <row r="4319" spans="1:1" x14ac:dyDescent="0.25">
      <c r="A4319" s="710"/>
    </row>
    <row r="4320" spans="1:1" x14ac:dyDescent="0.25">
      <c r="A4320" s="710"/>
    </row>
    <row r="4321" spans="1:1" x14ac:dyDescent="0.25">
      <c r="A4321" s="710"/>
    </row>
    <row r="4322" spans="1:1" x14ac:dyDescent="0.25">
      <c r="A4322" s="710"/>
    </row>
    <row r="4323" spans="1:1" x14ac:dyDescent="0.25">
      <c r="A4323" s="710"/>
    </row>
    <row r="4324" spans="1:1" x14ac:dyDescent="0.25">
      <c r="A4324" s="710"/>
    </row>
    <row r="4325" spans="1:1" x14ac:dyDescent="0.25">
      <c r="A4325" s="710"/>
    </row>
    <row r="4326" spans="1:1" x14ac:dyDescent="0.25">
      <c r="A4326" s="710"/>
    </row>
    <row r="4327" spans="1:1" x14ac:dyDescent="0.25">
      <c r="A4327" s="710"/>
    </row>
    <row r="4328" spans="1:1" x14ac:dyDescent="0.25">
      <c r="A4328" s="710"/>
    </row>
    <row r="4329" spans="1:1" x14ac:dyDescent="0.25">
      <c r="A4329" s="710"/>
    </row>
    <row r="4330" spans="1:1" x14ac:dyDescent="0.25">
      <c r="A4330" s="710"/>
    </row>
    <row r="4331" spans="1:1" x14ac:dyDescent="0.25">
      <c r="A4331" s="710"/>
    </row>
    <row r="4332" spans="1:1" x14ac:dyDescent="0.25">
      <c r="A4332" s="710"/>
    </row>
    <row r="4333" spans="1:1" x14ac:dyDescent="0.25">
      <c r="A4333" s="710"/>
    </row>
    <row r="4334" spans="1:1" x14ac:dyDescent="0.25">
      <c r="A4334" s="710"/>
    </row>
    <row r="4335" spans="1:1" x14ac:dyDescent="0.25">
      <c r="A4335" s="710"/>
    </row>
    <row r="4336" spans="1:1" x14ac:dyDescent="0.25">
      <c r="A4336" s="710"/>
    </row>
    <row r="4337" spans="1:1" x14ac:dyDescent="0.25">
      <c r="A4337" s="710"/>
    </row>
    <row r="4338" spans="1:1" x14ac:dyDescent="0.25">
      <c r="A4338" s="710"/>
    </row>
    <row r="4339" spans="1:1" x14ac:dyDescent="0.25">
      <c r="A4339" s="710"/>
    </row>
    <row r="4340" spans="1:1" x14ac:dyDescent="0.25">
      <c r="A4340" s="710"/>
    </row>
    <row r="4341" spans="1:1" x14ac:dyDescent="0.25">
      <c r="A4341" s="710"/>
    </row>
    <row r="4342" spans="1:1" x14ac:dyDescent="0.25">
      <c r="A4342" s="710"/>
    </row>
    <row r="4343" spans="1:1" x14ac:dyDescent="0.25">
      <c r="A4343" s="710"/>
    </row>
    <row r="4344" spans="1:1" x14ac:dyDescent="0.25">
      <c r="A4344" s="710"/>
    </row>
    <row r="4345" spans="1:1" x14ac:dyDescent="0.25">
      <c r="A4345" s="710"/>
    </row>
    <row r="4346" spans="1:1" x14ac:dyDescent="0.25">
      <c r="A4346" s="710"/>
    </row>
    <row r="4347" spans="1:1" x14ac:dyDescent="0.25">
      <c r="A4347" s="710"/>
    </row>
    <row r="4348" spans="1:1" x14ac:dyDescent="0.25">
      <c r="A4348" s="710"/>
    </row>
    <row r="4349" spans="1:1" x14ac:dyDescent="0.25">
      <c r="A4349" s="710"/>
    </row>
    <row r="4350" spans="1:1" x14ac:dyDescent="0.25">
      <c r="A4350" s="710"/>
    </row>
    <row r="4351" spans="1:1" x14ac:dyDescent="0.25">
      <c r="A4351" s="710"/>
    </row>
    <row r="4352" spans="1:1" x14ac:dyDescent="0.25">
      <c r="A4352" s="710"/>
    </row>
    <row r="4353" spans="1:1" x14ac:dyDescent="0.25">
      <c r="A4353" s="710"/>
    </row>
    <row r="4354" spans="1:1" x14ac:dyDescent="0.25">
      <c r="A4354" s="710"/>
    </row>
    <row r="4355" spans="1:1" x14ac:dyDescent="0.25">
      <c r="A4355" s="710"/>
    </row>
    <row r="4356" spans="1:1" x14ac:dyDescent="0.25">
      <c r="A4356" s="710"/>
    </row>
    <row r="4357" spans="1:1" x14ac:dyDescent="0.25">
      <c r="A4357" s="710"/>
    </row>
    <row r="4358" spans="1:1" x14ac:dyDescent="0.25">
      <c r="A4358" s="710"/>
    </row>
    <row r="4359" spans="1:1" x14ac:dyDescent="0.25">
      <c r="A4359" s="710"/>
    </row>
    <row r="4360" spans="1:1" x14ac:dyDescent="0.25">
      <c r="A4360" s="710"/>
    </row>
    <row r="4361" spans="1:1" x14ac:dyDescent="0.25">
      <c r="A4361" s="710"/>
    </row>
    <row r="4362" spans="1:1" x14ac:dyDescent="0.25">
      <c r="A4362" s="710"/>
    </row>
    <row r="4363" spans="1:1" x14ac:dyDescent="0.25">
      <c r="A4363" s="710"/>
    </row>
    <row r="4364" spans="1:1" x14ac:dyDescent="0.25">
      <c r="A4364" s="710"/>
    </row>
    <row r="4365" spans="1:1" x14ac:dyDescent="0.25">
      <c r="A4365" s="710"/>
    </row>
    <row r="4366" spans="1:1" x14ac:dyDescent="0.25">
      <c r="A4366" s="710"/>
    </row>
    <row r="4367" spans="1:1" x14ac:dyDescent="0.25">
      <c r="A4367" s="710"/>
    </row>
    <row r="4368" spans="1:1" x14ac:dyDescent="0.25">
      <c r="A4368" s="710"/>
    </row>
    <row r="4369" spans="1:1" x14ac:dyDescent="0.25">
      <c r="A4369" s="710"/>
    </row>
    <row r="4370" spans="1:1" x14ac:dyDescent="0.25">
      <c r="A4370" s="710"/>
    </row>
    <row r="4371" spans="1:1" x14ac:dyDescent="0.25">
      <c r="A4371" s="710"/>
    </row>
    <row r="4372" spans="1:1" x14ac:dyDescent="0.25">
      <c r="A4372" s="710"/>
    </row>
    <row r="4373" spans="1:1" x14ac:dyDescent="0.25">
      <c r="A4373" s="710"/>
    </row>
    <row r="4374" spans="1:1" x14ac:dyDescent="0.25">
      <c r="A4374" s="710"/>
    </row>
    <row r="4375" spans="1:1" x14ac:dyDescent="0.25">
      <c r="A4375" s="710"/>
    </row>
    <row r="4376" spans="1:1" x14ac:dyDescent="0.25">
      <c r="A4376" s="710"/>
    </row>
    <row r="4377" spans="1:1" x14ac:dyDescent="0.25">
      <c r="A4377" s="710"/>
    </row>
    <row r="4378" spans="1:1" x14ac:dyDescent="0.25">
      <c r="A4378" s="710"/>
    </row>
    <row r="4379" spans="1:1" x14ac:dyDescent="0.25">
      <c r="A4379" s="710"/>
    </row>
    <row r="4380" spans="1:1" x14ac:dyDescent="0.25">
      <c r="A4380" s="710"/>
    </row>
    <row r="4381" spans="1:1" x14ac:dyDescent="0.25">
      <c r="A4381" s="710"/>
    </row>
    <row r="4382" spans="1:1" x14ac:dyDescent="0.25">
      <c r="A4382" s="710"/>
    </row>
    <row r="4383" spans="1:1" x14ac:dyDescent="0.25">
      <c r="A4383" s="710"/>
    </row>
    <row r="4384" spans="1:1" x14ac:dyDescent="0.25">
      <c r="A4384" s="710"/>
    </row>
    <row r="4385" spans="1:1" x14ac:dyDescent="0.25">
      <c r="A4385" s="710"/>
    </row>
    <row r="4386" spans="1:1" x14ac:dyDescent="0.25">
      <c r="A4386" s="710"/>
    </row>
    <row r="4387" spans="1:1" x14ac:dyDescent="0.25">
      <c r="A4387" s="710"/>
    </row>
    <row r="4388" spans="1:1" x14ac:dyDescent="0.25">
      <c r="A4388" s="710"/>
    </row>
    <row r="4389" spans="1:1" x14ac:dyDescent="0.25">
      <c r="A4389" s="710"/>
    </row>
    <row r="4390" spans="1:1" x14ac:dyDescent="0.25">
      <c r="A4390" s="710"/>
    </row>
    <row r="4391" spans="1:1" x14ac:dyDescent="0.25">
      <c r="A4391" s="710"/>
    </row>
    <row r="4392" spans="1:1" x14ac:dyDescent="0.25">
      <c r="A4392" s="710"/>
    </row>
    <row r="4393" spans="1:1" x14ac:dyDescent="0.25">
      <c r="A4393" s="710"/>
    </row>
    <row r="4394" spans="1:1" x14ac:dyDescent="0.25">
      <c r="A4394" s="710"/>
    </row>
    <row r="4395" spans="1:1" x14ac:dyDescent="0.25">
      <c r="A4395" s="710"/>
    </row>
    <row r="4396" spans="1:1" x14ac:dyDescent="0.25">
      <c r="A4396" s="710"/>
    </row>
    <row r="4397" spans="1:1" x14ac:dyDescent="0.25">
      <c r="A4397" s="710"/>
    </row>
    <row r="4398" spans="1:1" x14ac:dyDescent="0.25">
      <c r="A4398" s="710"/>
    </row>
    <row r="4399" spans="1:1" x14ac:dyDescent="0.25">
      <c r="A4399" s="710"/>
    </row>
    <row r="4400" spans="1:1" x14ac:dyDescent="0.25">
      <c r="A4400" s="710"/>
    </row>
    <row r="4401" spans="1:1" x14ac:dyDescent="0.25">
      <c r="A4401" s="710"/>
    </row>
    <row r="4402" spans="1:1" x14ac:dyDescent="0.25">
      <c r="A4402" s="710"/>
    </row>
    <row r="4403" spans="1:1" x14ac:dyDescent="0.25">
      <c r="A4403" s="710"/>
    </row>
    <row r="4404" spans="1:1" x14ac:dyDescent="0.25">
      <c r="A4404" s="710"/>
    </row>
    <row r="4405" spans="1:1" x14ac:dyDescent="0.25">
      <c r="A4405" s="710"/>
    </row>
    <row r="4406" spans="1:1" x14ac:dyDescent="0.25">
      <c r="A4406" s="710"/>
    </row>
    <row r="4407" spans="1:1" x14ac:dyDescent="0.25">
      <c r="A4407" s="710"/>
    </row>
    <row r="4408" spans="1:1" x14ac:dyDescent="0.25">
      <c r="A4408" s="710"/>
    </row>
    <row r="4409" spans="1:1" x14ac:dyDescent="0.25">
      <c r="A4409" s="710"/>
    </row>
    <row r="4410" spans="1:1" x14ac:dyDescent="0.25">
      <c r="A4410" s="710"/>
    </row>
    <row r="4411" spans="1:1" x14ac:dyDescent="0.25">
      <c r="A4411" s="710"/>
    </row>
    <row r="4412" spans="1:1" x14ac:dyDescent="0.25">
      <c r="A4412" s="710"/>
    </row>
    <row r="4413" spans="1:1" x14ac:dyDescent="0.25">
      <c r="A4413" s="710"/>
    </row>
    <row r="4414" spans="1:1" x14ac:dyDescent="0.25">
      <c r="A4414" s="710"/>
    </row>
    <row r="4415" spans="1:1" x14ac:dyDescent="0.25">
      <c r="A4415" s="710"/>
    </row>
    <row r="4416" spans="1:1" x14ac:dyDescent="0.25">
      <c r="A4416" s="710"/>
    </row>
    <row r="4417" spans="1:1" x14ac:dyDescent="0.25">
      <c r="A4417" s="710"/>
    </row>
    <row r="4418" spans="1:1" x14ac:dyDescent="0.25">
      <c r="A4418" s="710"/>
    </row>
    <row r="4419" spans="1:1" x14ac:dyDescent="0.25">
      <c r="A4419" s="710"/>
    </row>
    <row r="4420" spans="1:1" x14ac:dyDescent="0.25">
      <c r="A4420" s="710"/>
    </row>
    <row r="4421" spans="1:1" x14ac:dyDescent="0.25">
      <c r="A4421" s="710"/>
    </row>
    <row r="4422" spans="1:1" x14ac:dyDescent="0.25">
      <c r="A4422" s="710"/>
    </row>
    <row r="4423" spans="1:1" x14ac:dyDescent="0.25">
      <c r="A4423" s="710"/>
    </row>
    <row r="4424" spans="1:1" x14ac:dyDescent="0.25">
      <c r="A4424" s="710"/>
    </row>
    <row r="4425" spans="1:1" x14ac:dyDescent="0.25">
      <c r="A4425" s="710"/>
    </row>
    <row r="4426" spans="1:1" x14ac:dyDescent="0.25">
      <c r="A4426" s="710"/>
    </row>
    <row r="4427" spans="1:1" x14ac:dyDescent="0.25">
      <c r="A4427" s="710"/>
    </row>
    <row r="4428" spans="1:1" x14ac:dyDescent="0.25">
      <c r="A4428" s="710"/>
    </row>
    <row r="4429" spans="1:1" x14ac:dyDescent="0.25">
      <c r="A4429" s="710"/>
    </row>
    <row r="4430" spans="1:1" x14ac:dyDescent="0.25">
      <c r="A4430" s="710"/>
    </row>
    <row r="4431" spans="1:1" x14ac:dyDescent="0.25">
      <c r="A4431" s="710"/>
    </row>
    <row r="4432" spans="1:1" x14ac:dyDescent="0.25">
      <c r="A4432" s="710"/>
    </row>
    <row r="4433" spans="1:1" x14ac:dyDescent="0.25">
      <c r="A4433" s="710"/>
    </row>
    <row r="4434" spans="1:1" x14ac:dyDescent="0.25">
      <c r="A4434" s="710"/>
    </row>
    <row r="4435" spans="1:1" x14ac:dyDescent="0.25">
      <c r="A4435" s="710"/>
    </row>
    <row r="4436" spans="1:1" x14ac:dyDescent="0.25">
      <c r="A4436" s="710"/>
    </row>
    <row r="4437" spans="1:1" x14ac:dyDescent="0.25">
      <c r="A4437" s="710"/>
    </row>
    <row r="4438" spans="1:1" x14ac:dyDescent="0.25">
      <c r="A4438" s="710"/>
    </row>
    <row r="4439" spans="1:1" x14ac:dyDescent="0.25">
      <c r="A4439" s="710"/>
    </row>
    <row r="4440" spans="1:1" x14ac:dyDescent="0.25">
      <c r="A4440" s="710"/>
    </row>
    <row r="4441" spans="1:1" x14ac:dyDescent="0.25">
      <c r="A4441" s="710"/>
    </row>
    <row r="4442" spans="1:1" x14ac:dyDescent="0.25">
      <c r="A4442" s="710"/>
    </row>
    <row r="4443" spans="1:1" x14ac:dyDescent="0.25">
      <c r="A4443" s="710"/>
    </row>
    <row r="4444" spans="1:1" x14ac:dyDescent="0.25">
      <c r="A4444" s="710"/>
    </row>
    <row r="4445" spans="1:1" x14ac:dyDescent="0.25">
      <c r="A4445" s="710"/>
    </row>
    <row r="4446" spans="1:1" x14ac:dyDescent="0.25">
      <c r="A4446" s="710"/>
    </row>
    <row r="4447" spans="1:1" x14ac:dyDescent="0.25">
      <c r="A4447" s="710"/>
    </row>
    <row r="4448" spans="1:1" x14ac:dyDescent="0.25">
      <c r="A4448" s="710"/>
    </row>
    <row r="4449" spans="1:1" x14ac:dyDescent="0.25">
      <c r="A4449" s="710"/>
    </row>
    <row r="4450" spans="1:1" x14ac:dyDescent="0.25">
      <c r="A4450" s="710"/>
    </row>
    <row r="4451" spans="1:1" x14ac:dyDescent="0.25">
      <c r="A4451" s="710"/>
    </row>
    <row r="4452" spans="1:1" x14ac:dyDescent="0.25">
      <c r="A4452" s="710"/>
    </row>
    <row r="4453" spans="1:1" x14ac:dyDescent="0.25">
      <c r="A4453" s="710"/>
    </row>
    <row r="4454" spans="1:1" x14ac:dyDescent="0.25">
      <c r="A4454" s="710"/>
    </row>
    <row r="4455" spans="1:1" x14ac:dyDescent="0.25">
      <c r="A4455" s="710"/>
    </row>
    <row r="4456" spans="1:1" x14ac:dyDescent="0.25">
      <c r="A4456" s="710"/>
    </row>
    <row r="4457" spans="1:1" x14ac:dyDescent="0.25">
      <c r="A4457" s="710"/>
    </row>
    <row r="4458" spans="1:1" x14ac:dyDescent="0.25">
      <c r="A4458" s="710"/>
    </row>
    <row r="4459" spans="1:1" x14ac:dyDescent="0.25">
      <c r="A4459" s="710"/>
    </row>
    <row r="4460" spans="1:1" x14ac:dyDescent="0.25">
      <c r="A4460" s="710"/>
    </row>
    <row r="4461" spans="1:1" x14ac:dyDescent="0.25">
      <c r="A4461" s="710"/>
    </row>
    <row r="4462" spans="1:1" x14ac:dyDescent="0.25">
      <c r="A4462" s="710"/>
    </row>
    <row r="4463" spans="1:1" x14ac:dyDescent="0.25">
      <c r="A4463" s="710"/>
    </row>
    <row r="4464" spans="1:1" x14ac:dyDescent="0.25">
      <c r="A4464" s="710"/>
    </row>
    <row r="4465" spans="1:1" x14ac:dyDescent="0.25">
      <c r="A4465" s="710"/>
    </row>
    <row r="4466" spans="1:1" x14ac:dyDescent="0.25">
      <c r="A4466" s="710"/>
    </row>
    <row r="4467" spans="1:1" x14ac:dyDescent="0.25">
      <c r="A4467" s="710"/>
    </row>
    <row r="4468" spans="1:1" x14ac:dyDescent="0.25">
      <c r="A4468" s="710"/>
    </row>
    <row r="4469" spans="1:1" x14ac:dyDescent="0.25">
      <c r="A4469" s="710"/>
    </row>
    <row r="4470" spans="1:1" x14ac:dyDescent="0.25">
      <c r="A4470" s="710"/>
    </row>
    <row r="4471" spans="1:1" x14ac:dyDescent="0.25">
      <c r="A4471" s="710"/>
    </row>
    <row r="4472" spans="1:1" x14ac:dyDescent="0.25">
      <c r="A4472" s="710"/>
    </row>
    <row r="4473" spans="1:1" x14ac:dyDescent="0.25">
      <c r="A4473" s="710"/>
    </row>
    <row r="4474" spans="1:1" x14ac:dyDescent="0.25">
      <c r="A4474" s="710"/>
    </row>
    <row r="4475" spans="1:1" x14ac:dyDescent="0.25">
      <c r="A4475" s="710"/>
    </row>
    <row r="4476" spans="1:1" x14ac:dyDescent="0.25">
      <c r="A4476" s="710"/>
    </row>
    <row r="4477" spans="1:1" x14ac:dyDescent="0.25">
      <c r="A4477" s="710"/>
    </row>
    <row r="4478" spans="1:1" x14ac:dyDescent="0.25">
      <c r="A4478" s="710"/>
    </row>
    <row r="4479" spans="1:1" x14ac:dyDescent="0.25">
      <c r="A4479" s="710"/>
    </row>
    <row r="4480" spans="1:1" x14ac:dyDescent="0.25">
      <c r="A4480" s="710"/>
    </row>
  </sheetData>
  <sheetProtection sheet="1"/>
  <mergeCells count="3">
    <mergeCell ref="A6:I6"/>
    <mergeCell ref="D9:H9"/>
    <mergeCell ref="C9:C10"/>
  </mergeCells>
  <phoneticPr fontId="0" type="noConversion"/>
  <pageMargins left="0.4" right="0.4" top="0.83" bottom="0.85" header="0.3" footer="0.6"/>
  <pageSetup scale="73" orientation="landscape" blackAndWhite="1" r:id="rId1"/>
  <headerFooter alignWithMargins="0">
    <oddHeader xml:space="preserve">&amp;RState of Kansas
Township
</oddHeader>
    <oddFooter>&amp;CPage No. 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C9DC4551578746BB2D5CB3C7D70B0F" ma:contentTypeVersion="5" ma:contentTypeDescription="Create a new document." ma:contentTypeScope="" ma:versionID="f65cf4c426069482c0b6b078f7fc405b">
  <xsd:schema xmlns:xsd="http://www.w3.org/2001/XMLSchema" xmlns:xs="http://www.w3.org/2001/XMLSchema" xmlns:p="http://schemas.microsoft.com/office/2006/metadata/properties" xmlns:ns2="1895758b-fcac-4748-aa0a-5720d2d7d486" targetNamespace="http://schemas.microsoft.com/office/2006/metadata/properties" ma:root="true" ma:fieldsID="2a18d949ea3a3b4bc39022365f5ecb7f" ns2:_="">
    <xsd:import namespace="1895758b-fcac-4748-aa0a-5720d2d7d48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5758b-fcac-4748-aa0a-5720d2d7d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24D720-D95C-4049-9A0D-1094D4196891}"/>
</file>

<file path=customXml/itemProps2.xml><?xml version="1.0" encoding="utf-8"?>
<ds:datastoreItem xmlns:ds="http://schemas.openxmlformats.org/officeDocument/2006/customXml" ds:itemID="{192B7540-863D-4051-85A9-01B7F074E665}"/>
</file>

<file path=customXml/itemProps3.xml><?xml version="1.0" encoding="utf-8"?>
<ds:datastoreItem xmlns:ds="http://schemas.openxmlformats.org/officeDocument/2006/customXml" ds:itemID="{5651F943-EF89-4435-8E91-5510BC3B84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12</vt:i4>
      </vt:variant>
    </vt:vector>
  </HeadingPairs>
  <TitlesOfParts>
    <vt:vector size="49" baseType="lpstr">
      <vt:lpstr>instructions</vt:lpstr>
      <vt:lpstr>inputPrYr</vt:lpstr>
      <vt:lpstr>inputOth</vt:lpstr>
      <vt:lpstr>inputBudSum</vt:lpstr>
      <vt:lpstr>CPA Summary</vt:lpstr>
      <vt:lpstr>cert</vt:lpstr>
      <vt:lpstr>Signed 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Notice of Budget Pub</vt:lpstr>
      <vt:lpstr>nhood</vt:lpstr>
      <vt:lpstr>Notice of Vote</vt:lpstr>
      <vt:lpstr>Resolution</vt:lpstr>
      <vt:lpstr>Signed Resolution</vt:lpstr>
      <vt:lpstr>MV Estimate</vt:lpstr>
      <vt:lpstr>Tab A</vt:lpstr>
      <vt:lpstr>Tab B</vt:lpstr>
      <vt:lpstr>Tab C</vt:lpstr>
      <vt:lpstr>Tab D</vt:lpstr>
      <vt:lpstr>Tab E</vt:lpstr>
      <vt:lpstr>Mill Rate Computation</vt:lpstr>
      <vt:lpstr>Helpful Links</vt:lpstr>
      <vt:lpstr>legend</vt:lpstr>
      <vt:lpstr>cert!Print_Area</vt:lpstr>
      <vt:lpstr>'CPA Summary'!Print_Area</vt:lpstr>
      <vt:lpstr>'DebtSvs-Library'!Print_Area</vt:lpstr>
      <vt:lpstr>gen!Print_Area</vt:lpstr>
      <vt:lpstr>inputPrYr!Print_Area</vt:lpstr>
      <vt:lpstr>levypage10!Print_Area</vt:lpstr>
      <vt:lpstr>levypage11!Print_Area</vt:lpstr>
      <vt:lpstr>levypage9!Print_Area</vt:lpstr>
      <vt:lpstr>'Library Grant'!Print_Area</vt:lpstr>
      <vt:lpstr>Resolution!Print_Area</vt:lpstr>
      <vt:lpstr>road!Print_Area</vt:lpstr>
      <vt:lpstr>summ!Print_Area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Stacy Jaramillo</cp:lastModifiedBy>
  <cp:lastPrinted>2019-08-22T16:24:51Z</cp:lastPrinted>
  <dcterms:created xsi:type="dcterms:W3CDTF">1998-08-26T16:30:41Z</dcterms:created>
  <dcterms:modified xsi:type="dcterms:W3CDTF">2019-11-08T20:12:12Z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0x010100DAC9DC4551578746BB2D5CB3C7D70B0F</vt:lpwstr>
  </property>
</Properties>
</file>