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Stacy.Cooper\Desktop\2020 Budgets to Review\Chase County\"/>
    </mc:Choice>
  </mc:AlternateContent>
  <xr:revisionPtr revIDLastSave="0" documentId="10_ncr:100000_{B2006550-B60C-4CE2-8D22-1D024A86C2B5}" xr6:coauthVersionLast="31" xr6:coauthVersionMax="31" xr10:uidLastSave="{00000000-0000-0000-0000-000000000000}"/>
  <bookViews>
    <workbookView xWindow="0" yWindow="0" windowWidth="28800" windowHeight="11925" tabRatio="858" firstSheet="3" activeTab="5" xr2:uid="{00000000-000D-0000-FFFF-FFFF00000000}"/>
  </bookViews>
  <sheets>
    <sheet name="Instructions" sheetId="1" r:id="rId1"/>
    <sheet name="inputPrYr" sheetId="2" r:id="rId2"/>
    <sheet name="inputOth" sheetId="19" r:id="rId3"/>
    <sheet name="inputBudSum" sheetId="35" r:id="rId4"/>
    <sheet name="CPA Summary" sheetId="43" r:id="rId5"/>
    <sheet name="cert" sheetId="3" r:id="rId6"/>
    <sheet name="Comp1" sheetId="16" r:id="rId7"/>
    <sheet name="Comp2" sheetId="44" r:id="rId8"/>
    <sheet name="Comp3" sheetId="45" r:id="rId9"/>
    <sheet name="Mvalloc" sheetId="5" r:id="rId10"/>
    <sheet name="Transfers" sheetId="24" r:id="rId11"/>
    <sheet name="TransferStatutes" sheetId="28" r:id="rId12"/>
    <sheet name="debt" sheetId="14" r:id="rId13"/>
    <sheet name="lpform" sheetId="15" r:id="rId14"/>
    <sheet name="Library Grant" sheetId="38" r:id="rId15"/>
    <sheet name="general" sheetId="7" r:id="rId16"/>
    <sheet name="general-detail" sheetId="27" r:id="rId17"/>
    <sheet name="DebtSvs-Library" sheetId="20" r:id="rId18"/>
    <sheet name="levy page9" sheetId="8" r:id="rId19"/>
    <sheet name="levy page10" sheetId="9" r:id="rId20"/>
    <sheet name="SpecHwy" sheetId="10" r:id="rId21"/>
    <sheet name="Tourism-Water" sheetId="11" r:id="rId22"/>
    <sheet name="Sewer" sheetId="12" r:id="rId23"/>
    <sheet name="Sinnolevy14" sheetId="21" r:id="rId24"/>
    <sheet name="nonbud" sheetId="23" r:id="rId25"/>
    <sheet name="NonBudFunds" sheetId="29" r:id="rId26"/>
    <sheet name="summ" sheetId="13" r:id="rId27"/>
    <sheet name="Nhood" sheetId="26" r:id="rId28"/>
    <sheet name="Tab A" sheetId="30" r:id="rId29"/>
    <sheet name="Tab B" sheetId="31" r:id="rId30"/>
    <sheet name="Tab C" sheetId="32" r:id="rId31"/>
    <sheet name="Tab D" sheetId="33" r:id="rId32"/>
    <sheet name="Tab E" sheetId="34" r:id="rId33"/>
    <sheet name="Mill Rate Computation" sheetId="36" r:id="rId34"/>
    <sheet name="Helpful Links" sheetId="37" r:id="rId35"/>
    <sheet name="Legend" sheetId="22" r:id="rId36"/>
  </sheets>
  <definedNames>
    <definedName name="_xlnm.Print_Area" localSheetId="5">cert!$A$1:$F$60</definedName>
    <definedName name="_xlnm.Print_Area" localSheetId="6">Comp1!$A$1:$J$51</definedName>
    <definedName name="_xlnm.Print_Area" localSheetId="8">Comp3!$A$1:$J$65</definedName>
    <definedName name="_xlnm.Print_Area" localSheetId="4">'CPA Summary'!$A$1:$A$47</definedName>
    <definedName name="_xlnm.Print_Area" localSheetId="17">'DebtSvs-Library'!$B$1:$F$85</definedName>
    <definedName name="_xlnm.Print_Area" localSheetId="15">general!$B$1:$E$78</definedName>
    <definedName name="_xlnm.Print_Area" localSheetId="1">inputPrYr!$A$1:$E$63</definedName>
    <definedName name="_xlnm.Print_Area" localSheetId="19">'levy page10'!$A$1:$F$85</definedName>
    <definedName name="_xlnm.Print_Area" localSheetId="18">'levy page9'!$A$1:$F$85</definedName>
    <definedName name="_xlnm.Print_Area" localSheetId="14">'Library Grant'!$A$1:$J$40</definedName>
    <definedName name="_xlnm.Print_Area" localSheetId="13">lpform!$B$1:$I$22</definedName>
    <definedName name="_xlnm.Print_Area" localSheetId="33">'Mill Rate Computation'!$B$4:$K$150</definedName>
    <definedName name="_xlnm.Print_Area" localSheetId="26">summ!$A$1:$H$51</definedName>
  </definedNames>
  <calcPr calcId="179017"/>
</workbook>
</file>

<file path=xl/calcChain.xml><?xml version="1.0" encoding="utf-8"?>
<calcChain xmlns="http://schemas.openxmlformats.org/spreadsheetml/2006/main">
  <c r="F30" i="14" l="1"/>
  <c r="F15" i="14"/>
  <c r="F31" i="14" s="1"/>
  <c r="J16" i="44" l="1"/>
  <c r="J1" i="45"/>
  <c r="C30" i="45" s="1"/>
  <c r="C1" i="45"/>
  <c r="K1" i="44"/>
  <c r="B44" i="44" s="1"/>
  <c r="C1" i="44"/>
  <c r="E43" i="44"/>
  <c r="G43" i="44"/>
  <c r="J44" i="44" s="1"/>
  <c r="E37" i="44"/>
  <c r="G37" i="44" s="1"/>
  <c r="J38" i="44" s="1"/>
  <c r="E31" i="44"/>
  <c r="G31" i="44"/>
  <c r="J32" i="44" s="1"/>
  <c r="G27" i="16"/>
  <c r="C35" i="45"/>
  <c r="J40" i="16"/>
  <c r="J7" i="44"/>
  <c r="E34" i="16"/>
  <c r="G25" i="16"/>
  <c r="E22" i="16"/>
  <c r="E21" i="16"/>
  <c r="E20" i="16"/>
  <c r="G23" i="16" s="1"/>
  <c r="E16" i="16"/>
  <c r="G17" i="16" s="1"/>
  <c r="E15" i="16"/>
  <c r="G12" i="16"/>
  <c r="J1" i="16"/>
  <c r="B12" i="16" s="1"/>
  <c r="C1" i="16"/>
  <c r="B26" i="44"/>
  <c r="B29" i="44"/>
  <c r="B30" i="44"/>
  <c r="B35" i="44"/>
  <c r="B38" i="44"/>
  <c r="J57" i="45"/>
  <c r="H51" i="45"/>
  <c r="H34" i="45"/>
  <c r="H35" i="45"/>
  <c r="J32" i="45"/>
  <c r="J31" i="45"/>
  <c r="J30" i="45"/>
  <c r="J13" i="45"/>
  <c r="E13" i="26"/>
  <c r="E60" i="9" s="1"/>
  <c r="E12" i="26"/>
  <c r="E19" i="9"/>
  <c r="E11" i="26"/>
  <c r="E60" i="8" s="1"/>
  <c r="E10" i="26"/>
  <c r="E19" i="8" s="1"/>
  <c r="E8" i="26"/>
  <c r="E19" i="20" s="1"/>
  <c r="F24" i="3"/>
  <c r="H26" i="5"/>
  <c r="G24" i="5"/>
  <c r="G36" i="5" s="1"/>
  <c r="D63" i="27"/>
  <c r="C63" i="27"/>
  <c r="B63" i="27"/>
  <c r="D56" i="27"/>
  <c r="C56" i="27"/>
  <c r="B56" i="27"/>
  <c r="D49" i="27"/>
  <c r="C49" i="27"/>
  <c r="B49" i="27"/>
  <c r="D42" i="27"/>
  <c r="C42" i="27"/>
  <c r="B42" i="27"/>
  <c r="D29" i="27"/>
  <c r="C29" i="27"/>
  <c r="B29" i="27"/>
  <c r="D22" i="27"/>
  <c r="D65" i="27" s="1"/>
  <c r="C22" i="27"/>
  <c r="B22" i="27"/>
  <c r="D41" i="2"/>
  <c r="D49" i="9"/>
  <c r="D63" i="9" s="1"/>
  <c r="D62" i="9" s="1"/>
  <c r="D8" i="9"/>
  <c r="D22" i="9"/>
  <c r="D21" i="9" s="1"/>
  <c r="D49" i="8"/>
  <c r="D63" i="8"/>
  <c r="D62" i="8" s="1"/>
  <c r="D8" i="8"/>
  <c r="D22" i="8"/>
  <c r="D8" i="20"/>
  <c r="D22" i="20"/>
  <c r="D21" i="20" s="1"/>
  <c r="D49" i="20"/>
  <c r="D63" i="20"/>
  <c r="D9" i="7"/>
  <c r="D38" i="7" s="1"/>
  <c r="D37" i="7" s="1"/>
  <c r="J21" i="9"/>
  <c r="J62" i="9"/>
  <c r="J21" i="8"/>
  <c r="J62" i="8"/>
  <c r="J21" i="20"/>
  <c r="J63" i="20"/>
  <c r="C78" i="7"/>
  <c r="B67" i="27"/>
  <c r="A20" i="3"/>
  <c r="C20" i="3"/>
  <c r="G29" i="2"/>
  <c r="G28" i="2"/>
  <c r="G27" i="2"/>
  <c r="G26" i="2"/>
  <c r="G24" i="2"/>
  <c r="G23" i="2"/>
  <c r="G22" i="2"/>
  <c r="A6" i="13"/>
  <c r="D81" i="9"/>
  <c r="E81" i="9"/>
  <c r="D40" i="9"/>
  <c r="E40" i="9" s="1"/>
  <c r="D81" i="8"/>
  <c r="E81" i="8"/>
  <c r="D40" i="8"/>
  <c r="E40" i="8"/>
  <c r="D81" i="20"/>
  <c r="D40" i="20"/>
  <c r="E40" i="20"/>
  <c r="C18" i="13"/>
  <c r="B54" i="2"/>
  <c r="B19" i="38"/>
  <c r="B18" i="38"/>
  <c r="B17" i="38"/>
  <c r="B16" i="38"/>
  <c r="B15" i="38"/>
  <c r="B8" i="38"/>
  <c r="B7" i="38"/>
  <c r="G16" i="38"/>
  <c r="E19" i="38"/>
  <c r="E18" i="38"/>
  <c r="E17" i="38"/>
  <c r="E16" i="38"/>
  <c r="B5" i="38"/>
  <c r="G14" i="38"/>
  <c r="B46" i="38" s="1"/>
  <c r="E14" i="38"/>
  <c r="B47" i="38"/>
  <c r="D77" i="20"/>
  <c r="A60" i="19"/>
  <c r="A24" i="19"/>
  <c r="B9" i="26"/>
  <c r="A18" i="13"/>
  <c r="C11" i="5"/>
  <c r="B11" i="5"/>
  <c r="B24" i="3"/>
  <c r="A24" i="3"/>
  <c r="B46" i="20"/>
  <c r="C24" i="3"/>
  <c r="C23" i="3"/>
  <c r="A48" i="13"/>
  <c r="A47" i="13"/>
  <c r="G20" i="35"/>
  <c r="G22" i="35" s="1"/>
  <c r="C22" i="20"/>
  <c r="C23" i="20" s="1"/>
  <c r="C35" i="20" s="1"/>
  <c r="J148" i="36"/>
  <c r="H134" i="36"/>
  <c r="C137" i="36"/>
  <c r="J137" i="36" s="1"/>
  <c r="H120" i="36"/>
  <c r="C123" i="36" s="1"/>
  <c r="J123" i="36" s="1"/>
  <c r="H114" i="36"/>
  <c r="F117" i="36" s="1"/>
  <c r="H117" i="36" s="1"/>
  <c r="F123" i="36" s="1"/>
  <c r="H100" i="36"/>
  <c r="C103" i="36" s="1"/>
  <c r="H94" i="36"/>
  <c r="F97" i="36" s="1"/>
  <c r="H97" i="36" s="1"/>
  <c r="F103" i="36" s="1"/>
  <c r="H80" i="36"/>
  <c r="C83" i="36"/>
  <c r="H74" i="36"/>
  <c r="F77" i="36"/>
  <c r="H77" i="36" s="1"/>
  <c r="F83" i="36" s="1"/>
  <c r="J83" i="36" s="1"/>
  <c r="H48" i="36"/>
  <c r="F50" i="36"/>
  <c r="J50" i="36"/>
  <c r="H41" i="36"/>
  <c r="B28" i="36"/>
  <c r="H28" i="36"/>
  <c r="H25" i="36"/>
  <c r="C25" i="36"/>
  <c r="C14" i="26"/>
  <c r="B13" i="26"/>
  <c r="B12" i="26"/>
  <c r="B11" i="26"/>
  <c r="B10" i="26"/>
  <c r="C77" i="9"/>
  <c r="C36" i="9"/>
  <c r="C77" i="8"/>
  <c r="C36" i="8"/>
  <c r="C77" i="20"/>
  <c r="C100" i="20"/>
  <c r="B79" i="20" s="1"/>
  <c r="E22" i="13"/>
  <c r="G79" i="9"/>
  <c r="C22" i="13"/>
  <c r="C21" i="13"/>
  <c r="C20" i="13"/>
  <c r="C19" i="13"/>
  <c r="A28" i="19"/>
  <c r="A27" i="19"/>
  <c r="A26" i="19"/>
  <c r="A25" i="19"/>
  <c r="B34" i="13"/>
  <c r="B35" i="13"/>
  <c r="F35" i="13"/>
  <c r="M41" i="13" s="1"/>
  <c r="D35" i="13"/>
  <c r="E27" i="38"/>
  <c r="A22" i="13"/>
  <c r="A21" i="13"/>
  <c r="A20" i="13"/>
  <c r="A19" i="13"/>
  <c r="C15" i="5"/>
  <c r="C14" i="5"/>
  <c r="C13" i="5"/>
  <c r="C12" i="5"/>
  <c r="B15" i="5"/>
  <c r="B14" i="5"/>
  <c r="B13" i="5"/>
  <c r="B12" i="5"/>
  <c r="A64" i="19"/>
  <c r="A63" i="19"/>
  <c r="A62" i="19"/>
  <c r="A61" i="19"/>
  <c r="D34" i="20"/>
  <c r="D17" i="13" s="1"/>
  <c r="C34" i="20"/>
  <c r="C98" i="20" s="1"/>
  <c r="E20" i="13"/>
  <c r="G79" i="8"/>
  <c r="E19" i="13"/>
  <c r="G38" i="8" s="1"/>
  <c r="D29" i="19"/>
  <c r="A29" i="13"/>
  <c r="A28" i="13"/>
  <c r="A27" i="13"/>
  <c r="A26" i="13"/>
  <c r="A25" i="13"/>
  <c r="D77" i="9"/>
  <c r="D100" i="9" s="1"/>
  <c r="D36" i="9"/>
  <c r="D77" i="8"/>
  <c r="D36" i="8"/>
  <c r="D75" i="20"/>
  <c r="D18" i="13"/>
  <c r="C75" i="20"/>
  <c r="C74" i="20" s="1"/>
  <c r="C63" i="20"/>
  <c r="C64" i="20" s="1"/>
  <c r="C76" i="20" s="1"/>
  <c r="D36" i="20"/>
  <c r="C36" i="20"/>
  <c r="B5" i="20"/>
  <c r="E1" i="20"/>
  <c r="H32" i="20"/>
  <c r="B1" i="20"/>
  <c r="D67" i="7"/>
  <c r="C67" i="7"/>
  <c r="D71" i="7"/>
  <c r="B53" i="2"/>
  <c r="B26" i="3"/>
  <c r="B25" i="3"/>
  <c r="A8" i="13"/>
  <c r="A34" i="31"/>
  <c r="A77" i="30"/>
  <c r="A74" i="30"/>
  <c r="A33" i="30"/>
  <c r="A28" i="30"/>
  <c r="A25" i="30"/>
  <c r="A16" i="30"/>
  <c r="A6" i="30"/>
  <c r="A33" i="31"/>
  <c r="A6" i="31"/>
  <c r="A38" i="32"/>
  <c r="A33" i="32"/>
  <c r="A19" i="32"/>
  <c r="A6" i="32"/>
  <c r="A46" i="33"/>
  <c r="A41" i="33"/>
  <c r="A6" i="33"/>
  <c r="A8" i="34"/>
  <c r="D17" i="26"/>
  <c r="D19" i="26"/>
  <c r="E30" i="2"/>
  <c r="D34" i="13" s="1"/>
  <c r="D75" i="9"/>
  <c r="C75" i="9"/>
  <c r="G73" i="9"/>
  <c r="D34" i="9"/>
  <c r="D98" i="9"/>
  <c r="C34" i="9"/>
  <c r="C98" i="9"/>
  <c r="B38" i="9" s="1"/>
  <c r="D75" i="8"/>
  <c r="D20" i="13" s="1"/>
  <c r="C75" i="8"/>
  <c r="C101" i="8" s="1"/>
  <c r="B79" i="8" s="1"/>
  <c r="D34" i="8"/>
  <c r="D99" i="8" s="1"/>
  <c r="C34" i="8"/>
  <c r="C99" i="8"/>
  <c r="B38" i="8" s="1"/>
  <c r="G32" i="8"/>
  <c r="I3" i="5"/>
  <c r="A30" i="2"/>
  <c r="A62" i="2"/>
  <c r="A61" i="2"/>
  <c r="D50" i="2"/>
  <c r="C9" i="5"/>
  <c r="C10" i="5"/>
  <c r="C16" i="5"/>
  <c r="H38" i="5" s="1"/>
  <c r="D18" i="5"/>
  <c r="E20" i="5"/>
  <c r="F22" i="5"/>
  <c r="C63" i="8"/>
  <c r="C62" i="8" s="1"/>
  <c r="C22" i="8"/>
  <c r="C22" i="9"/>
  <c r="C21" i="9"/>
  <c r="C63" i="9"/>
  <c r="E16" i="7"/>
  <c r="E17" i="7"/>
  <c r="E18" i="7"/>
  <c r="C38" i="7"/>
  <c r="C37" i="7" s="1"/>
  <c r="C65" i="7"/>
  <c r="C64" i="7" s="1"/>
  <c r="D65" i="7"/>
  <c r="D64" i="7" s="1"/>
  <c r="C28" i="3"/>
  <c r="C27" i="3"/>
  <c r="C26" i="3"/>
  <c r="C25" i="3"/>
  <c r="E49" i="21"/>
  <c r="E51" i="21" s="1"/>
  <c r="C21" i="21"/>
  <c r="C49" i="21"/>
  <c r="B29" i="13"/>
  <c r="D21" i="21"/>
  <c r="D20" i="21"/>
  <c r="D49" i="21"/>
  <c r="E21" i="21"/>
  <c r="E20" i="21" s="1"/>
  <c r="D51" i="21"/>
  <c r="C51" i="21"/>
  <c r="E1" i="21"/>
  <c r="D5" i="21" s="1"/>
  <c r="E60" i="12"/>
  <c r="E59" i="12" s="1"/>
  <c r="C60" i="12"/>
  <c r="B28" i="13" s="1"/>
  <c r="C47" i="12"/>
  <c r="C48" i="12"/>
  <c r="D47" i="12"/>
  <c r="D60" i="12"/>
  <c r="E47" i="12"/>
  <c r="E46" i="12" s="1"/>
  <c r="D62" i="12"/>
  <c r="C62" i="12"/>
  <c r="E1" i="12"/>
  <c r="E37" i="12"/>
  <c r="E15" i="12"/>
  <c r="E14" i="12" s="1"/>
  <c r="C29" i="12"/>
  <c r="B27" i="13" s="1"/>
  <c r="C15" i="12"/>
  <c r="C16" i="12" s="1"/>
  <c r="D15" i="12"/>
  <c r="D14" i="12" s="1"/>
  <c r="D29" i="12"/>
  <c r="D28" i="12" s="1"/>
  <c r="E29" i="12"/>
  <c r="D33" i="3" s="1"/>
  <c r="D31" i="12"/>
  <c r="C31" i="12"/>
  <c r="C65" i="11"/>
  <c r="B26" i="13" s="1"/>
  <c r="C47" i="11"/>
  <c r="D47" i="11"/>
  <c r="D46" i="11" s="1"/>
  <c r="D65" i="11"/>
  <c r="D26" i="13" s="1"/>
  <c r="E47" i="11"/>
  <c r="E46" i="11" s="1"/>
  <c r="E65" i="11"/>
  <c r="F26" i="13" s="1"/>
  <c r="C29" i="11"/>
  <c r="B25" i="13" s="1"/>
  <c r="C15" i="11"/>
  <c r="C16" i="11" s="1"/>
  <c r="D15" i="11"/>
  <c r="D14" i="11"/>
  <c r="D29" i="11"/>
  <c r="D25" i="13" s="1"/>
  <c r="E15" i="11"/>
  <c r="E14" i="11"/>
  <c r="E29" i="11"/>
  <c r="E1" i="11"/>
  <c r="C5" i="11" s="1"/>
  <c r="E1" i="9"/>
  <c r="H39" i="9" s="1"/>
  <c r="E1" i="8"/>
  <c r="H37" i="8" s="1"/>
  <c r="E1" i="10"/>
  <c r="E5" i="10"/>
  <c r="E1" i="7"/>
  <c r="C6" i="7"/>
  <c r="E59" i="10"/>
  <c r="E61" i="10"/>
  <c r="C59" i="10"/>
  <c r="C58" i="10" s="1"/>
  <c r="C44" i="10"/>
  <c r="C45" i="10"/>
  <c r="D44" i="10"/>
  <c r="D43" i="10" s="1"/>
  <c r="D59" i="10"/>
  <c r="E44" i="10"/>
  <c r="E43" i="10" s="1"/>
  <c r="E25" i="10"/>
  <c r="E27" i="10" s="1"/>
  <c r="C25" i="10"/>
  <c r="B23" i="13" s="1"/>
  <c r="C15" i="10"/>
  <c r="C16" i="10" s="1"/>
  <c r="D8" i="10"/>
  <c r="D9" i="10"/>
  <c r="D15" i="10" s="1"/>
  <c r="D14" i="10" s="1"/>
  <c r="D25" i="10"/>
  <c r="D23" i="13" s="1"/>
  <c r="E8" i="10"/>
  <c r="E9" i="10"/>
  <c r="D31" i="11"/>
  <c r="C31" i="11"/>
  <c r="D67" i="11"/>
  <c r="C67" i="11"/>
  <c r="D61" i="10"/>
  <c r="D62" i="10" s="1"/>
  <c r="C61" i="10"/>
  <c r="D27" i="10"/>
  <c r="C27" i="10"/>
  <c r="E1" i="19"/>
  <c r="A8" i="19" s="1"/>
  <c r="C56" i="19"/>
  <c r="A41" i="2"/>
  <c r="D20" i="2"/>
  <c r="E20" i="2"/>
  <c r="G21" i="2"/>
  <c r="J28" i="23"/>
  <c r="J17" i="23"/>
  <c r="J18" i="23" s="1"/>
  <c r="J29" i="23" s="1"/>
  <c r="J30" i="23" s="1"/>
  <c r="H28" i="23"/>
  <c r="H17" i="23"/>
  <c r="H18" i="23"/>
  <c r="H29" i="23" s="1"/>
  <c r="H30" i="23" s="1"/>
  <c r="F28" i="23"/>
  <c r="F17" i="23"/>
  <c r="F18" i="23" s="1"/>
  <c r="D28" i="23"/>
  <c r="K28" i="23" s="1"/>
  <c r="B30" i="13" s="1"/>
  <c r="D17" i="23"/>
  <c r="D18" i="23" s="1"/>
  <c r="B28" i="23"/>
  <c r="B17" i="23"/>
  <c r="K1" i="23"/>
  <c r="F2" i="23"/>
  <c r="C39" i="3"/>
  <c r="D10" i="26"/>
  <c r="D21" i="26"/>
  <c r="D23" i="26" s="1"/>
  <c r="D1" i="27"/>
  <c r="A1" i="27"/>
  <c r="D15" i="27"/>
  <c r="D35" i="27"/>
  <c r="C15" i="27"/>
  <c r="C65" i="27" s="1"/>
  <c r="C35" i="27"/>
  <c r="B15" i="27"/>
  <c r="B65" i="27"/>
  <c r="B35" i="27"/>
  <c r="C46" i="12"/>
  <c r="F1" i="26"/>
  <c r="A17" i="26" s="1"/>
  <c r="D46" i="12"/>
  <c r="A1" i="26"/>
  <c r="B8" i="26"/>
  <c r="A71" i="19"/>
  <c r="A70" i="19"/>
  <c r="A69" i="19"/>
  <c r="A68" i="19"/>
  <c r="A67" i="19"/>
  <c r="A66" i="19"/>
  <c r="A65" i="19"/>
  <c r="A59" i="19"/>
  <c r="A58" i="19"/>
  <c r="H1" i="13"/>
  <c r="J20" i="13"/>
  <c r="C36" i="3"/>
  <c r="A23" i="19"/>
  <c r="A22" i="19"/>
  <c r="B10" i="5"/>
  <c r="A1" i="24"/>
  <c r="F1" i="24"/>
  <c r="E13" i="24"/>
  <c r="E15" i="24"/>
  <c r="F32" i="13"/>
  <c r="D13" i="24"/>
  <c r="D15" i="24"/>
  <c r="D32" i="13" s="1"/>
  <c r="C13" i="24"/>
  <c r="C15" i="24" s="1"/>
  <c r="B32" i="13" s="1"/>
  <c r="F1" i="3"/>
  <c r="F40" i="3"/>
  <c r="A30" i="13"/>
  <c r="A36" i="3"/>
  <c r="A5" i="23"/>
  <c r="I5" i="23"/>
  <c r="G5" i="23"/>
  <c r="E5" i="23"/>
  <c r="C5" i="23"/>
  <c r="A1" i="23"/>
  <c r="K7" i="23"/>
  <c r="M1" i="14"/>
  <c r="G7" i="14" s="1"/>
  <c r="E64" i="2"/>
  <c r="D64" i="2"/>
  <c r="A18" i="2"/>
  <c r="A51" i="2"/>
  <c r="A3" i="3"/>
  <c r="A35" i="3"/>
  <c r="B5" i="21"/>
  <c r="C35" i="3"/>
  <c r="B1" i="21"/>
  <c r="E21" i="13"/>
  <c r="G38" i="9"/>
  <c r="E18" i="13"/>
  <c r="E29" i="38"/>
  <c r="E17" i="13"/>
  <c r="G38" i="20"/>
  <c r="E16" i="13"/>
  <c r="G66" i="7" s="1"/>
  <c r="C16" i="13"/>
  <c r="C31" i="13" s="1"/>
  <c r="C17" i="13"/>
  <c r="D42" i="13"/>
  <c r="D41" i="13"/>
  <c r="D40" i="13"/>
  <c r="D39" i="13"/>
  <c r="D43" i="13" s="1"/>
  <c r="B42" i="13"/>
  <c r="B41" i="13"/>
  <c r="B40" i="13"/>
  <c r="B39" i="13"/>
  <c r="D51" i="2"/>
  <c r="D11" i="3"/>
  <c r="A8" i="3" s="1"/>
  <c r="A1" i="19"/>
  <c r="G8" i="15"/>
  <c r="H8" i="15"/>
  <c r="I8" i="15"/>
  <c r="J6" i="14"/>
  <c r="L6" i="14"/>
  <c r="B15" i="3"/>
  <c r="B54" i="3"/>
  <c r="I1" i="15"/>
  <c r="C34" i="3"/>
  <c r="C33" i="3"/>
  <c r="C32" i="3"/>
  <c r="C31" i="3"/>
  <c r="C30" i="3"/>
  <c r="C29" i="3"/>
  <c r="B28" i="3"/>
  <c r="B27" i="3"/>
  <c r="A34" i="3"/>
  <c r="A33" i="3"/>
  <c r="A32" i="3"/>
  <c r="A31" i="3"/>
  <c r="A30" i="3"/>
  <c r="A29" i="3"/>
  <c r="A28" i="3"/>
  <c r="A27" i="3"/>
  <c r="A26" i="3"/>
  <c r="A25" i="3"/>
  <c r="C38" i="3"/>
  <c r="B22" i="3"/>
  <c r="C5" i="3"/>
  <c r="M15" i="14"/>
  <c r="M31" i="14" s="1"/>
  <c r="M22" i="14"/>
  <c r="M30" i="14"/>
  <c r="L15" i="14"/>
  <c r="L22" i="14"/>
  <c r="L30" i="14"/>
  <c r="K15" i="14"/>
  <c r="K22" i="14"/>
  <c r="K30" i="14"/>
  <c r="J15" i="14"/>
  <c r="J22" i="14"/>
  <c r="J30" i="14"/>
  <c r="G30" i="14"/>
  <c r="G15" i="14"/>
  <c r="G22" i="14"/>
  <c r="B1" i="14"/>
  <c r="B1" i="7"/>
  <c r="B6" i="7"/>
  <c r="B56" i="2"/>
  <c r="B57" i="2"/>
  <c r="B58" i="2"/>
  <c r="B55" i="2"/>
  <c r="D59" i="2"/>
  <c r="B52" i="2"/>
  <c r="B1" i="15"/>
  <c r="I20" i="15"/>
  <c r="H20" i="15"/>
  <c r="G20" i="15"/>
  <c r="F42" i="13" s="1"/>
  <c r="B2" i="5"/>
  <c r="B37" i="12"/>
  <c r="B5" i="12"/>
  <c r="B1" i="12"/>
  <c r="B46" i="8"/>
  <c r="B5" i="8"/>
  <c r="B1" i="8"/>
  <c r="B5" i="9"/>
  <c r="B46" i="9"/>
  <c r="B1" i="9"/>
  <c r="B32" i="10"/>
  <c r="B5" i="10"/>
  <c r="B1" i="10"/>
  <c r="B37" i="11"/>
  <c r="B5" i="11"/>
  <c r="B1" i="11"/>
  <c r="A24" i="13"/>
  <c r="A23" i="13"/>
  <c r="A5" i="13"/>
  <c r="F23" i="3"/>
  <c r="F26" i="3"/>
  <c r="F27" i="3"/>
  <c r="F25" i="3"/>
  <c r="F28" i="3"/>
  <c r="J22" i="20"/>
  <c r="J23" i="20"/>
  <c r="E34" i="8"/>
  <c r="F19" i="13" s="1"/>
  <c r="E65" i="7"/>
  <c r="E64" i="7" s="1"/>
  <c r="D12" i="26"/>
  <c r="E34" i="9"/>
  <c r="D11" i="26"/>
  <c r="E75" i="8"/>
  <c r="E77" i="8"/>
  <c r="E75" i="20"/>
  <c r="F18" i="13" s="1"/>
  <c r="D13" i="26"/>
  <c r="E75" i="9"/>
  <c r="D28" i="3" s="1"/>
  <c r="D8" i="26"/>
  <c r="J22" i="9"/>
  <c r="J23" i="9"/>
  <c r="E71" i="7"/>
  <c r="J63" i="9"/>
  <c r="J64" i="9"/>
  <c r="J63" i="8"/>
  <c r="J64" i="8"/>
  <c r="J22" i="8"/>
  <c r="J23" i="8"/>
  <c r="J64" i="20"/>
  <c r="J65" i="20"/>
  <c r="M42" i="13"/>
  <c r="J49" i="7"/>
  <c r="J50" i="7"/>
  <c r="J48" i="7"/>
  <c r="E48" i="21"/>
  <c r="F40" i="13"/>
  <c r="D24" i="13"/>
  <c r="H13" i="5"/>
  <c r="E55" i="8"/>
  <c r="F22" i="3"/>
  <c r="B89" i="38"/>
  <c r="C14" i="10"/>
  <c r="C39" i="7"/>
  <c r="G52" i="7"/>
  <c r="H59" i="7"/>
  <c r="D6" i="7"/>
  <c r="D7" i="26"/>
  <c r="D9" i="26"/>
  <c r="D14" i="26" s="1"/>
  <c r="E9" i="26"/>
  <c r="E60" i="20" s="1"/>
  <c r="B21" i="13"/>
  <c r="C64" i="8"/>
  <c r="C76" i="8"/>
  <c r="B20" i="13"/>
  <c r="C74" i="8"/>
  <c r="G74" i="20"/>
  <c r="B18" i="13"/>
  <c r="E34" i="20"/>
  <c r="F17" i="13"/>
  <c r="E7" i="26"/>
  <c r="E35" i="7" s="1"/>
  <c r="J43" i="20"/>
  <c r="B18" i="23"/>
  <c r="G27" i="38"/>
  <c r="E28" i="38" s="1"/>
  <c r="J71" i="7"/>
  <c r="D46" i="20"/>
  <c r="C23" i="8"/>
  <c r="C35" i="8"/>
  <c r="C100" i="8"/>
  <c r="C21" i="8"/>
  <c r="J84" i="9"/>
  <c r="J84" i="8"/>
  <c r="C33" i="9"/>
  <c r="G32" i="9"/>
  <c r="J85" i="20"/>
  <c r="J43" i="9"/>
  <c r="D5" i="8"/>
  <c r="G85" i="8"/>
  <c r="J43" i="8"/>
  <c r="C14" i="12"/>
  <c r="B8" i="5"/>
  <c r="C33" i="8"/>
  <c r="B19" i="13"/>
  <c r="E36" i="8"/>
  <c r="D25" i="3"/>
  <c r="C21" i="20"/>
  <c r="G72" i="7"/>
  <c r="H68" i="7"/>
  <c r="H57" i="7"/>
  <c r="B62" i="7"/>
  <c r="E6" i="7"/>
  <c r="D21" i="8"/>
  <c r="D6" i="26"/>
  <c r="B42" i="44"/>
  <c r="B21" i="44"/>
  <c r="B6" i="44"/>
  <c r="B41" i="44"/>
  <c r="B32" i="44"/>
  <c r="B18" i="44"/>
  <c r="D35" i="3"/>
  <c r="E28" i="12"/>
  <c r="D63" i="12"/>
  <c r="E31" i="12"/>
  <c r="D59" i="12"/>
  <c r="D28" i="13"/>
  <c r="E28" i="11"/>
  <c r="C23" i="9"/>
  <c r="C35" i="9"/>
  <c r="D33" i="9"/>
  <c r="F21" i="13"/>
  <c r="D21" i="13"/>
  <c r="C74" i="9"/>
  <c r="C5" i="9"/>
  <c r="C100" i="9"/>
  <c r="B79" i="9" s="1"/>
  <c r="B22" i="13"/>
  <c r="G14" i="5"/>
  <c r="E13" i="9" s="1"/>
  <c r="G15" i="5"/>
  <c r="E54" i="9" s="1"/>
  <c r="E13" i="5"/>
  <c r="E52" i="8" s="1"/>
  <c r="H15" i="5"/>
  <c r="E55" i="9" s="1"/>
  <c r="F12" i="5"/>
  <c r="E12" i="8" s="1"/>
  <c r="H12" i="5"/>
  <c r="E14" i="8" s="1"/>
  <c r="G12" i="5"/>
  <c r="E13" i="8" s="1"/>
  <c r="G13" i="5"/>
  <c r="E54" i="8" s="1"/>
  <c r="D12" i="5"/>
  <c r="E10" i="8" s="1"/>
  <c r="H14" i="5"/>
  <c r="E14" i="9" s="1"/>
  <c r="F13" i="5"/>
  <c r="E53" i="8" s="1"/>
  <c r="E14" i="5"/>
  <c r="E11" i="9" s="1"/>
  <c r="E15" i="5"/>
  <c r="E52" i="9" s="1"/>
  <c r="E12" i="5"/>
  <c r="E11" i="8" s="1"/>
  <c r="F14" i="5"/>
  <c r="E12" i="9" s="1"/>
  <c r="F15" i="5"/>
  <c r="E53" i="9" s="1"/>
  <c r="D14" i="5"/>
  <c r="E10" i="9" s="1"/>
  <c r="D15" i="5"/>
  <c r="E51" i="9" s="1"/>
  <c r="D13" i="5"/>
  <c r="E51" i="8" s="1"/>
  <c r="J40" i="13"/>
  <c r="J31" i="13"/>
  <c r="J24" i="13"/>
  <c r="G14" i="13"/>
  <c r="J41" i="13"/>
  <c r="C22" i="3"/>
  <c r="H81" i="8"/>
  <c r="H39" i="8"/>
  <c r="J34" i="13"/>
  <c r="J26" i="13"/>
  <c r="E15" i="38"/>
  <c r="E22" i="38" s="1"/>
  <c r="D6" i="9"/>
  <c r="D23" i="9" s="1"/>
  <c r="D35" i="9" s="1"/>
  <c r="C99" i="9"/>
  <c r="A9" i="3"/>
  <c r="C43" i="10"/>
  <c r="E77" i="20"/>
  <c r="D58" i="10"/>
  <c r="F24" i="13"/>
  <c r="E58" i="10"/>
  <c r="D74" i="8"/>
  <c r="H67" i="7"/>
  <c r="G49" i="7"/>
  <c r="F29" i="13"/>
  <c r="H61" i="7"/>
  <c r="H74" i="20"/>
  <c r="B9" i="45"/>
  <c r="B8" i="45"/>
  <c r="B10" i="45"/>
  <c r="B67" i="7"/>
  <c r="H56" i="7"/>
  <c r="G86" i="20"/>
  <c r="B31" i="20"/>
  <c r="G71" i="7"/>
  <c r="G45" i="7"/>
  <c r="B36" i="44"/>
  <c r="B24" i="44"/>
  <c r="E12" i="3"/>
  <c r="B36" i="20"/>
  <c r="H82" i="20"/>
  <c r="C82" i="20"/>
  <c r="B34" i="16"/>
  <c r="H32" i="9"/>
  <c r="E46" i="9"/>
  <c r="E46" i="20"/>
  <c r="H69" i="20"/>
  <c r="G18" i="20"/>
  <c r="H28" i="9"/>
  <c r="G22" i="20"/>
  <c r="C41" i="20"/>
  <c r="H70" i="20"/>
  <c r="H33" i="20"/>
  <c r="G60" i="20"/>
  <c r="E5" i="20"/>
  <c r="C16" i="16"/>
  <c r="H71" i="9"/>
  <c r="B25" i="16"/>
  <c r="B19" i="16"/>
  <c r="C5" i="20"/>
  <c r="H75" i="20"/>
  <c r="H30" i="20"/>
  <c r="G67" i="20"/>
  <c r="H37" i="20"/>
  <c r="A10" i="16"/>
  <c r="B7" i="16"/>
  <c r="C15" i="16"/>
  <c r="E5" i="21"/>
  <c r="B14" i="16"/>
  <c r="C5" i="21"/>
  <c r="B40" i="16"/>
  <c r="A3" i="16"/>
  <c r="C5" i="10"/>
  <c r="B6" i="16"/>
  <c r="H36" i="45"/>
  <c r="H40" i="45" s="1"/>
  <c r="F38" i="20"/>
  <c r="E33" i="20"/>
  <c r="E38" i="20"/>
  <c r="D23" i="3"/>
  <c r="E36" i="20"/>
  <c r="E6" i="26"/>
  <c r="D37" i="12"/>
  <c r="D5" i="12"/>
  <c r="C6" i="26"/>
  <c r="B62" i="12"/>
  <c r="C5" i="12"/>
  <c r="G10" i="5"/>
  <c r="E13" i="20"/>
  <c r="G11" i="5"/>
  <c r="E54" i="20" s="1"/>
  <c r="H10" i="5"/>
  <c r="H9" i="5" s="1"/>
  <c r="H16" i="5" s="1"/>
  <c r="H11" i="5"/>
  <c r="E55" i="20" s="1"/>
  <c r="D10" i="5"/>
  <c r="E10" i="20" s="1"/>
  <c r="D11" i="5"/>
  <c r="E51" i="20" s="1"/>
  <c r="F10" i="5"/>
  <c r="E12" i="20"/>
  <c r="F11" i="5"/>
  <c r="F9" i="5" s="1"/>
  <c r="E13" i="7" s="1"/>
  <c r="E10" i="5"/>
  <c r="E11" i="20" s="1"/>
  <c r="E11" i="5"/>
  <c r="E52" i="20"/>
  <c r="G18" i="38" s="1"/>
  <c r="G80" i="20"/>
  <c r="B11" i="44"/>
  <c r="G84" i="8"/>
  <c r="H70" i="8"/>
  <c r="G66" i="8"/>
  <c r="B77" i="8"/>
  <c r="H74" i="8"/>
  <c r="H78" i="8"/>
  <c r="G22" i="8"/>
  <c r="G63" i="8"/>
  <c r="D7" i="24"/>
  <c r="H27" i="8"/>
  <c r="B31" i="8"/>
  <c r="H40" i="8"/>
  <c r="H33" i="8"/>
  <c r="G59" i="8"/>
  <c r="B36" i="8"/>
  <c r="H80" i="8"/>
  <c r="H28" i="8"/>
  <c r="B7" i="44"/>
  <c r="C46" i="8"/>
  <c r="H73" i="8"/>
  <c r="H71" i="8"/>
  <c r="H29" i="8"/>
  <c r="G44" i="8"/>
  <c r="H30" i="8"/>
  <c r="H69" i="8"/>
  <c r="C82" i="8"/>
  <c r="H68" i="8"/>
  <c r="C41" i="8"/>
  <c r="G25" i="8"/>
  <c r="C5" i="8"/>
  <c r="H79" i="8"/>
  <c r="H38" i="8"/>
  <c r="H32" i="8"/>
  <c r="E5" i="8"/>
  <c r="G43" i="8"/>
  <c r="E46" i="8"/>
  <c r="G18" i="8"/>
  <c r="D46" i="8"/>
  <c r="J27" i="13"/>
  <c r="J39" i="13"/>
  <c r="F13" i="13"/>
  <c r="C49" i="45"/>
  <c r="C32" i="45"/>
  <c r="C38" i="45"/>
  <c r="C50" i="45"/>
  <c r="C55" i="45"/>
  <c r="J42" i="13"/>
  <c r="F38" i="13"/>
  <c r="B38" i="13"/>
  <c r="C57" i="45"/>
  <c r="B13" i="13"/>
  <c r="D38" i="13"/>
  <c r="J33" i="13"/>
  <c r="D13" i="13"/>
  <c r="A10" i="13"/>
  <c r="C29" i="45"/>
  <c r="D62" i="20"/>
  <c r="E36" i="9"/>
  <c r="F37" i="9"/>
  <c r="E38" i="9"/>
  <c r="E33" i="9"/>
  <c r="D27" i="3"/>
  <c r="B77" i="20"/>
  <c r="G64" i="20"/>
  <c r="H38" i="20"/>
  <c r="H72" i="20"/>
  <c r="H28" i="20"/>
  <c r="H27" i="20"/>
  <c r="G85" i="20"/>
  <c r="D5" i="20"/>
  <c r="H80" i="20"/>
  <c r="H29" i="20"/>
  <c r="H40" i="20"/>
  <c r="H81" i="20"/>
  <c r="H39" i="20"/>
  <c r="H79" i="20"/>
  <c r="G43" i="20"/>
  <c r="C46" i="20"/>
  <c r="G25" i="20"/>
  <c r="D74" i="20"/>
  <c r="D100" i="20"/>
  <c r="B29" i="23"/>
  <c r="D7" i="5"/>
  <c r="C8" i="5"/>
  <c r="C62" i="9"/>
  <c r="C64" i="9"/>
  <c r="C76" i="9" s="1"/>
  <c r="E74" i="8"/>
  <c r="A20" i="19"/>
  <c r="B46" i="21"/>
  <c r="B51" i="21"/>
  <c r="C22" i="21"/>
  <c r="C50" i="21" s="1"/>
  <c r="C20" i="21"/>
  <c r="D5" i="27"/>
  <c r="C5" i="27"/>
  <c r="B22" i="10"/>
  <c r="D5" i="10"/>
  <c r="B61" i="10"/>
  <c r="D32" i="10"/>
  <c r="B27" i="10"/>
  <c r="B56" i="10"/>
  <c r="C33" i="20"/>
  <c r="F78" i="8"/>
  <c r="B57" i="12"/>
  <c r="B26" i="12"/>
  <c r="B31" i="12"/>
  <c r="E5" i="12"/>
  <c r="C37" i="12"/>
  <c r="D74" i="9"/>
  <c r="D22" i="13"/>
  <c r="G32" i="20"/>
  <c r="A14" i="19"/>
  <c r="F20" i="13"/>
  <c r="E79" i="8"/>
  <c r="D26" i="3"/>
  <c r="A17" i="19"/>
  <c r="E32" i="10"/>
  <c r="A7" i="19"/>
  <c r="C102" i="8"/>
  <c r="D47" i="8"/>
  <c r="D64" i="8"/>
  <c r="D76" i="8"/>
  <c r="E47" i="8" s="1"/>
  <c r="E15" i="10"/>
  <c r="E14" i="10" s="1"/>
  <c r="E31" i="11"/>
  <c r="F25" i="13"/>
  <c r="D31" i="3"/>
  <c r="C48" i="11"/>
  <c r="C46" i="11"/>
  <c r="D101" i="8"/>
  <c r="A48" i="19"/>
  <c r="A49" i="19"/>
  <c r="A15" i="19"/>
  <c r="A43" i="19"/>
  <c r="A31" i="19"/>
  <c r="A50" i="19"/>
  <c r="B56" i="19"/>
  <c r="A51" i="19"/>
  <c r="D52" i="21"/>
  <c r="D29" i="13"/>
  <c r="A55" i="19"/>
  <c r="B5" i="27"/>
  <c r="C32" i="10"/>
  <c r="D6" i="8"/>
  <c r="D23" i="8"/>
  <c r="D35" i="8" s="1"/>
  <c r="E79" i="20"/>
  <c r="D24" i="3"/>
  <c r="F79" i="20"/>
  <c r="E74" i="20"/>
  <c r="C7" i="24"/>
  <c r="E7" i="24"/>
  <c r="B18" i="24"/>
  <c r="D48" i="21"/>
  <c r="D28" i="11"/>
  <c r="F37" i="8"/>
  <c r="B24" i="13"/>
  <c r="C52" i="21"/>
  <c r="F39" i="13"/>
  <c r="C48" i="21"/>
  <c r="D30" i="3"/>
  <c r="G68" i="8"/>
  <c r="M22" i="13"/>
  <c r="G44" i="20"/>
  <c r="B4" i="26"/>
  <c r="A26" i="26"/>
  <c r="B6" i="26"/>
  <c r="H71" i="20"/>
  <c r="H66" i="7"/>
  <c r="C72" i="7"/>
  <c r="H65" i="7"/>
  <c r="H55" i="7"/>
  <c r="H54" i="7"/>
  <c r="G21" i="35"/>
  <c r="G19" i="35"/>
  <c r="G23" i="35"/>
  <c r="B43" i="13"/>
  <c r="G18" i="35"/>
  <c r="J103" i="36" l="1"/>
  <c r="C55" i="21"/>
  <c r="D6" i="21"/>
  <c r="D22" i="21" s="1"/>
  <c r="D50" i="21" s="1"/>
  <c r="E6" i="9"/>
  <c r="G27" i="9"/>
  <c r="D99" i="9"/>
  <c r="B39" i="9" s="1"/>
  <c r="B38" i="20"/>
  <c r="E6" i="8"/>
  <c r="D100" i="8"/>
  <c r="B39" i="8" s="1"/>
  <c r="G27" i="8"/>
  <c r="D47" i="9"/>
  <c r="D64" i="9" s="1"/>
  <c r="D76" i="9" s="1"/>
  <c r="C101" i="9"/>
  <c r="D47" i="20"/>
  <c r="D64" i="20" s="1"/>
  <c r="D76" i="20" s="1"/>
  <c r="C101" i="20"/>
  <c r="C99" i="20"/>
  <c r="D6" i="20"/>
  <c r="D23" i="20" s="1"/>
  <c r="D35" i="20" s="1"/>
  <c r="B78" i="38"/>
  <c r="C46" i="9"/>
  <c r="H38" i="9"/>
  <c r="H40" i="9"/>
  <c r="H69" i="9"/>
  <c r="D5" i="9"/>
  <c r="G22" i="9"/>
  <c r="E74" i="9"/>
  <c r="E38" i="8"/>
  <c r="E79" i="9"/>
  <c r="D29" i="23"/>
  <c r="D30" i="23" s="1"/>
  <c r="H81" i="9"/>
  <c r="E62" i="12"/>
  <c r="D33" i="8"/>
  <c r="C62" i="20"/>
  <c r="D33" i="20"/>
  <c r="B91" i="38"/>
  <c r="H74" i="9"/>
  <c r="E53" i="20"/>
  <c r="G19" i="38" s="1"/>
  <c r="E5" i="9"/>
  <c r="G59" i="9"/>
  <c r="B77" i="9"/>
  <c r="H70" i="9"/>
  <c r="F22" i="13"/>
  <c r="D34" i="3"/>
  <c r="E33" i="8"/>
  <c r="K31" i="14"/>
  <c r="G73" i="8"/>
  <c r="C31" i="45"/>
  <c r="B72" i="9"/>
  <c r="H73" i="9"/>
  <c r="H68" i="9"/>
  <c r="F28" i="13"/>
  <c r="C63" i="12"/>
  <c r="C61" i="12"/>
  <c r="G63" i="9"/>
  <c r="B36" i="9"/>
  <c r="H29" i="9"/>
  <c r="H37" i="9"/>
  <c r="C82" i="9"/>
  <c r="E63" i="8"/>
  <c r="E62" i="8" s="1"/>
  <c r="H78" i="9"/>
  <c r="G84" i="9"/>
  <c r="C59" i="12"/>
  <c r="B17" i="13"/>
  <c r="B5" i="16"/>
  <c r="D102" i="8"/>
  <c r="B80" i="8" s="1"/>
  <c r="H33" i="9"/>
  <c r="H80" i="9"/>
  <c r="D46" i="9"/>
  <c r="E77" i="9"/>
  <c r="D98" i="20"/>
  <c r="L31" i="14"/>
  <c r="C28" i="10"/>
  <c r="B72" i="8"/>
  <c r="A9" i="19"/>
  <c r="B84" i="38"/>
  <c r="G44" i="9"/>
  <c r="B31" i="9"/>
  <c r="E14" i="20"/>
  <c r="G43" i="9"/>
  <c r="H30" i="9"/>
  <c r="G66" i="9"/>
  <c r="H27" i="9"/>
  <c r="F78" i="9"/>
  <c r="C14" i="11"/>
  <c r="D19" i="13"/>
  <c r="A4" i="44"/>
  <c r="G85" i="9"/>
  <c r="G18" i="9"/>
  <c r="H79" i="9"/>
  <c r="C41" i="9"/>
  <c r="G25" i="9"/>
  <c r="J31" i="14"/>
  <c r="G31" i="14"/>
  <c r="F29" i="23"/>
  <c r="F30" i="23" s="1"/>
  <c r="K17" i="23"/>
  <c r="K30" i="23" s="1"/>
  <c r="K18" i="23"/>
  <c r="B30" i="23"/>
  <c r="F27" i="13"/>
  <c r="D27" i="13"/>
  <c r="D32" i="12"/>
  <c r="C32" i="12"/>
  <c r="C30" i="12"/>
  <c r="D6" i="12" s="1"/>
  <c r="D16" i="12" s="1"/>
  <c r="D30" i="12" s="1"/>
  <c r="C28" i="12"/>
  <c r="D68" i="11"/>
  <c r="D64" i="11"/>
  <c r="D32" i="3"/>
  <c r="E64" i="11"/>
  <c r="E67" i="11"/>
  <c r="C66" i="11"/>
  <c r="D38" i="11" s="1"/>
  <c r="D48" i="11" s="1"/>
  <c r="D66" i="11" s="1"/>
  <c r="E38" i="11" s="1"/>
  <c r="E48" i="11" s="1"/>
  <c r="E66" i="11" s="1"/>
  <c r="E68" i="11" s="1"/>
  <c r="C68" i="11"/>
  <c r="C64" i="11"/>
  <c r="D5" i="11"/>
  <c r="E37" i="11"/>
  <c r="D37" i="11"/>
  <c r="E5" i="11"/>
  <c r="B62" i="11"/>
  <c r="C37" i="11"/>
  <c r="B67" i="11"/>
  <c r="B26" i="11"/>
  <c r="B31" i="11"/>
  <c r="C71" i="11"/>
  <c r="D32" i="11"/>
  <c r="C28" i="11"/>
  <c r="C32" i="11"/>
  <c r="C30" i="11"/>
  <c r="D6" i="11" s="1"/>
  <c r="D16" i="11" s="1"/>
  <c r="D30" i="11" s="1"/>
  <c r="E6" i="11" s="1"/>
  <c r="E16" i="11" s="1"/>
  <c r="E30" i="11" s="1"/>
  <c r="E32" i="11" s="1"/>
  <c r="C62" i="10"/>
  <c r="C60" i="10"/>
  <c r="C65" i="10" s="1"/>
  <c r="E24" i="10"/>
  <c r="D24" i="10"/>
  <c r="D28" i="10"/>
  <c r="F23" i="13"/>
  <c r="D29" i="3"/>
  <c r="C24" i="10"/>
  <c r="C26" i="10"/>
  <c r="D6" i="10" s="1"/>
  <c r="D16" i="10" s="1"/>
  <c r="D26" i="10" s="1"/>
  <c r="C29" i="10"/>
  <c r="F41" i="13"/>
  <c r="F43" i="13" s="1"/>
  <c r="F16" i="13"/>
  <c r="F69" i="7"/>
  <c r="D22" i="3"/>
  <c r="E67" i="7"/>
  <c r="E69" i="7"/>
  <c r="E31" i="13"/>
  <c r="G32" i="16"/>
  <c r="G36" i="16" s="1"/>
  <c r="E14" i="26"/>
  <c r="G17" i="38"/>
  <c r="E63" i="9"/>
  <c r="E64" i="8"/>
  <c r="E80" i="8" s="1"/>
  <c r="E82" i="8" s="1"/>
  <c r="G69" i="8"/>
  <c r="E22" i="20"/>
  <c r="E22" i="9"/>
  <c r="E22" i="8"/>
  <c r="E15" i="7"/>
  <c r="D30" i="5"/>
  <c r="E9" i="5"/>
  <c r="F16" i="5"/>
  <c r="D9" i="5"/>
  <c r="F34" i="5"/>
  <c r="J5" i="16"/>
  <c r="J8" i="16" s="1"/>
  <c r="F37" i="3"/>
  <c r="E32" i="5"/>
  <c r="G9" i="5"/>
  <c r="D84" i="7"/>
  <c r="D16" i="13"/>
  <c r="C66" i="7"/>
  <c r="C84" i="7"/>
  <c r="G59" i="7"/>
  <c r="B16" i="13"/>
  <c r="B31" i="13" s="1"/>
  <c r="B33" i="13" s="1"/>
  <c r="D7" i="35"/>
  <c r="D33" i="10" l="1"/>
  <c r="D45" i="10" s="1"/>
  <c r="D60" i="10" s="1"/>
  <c r="D65" i="10" s="1"/>
  <c r="E6" i="20"/>
  <c r="D99" i="20"/>
  <c r="G27" i="20"/>
  <c r="B80" i="20"/>
  <c r="B39" i="20"/>
  <c r="E63" i="20"/>
  <c r="C33" i="11"/>
  <c r="D101" i="20"/>
  <c r="G69" i="20"/>
  <c r="E47" i="20"/>
  <c r="G68" i="9"/>
  <c r="D101" i="9"/>
  <c r="B80" i="9" s="1"/>
  <c r="E47" i="9"/>
  <c r="E6" i="21"/>
  <c r="E22" i="21" s="1"/>
  <c r="E50" i="21" s="1"/>
  <c r="E52" i="21" s="1"/>
  <c r="D55" i="21"/>
  <c r="D38" i="12"/>
  <c r="D48" i="12" s="1"/>
  <c r="D61" i="12" s="1"/>
  <c r="C66" i="12"/>
  <c r="K29" i="23"/>
  <c r="D31" i="13"/>
  <c r="D33" i="13" s="1"/>
  <c r="C33" i="12"/>
  <c r="E6" i="12"/>
  <c r="E16" i="12" s="1"/>
  <c r="E30" i="12" s="1"/>
  <c r="E32" i="12" s="1"/>
  <c r="D33" i="12"/>
  <c r="D37" i="3"/>
  <c r="D71" i="11"/>
  <c r="D33" i="11"/>
  <c r="E33" i="10"/>
  <c r="E45" i="10" s="1"/>
  <c r="E60" i="10" s="1"/>
  <c r="E62" i="10" s="1"/>
  <c r="F31" i="13"/>
  <c r="F33" i="13" s="1"/>
  <c r="D29" i="10"/>
  <c r="E6" i="10"/>
  <c r="E16" i="10" s="1"/>
  <c r="E26" i="10" s="1"/>
  <c r="E28" i="10" s="1"/>
  <c r="G68" i="7"/>
  <c r="G81" i="9"/>
  <c r="G40" i="20"/>
  <c r="M26" i="13"/>
  <c r="M34" i="13" s="1"/>
  <c r="G40" i="8"/>
  <c r="G40" i="9"/>
  <c r="G82" i="20"/>
  <c r="G81" i="8"/>
  <c r="G28" i="8"/>
  <c r="E23" i="8"/>
  <c r="E39" i="8" s="1"/>
  <c r="E41" i="8" s="1"/>
  <c r="J42" i="16"/>
  <c r="J54" i="45" s="1"/>
  <c r="J58" i="45" s="1"/>
  <c r="J61" i="45" s="1"/>
  <c r="J38" i="16"/>
  <c r="E16" i="5"/>
  <c r="E12" i="7"/>
  <c r="G28" i="9"/>
  <c r="E23" i="9"/>
  <c r="E39" i="9" s="1"/>
  <c r="E41" i="9" s="1"/>
  <c r="G70" i="8"/>
  <c r="K70" i="8" s="1"/>
  <c r="E26" i="3"/>
  <c r="G20" i="13"/>
  <c r="H20" i="13"/>
  <c r="G78" i="8" s="1"/>
  <c r="G16" i="5"/>
  <c r="E14" i="7"/>
  <c r="E23" i="20"/>
  <c r="E39" i="20" s="1"/>
  <c r="E41" i="20" s="1"/>
  <c r="E21" i="20"/>
  <c r="G28" i="20"/>
  <c r="G69" i="9"/>
  <c r="E64" i="9"/>
  <c r="E80" i="9" s="1"/>
  <c r="E82" i="9" s="1"/>
  <c r="D16" i="5"/>
  <c r="E11" i="7"/>
  <c r="G70" i="20"/>
  <c r="E62" i="20"/>
  <c r="E64" i="20"/>
  <c r="E80" i="20" s="1"/>
  <c r="B69" i="7"/>
  <c r="D7" i="7"/>
  <c r="D39" i="7" s="1"/>
  <c r="D66" i="7" s="1"/>
  <c r="C85" i="7"/>
  <c r="D66" i="12" l="1"/>
  <c r="E38" i="12"/>
  <c r="E48" i="12" s="1"/>
  <c r="E61" i="12" s="1"/>
  <c r="E63" i="12" s="1"/>
  <c r="E27" i="3"/>
  <c r="G21" i="13"/>
  <c r="H21" i="13"/>
  <c r="G37" i="9" s="1"/>
  <c r="G29" i="9"/>
  <c r="K29" i="9" s="1"/>
  <c r="H19" i="13"/>
  <c r="G37" i="8" s="1"/>
  <c r="G29" i="8"/>
  <c r="K29" i="8" s="1"/>
  <c r="G19" i="13"/>
  <c r="E25" i="3"/>
  <c r="E28" i="3"/>
  <c r="H22" i="13"/>
  <c r="G78" i="9" s="1"/>
  <c r="G70" i="9"/>
  <c r="K70" i="9" s="1"/>
  <c r="G22" i="13"/>
  <c r="G71" i="8"/>
  <c r="G74" i="8" s="1"/>
  <c r="G71" i="9"/>
  <c r="G74" i="9" s="1"/>
  <c r="G17" i="13"/>
  <c r="H17" i="13"/>
  <c r="G37" i="20" s="1"/>
  <c r="E23" i="3"/>
  <c r="J6" i="44"/>
  <c r="J8" i="44" s="1"/>
  <c r="J48" i="44" s="1"/>
  <c r="G29" i="20"/>
  <c r="K30" i="20" s="1"/>
  <c r="G30" i="9"/>
  <c r="G33" i="9" s="1"/>
  <c r="E21" i="8"/>
  <c r="E81" i="20"/>
  <c r="E38" i="7"/>
  <c r="G55" i="7" s="1"/>
  <c r="E62" i="9"/>
  <c r="E21" i="9"/>
  <c r="J45" i="16"/>
  <c r="G54" i="7"/>
  <c r="E7" i="7"/>
  <c r="D85" i="7"/>
  <c r="B70" i="7" s="1"/>
  <c r="G30" i="8" l="1"/>
  <c r="G33" i="8" s="1"/>
  <c r="E39" i="7"/>
  <c r="E70" i="7" s="1"/>
  <c r="E72" i="7" s="1"/>
  <c r="E22" i="3" s="1"/>
  <c r="J18" i="45"/>
  <c r="E41" i="3" s="1"/>
  <c r="E82" i="20"/>
  <c r="G71" i="20" s="1"/>
  <c r="G30" i="20"/>
  <c r="G33" i="20" s="1"/>
  <c r="E37" i="7" l="1"/>
  <c r="G56" i="7"/>
  <c r="K56" i="7" s="1"/>
  <c r="G16" i="13"/>
  <c r="H16" i="13" s="1"/>
  <c r="G65" i="7" s="1"/>
  <c r="K71" i="20"/>
  <c r="G72" i="20"/>
  <c r="G75" i="20" s="1"/>
  <c r="E24" i="3"/>
  <c r="E37" i="3" s="1"/>
  <c r="E42" i="3" s="1"/>
  <c r="G18" i="13"/>
  <c r="G15" i="38"/>
  <c r="G22" i="38" s="1"/>
  <c r="H18" i="13"/>
  <c r="G31" i="13" l="1"/>
  <c r="J44" i="8" s="1"/>
  <c r="G57" i="7"/>
  <c r="G61" i="7" s="1"/>
  <c r="D24" i="38"/>
  <c r="F33" i="38" s="1"/>
  <c r="F83" i="20" s="1"/>
  <c r="E23" i="38"/>
  <c r="G79" i="20"/>
  <c r="G29" i="38"/>
  <c r="E30" i="38" s="1"/>
  <c r="D31" i="38" s="1"/>
  <c r="H31" i="13"/>
  <c r="G81" i="20" s="1"/>
  <c r="J85" i="9" l="1"/>
  <c r="J86" i="20"/>
  <c r="J44" i="9"/>
  <c r="J44" i="20"/>
  <c r="J85" i="8"/>
  <c r="J72" i="7"/>
  <c r="M33" i="13"/>
  <c r="M35" i="13" s="1"/>
  <c r="M29" i="13" s="1"/>
  <c r="G39" i="9"/>
  <c r="G80" i="8"/>
  <c r="G80" i="9"/>
  <c r="M39" i="13"/>
  <c r="G67" i="7"/>
  <c r="G39" i="20"/>
  <c r="G39" i="8"/>
  <c r="J28" i="13" l="1"/>
  <c r="J29" i="13"/>
  <c r="M28" i="13"/>
</calcChain>
</file>

<file path=xl/sharedStrings.xml><?xml version="1.0" encoding="utf-8"?>
<sst xmlns="http://schemas.openxmlformats.org/spreadsheetml/2006/main" count="1844" uniqueCount="1153">
  <si>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</si>
  <si>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</si>
  <si>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</si>
  <si>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</si>
  <si>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</si>
  <si>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</si>
  <si>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</si>
  <si>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</si>
  <si>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</si>
  <si>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</si>
  <si>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</si>
  <si>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</si>
  <si>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</si>
  <si>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</si>
  <si>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</si>
  <si>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</si>
  <si>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</si>
  <si>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</si>
  <si>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</si>
  <si>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</si>
  <si>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</si>
  <si>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</si>
  <si>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</si>
  <si>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</si>
  <si>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</si>
  <si>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</si>
  <si>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</si>
  <si>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</si>
  <si>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</si>
  <si>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</si>
  <si>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</si>
  <si>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</si>
  <si>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</si>
  <si>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</si>
  <si>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</si>
  <si>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</si>
  <si>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</si>
  <si>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</si>
  <si>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</si>
  <si>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</si>
  <si>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</si>
  <si>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</si>
  <si>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</si>
  <si>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</si>
  <si>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</si>
  <si>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</si>
  <si>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</si>
  <si>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</si>
  <si>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</si>
  <si>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</si>
  <si>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</si>
  <si>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</si>
  <si>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</si>
  <si>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</si>
  <si>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</si>
  <si>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</si>
  <si>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</si>
  <si>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</si>
  <si>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</si>
  <si>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</si>
  <si>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</si>
  <si>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</si>
  <si>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</si>
  <si>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</si>
  <si>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</si>
  <si>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</si>
  <si>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</si>
  <si>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</si>
  <si>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</si>
  <si>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</si>
  <si>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</si>
  <si>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</si>
  <si>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</si>
  <si>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</si>
  <si>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</si>
  <si>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</si>
  <si>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</si>
  <si>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</si>
  <si>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</si>
  <si>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</si>
  <si>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</si>
  <si>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</si>
  <si>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</si>
  <si>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</si>
  <si>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</si>
  <si>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</si>
  <si>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</si>
  <si>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</si>
  <si>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</si>
  <si>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</si>
  <si>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</si>
  <si>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</si>
  <si>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</si>
  <si>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</si>
  <si>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</si>
  <si>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</si>
  <si>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</si>
  <si>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</si>
  <si>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</si>
  <si>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</si>
  <si>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</si>
  <si>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</si>
  <si>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</si>
  <si>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</si>
  <si>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</si>
  <si>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</si>
  <si>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</si>
  <si>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</si>
  <si>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</si>
  <si>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</si>
  <si>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</si>
  <si>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LAVTR</t>
  </si>
  <si>
    <t>Neighborhood Revitalization</t>
  </si>
  <si>
    <t>City and County Revenue Sharing</t>
  </si>
  <si>
    <t>11. Added Neighborhood Revitalization, LAVTR, City and County Revenue Sharing, and Slider to the input page and to the General Fund page.</t>
  </si>
  <si>
    <t xml:space="preserve">General Instructions </t>
  </si>
  <si>
    <t>Computer Spreadsheet Preparation</t>
  </si>
  <si>
    <t>Fund Names:</t>
  </si>
  <si>
    <t>Statute</t>
  </si>
  <si>
    <t>General</t>
  </si>
  <si>
    <t>Fund name for all funds with a tax levy:</t>
  </si>
  <si>
    <t>Other (non-tax levy) fund names:</t>
  </si>
  <si>
    <t>Special Highway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</si>
  <si>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</si>
  <si>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</si>
  <si>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</si>
  <si>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</si>
  <si>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</si>
  <si>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</si>
  <si>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</si>
  <si>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</si>
  <si>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</si>
  <si>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</si>
  <si>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</si>
  <si>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</si>
  <si>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</si>
  <si>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</si>
  <si>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</si>
  <si>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</si>
  <si>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</si>
  <si>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</si>
  <si>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</si>
  <si>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</si>
  <si>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</si>
  <si>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</si>
  <si>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</si>
  <si>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</si>
  <si>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</si>
  <si>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</si>
  <si>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</si>
  <si>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</si>
  <si>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</si>
  <si>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</si>
  <si>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</si>
  <si>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</si>
  <si>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</si>
  <si>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</si>
  <si>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</si>
  <si>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</si>
  <si>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</si>
  <si>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</si>
  <si>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</si>
  <si>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</si>
  <si>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</si>
  <si>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</si>
  <si>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</si>
  <si>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</si>
  <si>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</si>
  <si>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</si>
  <si>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</si>
  <si>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</si>
  <si>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</si>
  <si>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</si>
  <si>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</si>
  <si>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</si>
  <si>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</si>
  <si>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</si>
  <si>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</si>
  <si>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</si>
  <si>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</si>
  <si>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</si>
  <si>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</si>
  <si>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</si>
  <si>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</si>
  <si>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</si>
  <si>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</si>
  <si>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</si>
  <si>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</si>
  <si>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</si>
  <si>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</si>
  <si>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</si>
  <si>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</si>
  <si>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</si>
  <si>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</si>
  <si>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</si>
  <si>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</si>
  <si>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</si>
  <si>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</si>
  <si>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</si>
  <si>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</si>
  <si>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</si>
  <si>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</si>
  <si>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</si>
  <si>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</si>
  <si>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</si>
  <si>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</si>
  <si>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</si>
  <si>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</si>
  <si>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</si>
  <si>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</si>
  <si>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</si>
  <si>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</si>
  <si>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</si>
  <si>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</si>
  <si>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Vehicle Factor</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</si>
  <si>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</si>
  <si>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</si>
  <si>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</si>
  <si>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</si>
  <si>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</si>
  <si>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</si>
  <si>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</si>
  <si>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</si>
  <si>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</si>
  <si>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</si>
  <si>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</si>
  <si>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</si>
  <si>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</si>
  <si>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</si>
  <si>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</si>
  <si>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</si>
  <si>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</si>
  <si>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</si>
  <si>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</si>
  <si>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</si>
  <si>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</si>
  <si>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</si>
  <si>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</si>
  <si>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</si>
  <si>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</si>
  <si>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</si>
  <si>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</si>
  <si>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</si>
  <si>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</si>
  <si>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Licenses</t>
  </si>
  <si>
    <t>Building Permits</t>
  </si>
  <si>
    <t>Miscellaneous</t>
  </si>
  <si>
    <t xml:space="preserve">  3.</t>
  </si>
  <si>
    <t>STATEMENT OF CONDITIONAL LEASE-PURCHASE AND CERTIFICATE OF PARTICIPATION*</t>
  </si>
  <si>
    <t>Gross Earning (Intangible) Tax</t>
  </si>
  <si>
    <t xml:space="preserve">   </t>
  </si>
  <si>
    <t xml:space="preserve">  Real Estate</t>
  </si>
  <si>
    <t xml:space="preserve">  State Assessed</t>
  </si>
  <si>
    <t xml:space="preserve">  New Improvements</t>
  </si>
  <si>
    <t>14.</t>
  </si>
  <si>
    <t>15.</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</si>
  <si>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</si>
  <si>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</si>
  <si>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</si>
  <si>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</si>
  <si>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</si>
  <si>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</si>
  <si>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</si>
  <si>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</si>
  <si>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</si>
  <si>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</si>
  <si>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</si>
  <si>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</si>
  <si>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</si>
  <si>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</si>
  <si>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</si>
  <si>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Current</t>
  </si>
  <si>
    <t>Proposed</t>
  </si>
  <si>
    <t>Authorized by</t>
  </si>
  <si>
    <t xml:space="preserve"> Statute</t>
  </si>
  <si>
    <t>Address:</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</si>
  <si>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</si>
  <si>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</si>
  <si>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</si>
  <si>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</si>
  <si>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</si>
  <si>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</si>
  <si>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</si>
  <si>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</si>
  <si>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</si>
  <si>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</si>
  <si>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</si>
  <si>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</si>
  <si>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</si>
  <si>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</si>
  <si>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</si>
  <si>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</si>
  <si>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</si>
  <si>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</si>
  <si>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</si>
  <si>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</si>
  <si>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</si>
  <si>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</si>
  <si>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</si>
  <si>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</si>
  <si>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</si>
  <si>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1. Transfer tab - changed the column heading dates as had wrong reference cell</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</si>
  <si>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</si>
  <si>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</si>
  <si>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</si>
  <si>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</si>
  <si>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</si>
  <si>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</si>
  <si>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</si>
  <si>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</si>
  <si>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</si>
  <si>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</si>
  <si>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</si>
  <si>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</si>
  <si>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</si>
  <si>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</si>
  <si>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</si>
  <si>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</si>
  <si>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</si>
  <si>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</si>
  <si>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</si>
  <si>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</si>
  <si>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</si>
  <si>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</si>
  <si>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</si>
  <si>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</si>
  <si>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</si>
  <si>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</si>
  <si>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</si>
  <si>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</si>
  <si>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</si>
  <si>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</si>
  <si>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</si>
  <si>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</si>
  <si>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</si>
  <si>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</si>
  <si>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</si>
  <si>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</si>
  <si>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</si>
  <si>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</si>
  <si>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</si>
  <si>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</si>
  <si>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</si>
  <si>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</si>
  <si>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</si>
  <si>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</si>
  <si>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</si>
  <si>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</si>
  <si>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</si>
  <si>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</si>
  <si>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</si>
  <si>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</si>
  <si>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</si>
  <si>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</si>
  <si>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</si>
  <si>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</si>
  <si>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</si>
  <si>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</si>
  <si>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</si>
  <si>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</si>
  <si>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</si>
  <si>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</si>
  <si>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</si>
  <si>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</si>
  <si>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</si>
  <si>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</si>
  <si>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</si>
  <si>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</si>
  <si>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</si>
  <si>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</si>
  <si>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</si>
  <si>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</si>
  <si>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</si>
  <si>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</si>
  <si>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</si>
  <si>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</si>
  <si>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</si>
  <si>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</si>
  <si>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</si>
  <si>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</si>
  <si>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</si>
  <si>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</si>
  <si>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</si>
  <si>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</si>
  <si>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</si>
  <si>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</si>
  <si>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</si>
  <si>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</si>
  <si>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</si>
  <si>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</si>
  <si>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</si>
  <si>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</si>
  <si>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</si>
  <si>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</si>
  <si>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</si>
  <si>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</si>
  <si>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</si>
  <si>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</si>
  <si>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</si>
  <si>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</si>
  <si>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</si>
  <si>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</si>
  <si>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</si>
  <si>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</si>
  <si>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</si>
  <si>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</si>
  <si>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</si>
  <si>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</si>
  <si>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</si>
  <si>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</si>
  <si>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</si>
  <si>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</si>
  <si>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</si>
  <si>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</si>
  <si>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</si>
  <si>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</si>
  <si>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</si>
  <si>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</si>
  <si>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</si>
  <si>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</si>
  <si>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</si>
  <si>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</si>
  <si>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</si>
  <si>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</si>
  <si>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</si>
  <si>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</si>
  <si>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</si>
  <si>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</si>
  <si>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</si>
  <si>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</si>
  <si>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</si>
  <si>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</si>
  <si>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</si>
  <si>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</si>
  <si>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</si>
  <si>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</si>
  <si>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</si>
  <si>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</si>
  <si>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</si>
  <si>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</si>
  <si>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</si>
  <si>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</si>
  <si>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</si>
  <si>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</si>
  <si>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</si>
  <si>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</si>
  <si>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</si>
  <si>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</si>
  <si>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</si>
  <si>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</si>
  <si>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</si>
  <si>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</si>
  <si>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</si>
  <si>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</si>
  <si>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</si>
  <si>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</si>
  <si>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</si>
  <si>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</si>
  <si>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</si>
  <si>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</si>
  <si>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</si>
  <si>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</si>
  <si>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</si>
  <si>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</si>
  <si>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</si>
  <si>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</si>
  <si>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</si>
  <si>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</si>
  <si>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</si>
  <si>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</si>
  <si>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</si>
  <si>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</si>
  <si>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</si>
  <si>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</si>
  <si>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</si>
  <si>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</si>
  <si>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</si>
  <si>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</si>
  <si>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</si>
  <si>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</si>
  <si>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</si>
  <si>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</si>
  <si>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</si>
  <si>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</si>
  <si>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</si>
  <si>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</si>
  <si>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</si>
  <si>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</si>
  <si>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</si>
  <si>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</si>
  <si>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</si>
  <si>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</si>
  <si>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</si>
  <si>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</si>
  <si>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</si>
  <si>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</si>
  <si>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</si>
  <si>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</si>
  <si>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</si>
  <si>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</si>
  <si>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</si>
  <si>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</si>
  <si>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</si>
  <si>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</si>
  <si>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</si>
  <si>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</si>
  <si>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</si>
  <si>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</si>
  <si>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</si>
  <si>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</si>
  <si>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</si>
  <si>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</si>
  <si>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</si>
  <si>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</si>
  <si>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</si>
  <si>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</si>
  <si>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</si>
  <si>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</si>
  <si>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</si>
  <si>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</si>
  <si>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</si>
  <si>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</si>
  <si>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</si>
  <si>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</si>
  <si>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</si>
  <si>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</si>
  <si>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</si>
  <si>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</si>
  <si>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</si>
  <si>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</si>
  <si>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</si>
  <si>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</si>
  <si>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</si>
  <si>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</si>
  <si>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</si>
  <si>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</si>
  <si>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</si>
  <si>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</si>
  <si>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</si>
  <si>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</si>
  <si>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</si>
  <si>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</si>
  <si>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</si>
  <si>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</si>
  <si>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</si>
  <si>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</si>
  <si>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</si>
  <si>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</si>
  <si>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</si>
  <si>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</si>
  <si>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</si>
  <si>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</si>
  <si>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</si>
  <si>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</si>
  <si>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</si>
  <si>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</si>
  <si>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</si>
  <si>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</si>
  <si>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</si>
  <si>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</si>
  <si>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</si>
  <si>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</si>
  <si>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</si>
  <si>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</si>
  <si>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</si>
  <si>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</si>
  <si>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</si>
  <si>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</si>
  <si>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</si>
  <si>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</si>
  <si>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</si>
  <si>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</si>
  <si>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</si>
  <si>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</si>
  <si>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</si>
  <si>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</si>
  <si>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</si>
  <si>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</si>
  <si>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</si>
  <si>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</si>
  <si>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</si>
  <si>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</si>
  <si>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</si>
  <si>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</si>
  <si>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</si>
  <si>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</si>
  <si>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</si>
  <si>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</si>
  <si>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</si>
  <si>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</si>
  <si>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</si>
  <si>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</si>
  <si>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</si>
  <si>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</si>
  <si>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</si>
  <si>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</si>
  <si>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</si>
  <si>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</si>
  <si>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</si>
  <si>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</si>
  <si>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</si>
  <si>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</si>
  <si>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</si>
  <si>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</si>
  <si>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</si>
  <si>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</si>
  <si>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</si>
  <si>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</si>
  <si>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</si>
  <si>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</si>
  <si>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</si>
  <si>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</si>
  <si>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</si>
  <si>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</si>
  <si>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</si>
  <si>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</si>
  <si>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</si>
  <si>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</si>
  <si>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</si>
  <si>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</si>
  <si>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</si>
  <si>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</si>
  <si>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</si>
  <si>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</si>
  <si>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</si>
  <si>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</si>
  <si>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</si>
  <si>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</si>
  <si>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</si>
  <si>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</si>
  <si>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</si>
  <si>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</si>
  <si>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</si>
  <si>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</si>
  <si>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</si>
  <si>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</si>
  <si>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</si>
  <si>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</si>
  <si>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</si>
  <si>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</si>
  <si>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</si>
  <si>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</si>
  <si>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</si>
  <si>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</si>
  <si>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</si>
  <si>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</si>
  <si>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</si>
  <si>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</si>
  <si>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</si>
  <si>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</si>
  <si>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</si>
  <si>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</si>
  <si>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</si>
  <si>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</si>
  <si>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</si>
  <si>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</si>
  <si>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</si>
  <si>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</si>
  <si>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</si>
  <si>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</si>
  <si>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</si>
  <si>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</si>
  <si>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</si>
  <si>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</si>
  <si>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</si>
  <si>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</si>
  <si>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</si>
  <si>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</si>
  <si>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</si>
  <si>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</si>
  <si>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</si>
  <si>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</si>
  <si>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</si>
  <si>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</si>
  <si>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</si>
  <si>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</si>
  <si>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</si>
  <si>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</si>
  <si>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</si>
  <si>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</si>
  <si>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</si>
  <si>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</si>
  <si>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</si>
  <si>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</si>
  <si>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</si>
  <si>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</si>
  <si>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</si>
  <si>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</si>
  <si>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</si>
  <si>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</si>
  <si>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</si>
  <si>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</si>
  <si>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</si>
  <si>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</si>
  <si>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</si>
  <si>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</si>
  <si>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</si>
  <si>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</si>
  <si>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</si>
  <si>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</si>
  <si>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</si>
  <si>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</si>
  <si>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</si>
  <si>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</si>
  <si>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</si>
  <si>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</si>
  <si>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</si>
  <si>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</si>
  <si>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</si>
  <si>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</si>
  <si>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</si>
  <si>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</si>
  <si>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</si>
  <si>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</si>
  <si>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</si>
  <si>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</si>
  <si>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</si>
  <si>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</si>
  <si>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</si>
  <si>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</si>
  <si>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</si>
  <si>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</si>
  <si>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</si>
  <si>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</si>
  <si>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</si>
  <si>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</si>
  <si>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</si>
  <si>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</si>
  <si>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</si>
  <si>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</si>
  <si>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</si>
  <si>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</si>
  <si>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</si>
  <si>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</si>
  <si>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</si>
  <si>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</si>
  <si>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</si>
  <si>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</si>
  <si>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</si>
  <si>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</si>
  <si>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</si>
  <si>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</si>
  <si>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</si>
  <si>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</si>
  <si>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</si>
  <si>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</si>
  <si>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1. DebtService tab corrected cell E20 total computation</t>
  </si>
  <si>
    <t>2. Mvalloc tab corrected table link with InputPrYr ad valorem taxes</t>
  </si>
  <si>
    <t>3. Debt Service tab corrected cell G34 from E21 to E20</t>
  </si>
  <si>
    <t>1. Summ tab changed proposed year expenditure column to 'Budget Authority for Expenditures'</t>
  </si>
  <si>
    <t>2. Mvalloc/slider column cell corrections.</t>
  </si>
  <si>
    <t>1. Summary tab correct cells J28, J29, M28, and M29 as wrong cell reference and formula error</t>
  </si>
  <si>
    <t>1. Tabs level page 9 and 10 cell D32 formatting change reference C34 to D34 and cell D69 reference from C71 to D71</t>
  </si>
  <si>
    <t>1. Debt Service fund page: total receipts formula changed to eliminate reference to unencumbered cash (cell C6)</t>
  </si>
  <si>
    <t>2. Summary page: corrected cell reference in current year expenditures, cell D26</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</si>
  <si>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</si>
  <si>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</si>
  <si>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</si>
  <si>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</si>
  <si>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</si>
  <si>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</si>
  <si>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</si>
  <si>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</si>
  <si>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</si>
  <si>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</si>
  <si>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</si>
  <si>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</si>
  <si>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</si>
  <si>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</si>
  <si>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</si>
  <si>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Budgeted Funds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</si>
  <si>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</si>
  <si>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</si>
  <si>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</si>
  <si>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</si>
  <si>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</si>
  <si>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</si>
  <si>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</si>
  <si>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</si>
  <si>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</si>
  <si>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</si>
  <si>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</si>
  <si>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</si>
  <si>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</si>
  <si>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</si>
  <si>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</si>
  <si>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</si>
  <si>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</si>
  <si>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</si>
  <si>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</si>
  <si>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</si>
  <si>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</si>
  <si>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</si>
  <si>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</si>
  <si>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</si>
  <si>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</si>
  <si>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</si>
  <si>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</si>
  <si>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</si>
  <si>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</si>
  <si>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</si>
  <si>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</si>
  <si>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</si>
  <si>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</si>
  <si>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</si>
  <si>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</si>
  <si>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</si>
  <si>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</si>
  <si>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</si>
  <si>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</si>
  <si>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</si>
  <si>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</si>
  <si>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</si>
  <si>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</si>
  <si>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</si>
  <si>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</si>
  <si>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</si>
  <si>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</si>
  <si>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</si>
  <si>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</si>
  <si>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</si>
  <si>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</si>
  <si>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</si>
  <si>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</si>
  <si>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</si>
  <si>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</si>
  <si>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</si>
  <si>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</si>
  <si>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</si>
  <si>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</si>
  <si>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</si>
  <si>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</si>
  <si>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</si>
  <si>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</si>
  <si>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</si>
  <si>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</si>
  <si>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</si>
  <si>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</si>
  <si>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</si>
  <si>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</si>
  <si>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</si>
  <si>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</si>
  <si>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</si>
  <si>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</si>
  <si>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</si>
  <si>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</si>
  <si>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</si>
  <si>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</si>
  <si>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</si>
  <si>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</si>
  <si>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</si>
  <si>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</si>
  <si>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</si>
  <si>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</si>
  <si>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</si>
  <si>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</si>
  <si>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</si>
  <si>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</si>
  <si>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</si>
  <si>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</si>
  <si>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</si>
  <si>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</si>
  <si>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</si>
  <si>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</si>
  <si>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</si>
  <si>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</si>
  <si>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</si>
  <si>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</si>
  <si>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</si>
  <si>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</si>
  <si>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</si>
  <si>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</si>
  <si>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</si>
  <si>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</si>
  <si>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</si>
  <si>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</si>
  <si>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</si>
  <si>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</si>
  <si>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</si>
  <si>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</si>
  <si>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</si>
  <si>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</si>
  <si>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</si>
  <si>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</si>
  <si>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</si>
  <si>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</si>
  <si>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</si>
  <si>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</si>
  <si>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</si>
  <si>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</si>
  <si>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</si>
  <si>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</si>
  <si>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</si>
  <si>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</si>
  <si>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</si>
  <si>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</si>
  <si>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</si>
  <si>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</si>
  <si>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</si>
  <si>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</si>
  <si>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</si>
  <si>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</si>
  <si>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</si>
  <si>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</si>
  <si>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</si>
  <si>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</si>
  <si>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</si>
  <si>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</si>
  <si>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</si>
  <si>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</si>
  <si>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</si>
  <si>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</si>
  <si>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</si>
  <si>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</si>
  <si>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</si>
  <si>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</si>
  <si>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</si>
  <si>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</si>
  <si>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1. Library Grant tab, updated State Library e-mail contact address</t>
  </si>
  <si>
    <t>1. Concantenate at line 9 of the Certificate page changed to reference cell F1</t>
  </si>
  <si>
    <t>2. Corrected misspelling of word "limitations" on line 9 of the Certificate page.</t>
  </si>
  <si>
    <t>1. Corrected addition computation in column D, inputPrYr tab</t>
  </si>
  <si>
    <t>1.  Added "ordinance required?  yes/no" message to area adjacent to each tax levy fund</t>
  </si>
  <si>
    <t>1.  Corrected formula in cell e28 of Library Grant tab</t>
  </si>
  <si>
    <t>1.  Instruction tab narrative modification</t>
  </si>
  <si>
    <t>1.  Corrected formulas for column totals on general fund detail page.</t>
  </si>
  <si>
    <t>1.  "Budget Authority Amount" cell added to budget year column of all funds.</t>
  </si>
  <si>
    <t>16.</t>
  </si>
  <si>
    <t>17.</t>
  </si>
  <si>
    <t>18.</t>
  </si>
  <si>
    <t>Increase in personal property (5a minus 5b)</t>
  </si>
  <si>
    <t>Real estate</t>
  </si>
  <si>
    <t>State assessed</t>
  </si>
  <si>
    <t>New improvements</t>
  </si>
  <si>
    <t>Total adjustment (sum of 6a, 6b, and 6c)</t>
  </si>
  <si>
    <t>The following changes were made to this workbook on 5/7/14</t>
  </si>
  <si>
    <t>1.  Several changes to workbook associated with 2014 HB 2047.</t>
  </si>
  <si>
    <t>The following changes were made to this workbook on 4/2/14</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</si>
  <si>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</si>
  <si>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</si>
  <si>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</si>
  <si>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</si>
  <si>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</si>
  <si>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3/22/12</t>
  </si>
  <si>
    <t>The following changes were made to this workbook on 2/22/12</t>
  </si>
  <si>
    <t>The following changes were made to this workbook on 8/16/11</t>
  </si>
  <si>
    <t>The following changes were made to this workbook on 6/30/11</t>
  </si>
  <si>
    <t>The following changes were made to this workbook on 6/17/11</t>
  </si>
  <si>
    <t>The following changes were made to this workbook on 5/26/11</t>
  </si>
  <si>
    <t>The following changes were made to this workbook on 5/6/11</t>
  </si>
  <si>
    <t>The following changes were made to this workbook on 4/19/11</t>
  </si>
  <si>
    <t>The following changes were made to this workbook on 3/16/11</t>
  </si>
  <si>
    <t>The following changes were made to this workbook on 8/20/10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</si>
  <si>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</si>
  <si>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</si>
  <si>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</si>
  <si>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</si>
  <si>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</si>
  <si>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4/24/09</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</si>
  <si>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</si>
  <si>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</si>
  <si>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</si>
  <si>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</si>
  <si>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The following changes were made to this workbook on 7/9/14</t>
  </si>
  <si>
    <t>1.  Correction to formula in cell j44 of the computation tab worksheet.</t>
  </si>
  <si>
    <t>The following changes were made to this workbook on 8/4/14</t>
  </si>
  <si>
    <t>1.  Update of State Library contact name on library grant tab.</t>
  </si>
  <si>
    <t>City Budget Workbook Instructions</t>
  </si>
  <si>
    <t>Enter city name ("City of _____"):</t>
  </si>
  <si>
    <t>Enter county name followed by "County":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</si>
  <si>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</si>
  <si>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</si>
  <si>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</si>
  <si>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</si>
  <si>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From the County Clerk's Budget Information</t>
  </si>
  <si>
    <t>How to Compute the Value of One Mill, and the Impact of Tax Dollars and Assessed Valuation on Mill Rates</t>
  </si>
  <si>
    <t>Input Sheet for City Budget Workbook</t>
  </si>
  <si>
    <t>The following changes were made to this workbook on 9/16/14</t>
  </si>
  <si>
    <t>1.  Corrected the print margins of the general fund tab.</t>
  </si>
  <si>
    <t>Commercial Vehicle Tax Estimate</t>
  </si>
  <si>
    <t>16\20 M Vehicle Tax Estimate</t>
  </si>
  <si>
    <t>Watercraft Tax Estimate</t>
  </si>
  <si>
    <t>County Treas Recreational Vehicle Estimate</t>
  </si>
  <si>
    <t>County Treas 16/20M Vehicle Estimate</t>
  </si>
  <si>
    <t>County Treas Commercial Vehicle Tax Estimate</t>
  </si>
  <si>
    <t>County Treas Watercraft Tax Estimate</t>
  </si>
  <si>
    <t>Commercial Vehicle Factor</t>
  </si>
  <si>
    <t>Watercraft Factor</t>
  </si>
  <si>
    <t>Commercial Vehicle Tax</t>
  </si>
  <si>
    <t>Watercraft Tax</t>
  </si>
  <si>
    <t>Comm Veh</t>
  </si>
  <si>
    <t>Watercraft</t>
  </si>
  <si>
    <t>The following changes were made to this workbook on 9/22/14</t>
  </si>
  <si>
    <t>1.  Various workbook changes associated with commercial vehicle and watercraft tax estimates.</t>
  </si>
  <si>
    <t>Ad Valorem Levy</t>
  </si>
  <si>
    <t xml:space="preserve">Allocation of MV, RV, 16/20M, Commercial Vehicle, and Watercraft Tax Estimates </t>
  </si>
  <si>
    <t>2.  Corrected formula in cell d24 of library grant tab.</t>
  </si>
  <si>
    <t>1.  Inserted 2014 CPI percentage on computation tab.</t>
  </si>
  <si>
    <t>The following changes were made to this workbook on 1/21/15</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</si>
  <si>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</si>
  <si>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</si>
  <si>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</si>
  <si>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</si>
  <si>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</si>
  <si>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</si>
  <si>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</si>
  <si>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1/27/2016</t>
  </si>
  <si>
    <t>1.  Inserted 2015 CPI percentage on computation tab.</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</si>
  <si>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</si>
  <si>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</si>
  <si>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</si>
  <si>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CPA Summary</t>
  </si>
  <si>
    <t xml:space="preserve">megan.schulz@ks.gov </t>
  </si>
  <si>
    <t>Net tax levy</t>
  </si>
  <si>
    <t xml:space="preserve">Expiration of property tax abatements </t>
  </si>
  <si>
    <t>Expiration of TIF, Rural Housing, and NR Districts</t>
  </si>
  <si>
    <t>(Incremental assessed value over base)</t>
  </si>
  <si>
    <t>Percentage adjustment factor  - Line 10 / (Line 11 - Line 10))</t>
  </si>
  <si>
    <t>Percentage adjustment increase (12 times 3)</t>
  </si>
  <si>
    <t>Consumer Price Index adjustment (Line 3 times Line 14)</t>
  </si>
  <si>
    <t>Total Percentage Adjustments</t>
  </si>
  <si>
    <t>Increase property tax revenues spent on debt service</t>
  </si>
  <si>
    <t>(Obligations must have been incurred prior to July 1, 2016)</t>
  </si>
  <si>
    <t>(Do not include amounts already reported in debt service levy)</t>
  </si>
  <si>
    <t>Property tax revenues spent for public building commission and lease payments in the 2018 budget:</t>
  </si>
  <si>
    <t>Increase property tax revenues spent on public building commission and lease payments</t>
  </si>
  <si>
    <t>19.</t>
  </si>
  <si>
    <t>20.</t>
  </si>
  <si>
    <t>21.</t>
  </si>
  <si>
    <t>Property tax revenues spent on Federal or State mandates (effective after June 30, 2015)</t>
  </si>
  <si>
    <t>22.</t>
  </si>
  <si>
    <t>23.</t>
  </si>
  <si>
    <t xml:space="preserve">CPI adjustment </t>
  </si>
  <si>
    <t>(Do not include building construction or remodeling costs)</t>
  </si>
  <si>
    <t>24.</t>
  </si>
  <si>
    <t>25.</t>
  </si>
  <si>
    <t>26.</t>
  </si>
  <si>
    <t>Total Revenue Adjustments</t>
  </si>
  <si>
    <t>Levies on Behalf of Another Political or Governmental Subdivision</t>
  </si>
  <si>
    <t>27.</t>
  </si>
  <si>
    <t>28.</t>
  </si>
  <si>
    <t xml:space="preserve">Total Levies on Behalf of Another Political or Governmental Subdivision </t>
  </si>
  <si>
    <t>29.</t>
  </si>
  <si>
    <t xml:space="preserve">Total Computed Tax Levy </t>
  </si>
  <si>
    <t>Other Tests - Property Tax Decline</t>
  </si>
  <si>
    <t>Note - In order to use the test, there must be a decline in tax revenues in at least one of the years listed below.</t>
  </si>
  <si>
    <t>Average Tax Levy (last three years)</t>
  </si>
  <si>
    <t>Average Tax Levy Adjusted by CPI</t>
  </si>
  <si>
    <t>Exemption from Election Requirement</t>
  </si>
  <si>
    <t xml:space="preserve">Other Tests - Lost Valuation Test </t>
  </si>
  <si>
    <t>Assessed Valuation Loss</t>
  </si>
  <si>
    <t xml:space="preserve">Change in Levy </t>
  </si>
  <si>
    <t xml:space="preserve">CPI Adjustment </t>
  </si>
  <si>
    <t xml:space="preserve">Total Adjustment for Loss of Assessed Valuation </t>
  </si>
  <si>
    <t>Exemption from Election Requirment</t>
  </si>
  <si>
    <t>Total valuation adjustment (sum of 4, 5c, 6d, 7, 8 &amp; 9)</t>
  </si>
  <si>
    <t>"</t>
  </si>
  <si>
    <t xml:space="preserve">CPI Percentage - 5 Year Average </t>
  </si>
  <si>
    <t xml:space="preserve">CPI Percentage - Preceding Year </t>
  </si>
  <si>
    <t>The following changes were made to this workbook during April 2018</t>
  </si>
  <si>
    <t>1.  Added CPA Summary Tab</t>
  </si>
  <si>
    <t xml:space="preserve">3. Added CPI Percentages on Input Prior Year Tab </t>
  </si>
  <si>
    <t>4. Added Computed Tax Levy Amount on Certification Page and Edit if Election is Required</t>
  </si>
  <si>
    <t xml:space="preserve">2.  Added CPA Summary Box to Certification Page and all Fund Pages </t>
  </si>
  <si>
    <t>6.  Changed Megan Schulz email address on Library Grant Tab</t>
  </si>
  <si>
    <t xml:space="preserve">8.  Removed Resolution Tab   </t>
  </si>
  <si>
    <t xml:space="preserve">7.  Removed Public Notice Options Tabs 1, 2, and 3 </t>
  </si>
  <si>
    <t>5.  Removed Computation Tab and Inserted Comp1, Comp2, and Comp3 Tabs and Inserted Various Links</t>
  </si>
  <si>
    <t>Expiration of Property Tax Abatements</t>
  </si>
  <si>
    <t>Does the City Need to Hold an Election?</t>
  </si>
  <si>
    <t xml:space="preserve">Tax Lid Limit (from Computation Tab) </t>
  </si>
  <si>
    <t xml:space="preserve">Please read these instructions carefully.  If after reviewing the instructions you still have questions, contact Municipal Services at 785-296-6033 or 785-296-8083; or via email to armunis@ks.gov </t>
  </si>
  <si>
    <t>CPA Summary of Assumptions</t>
  </si>
  <si>
    <t>30.</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</si>
  <si>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</si>
  <si>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</si>
  <si>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</si>
  <si>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</si>
  <si>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</si>
  <si>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</si>
  <si>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</si>
  <si>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Levy for Dissolved Taxing Entity (Only Use the First Year After Dissolved)</t>
  </si>
  <si>
    <t>City of Strong City</t>
  </si>
  <si>
    <t>Chase County</t>
  </si>
  <si>
    <t>Special Parks</t>
  </si>
  <si>
    <t>Tourism</t>
  </si>
  <si>
    <t>Water</t>
  </si>
  <si>
    <t>Sewer</t>
  </si>
  <si>
    <t>Community Trail</t>
  </si>
  <si>
    <t>Equipment</t>
  </si>
  <si>
    <t>Sewer Improvement Project</t>
  </si>
  <si>
    <t>Shari L. DeWitt</t>
  </si>
  <si>
    <t>City Clerk</t>
  </si>
  <si>
    <t>August 13, 2019</t>
  </si>
  <si>
    <t>7:00 p.m.</t>
  </si>
  <si>
    <t>Equipment Fund</t>
  </si>
  <si>
    <t>12-1117</t>
  </si>
  <si>
    <t>GO Bond Series 2015A</t>
  </si>
  <si>
    <t>GO Bon Series 2015B</t>
  </si>
  <si>
    <t>Insurance Reimbursement</t>
  </si>
  <si>
    <t>PWWSD Reimbursement</t>
  </si>
  <si>
    <t>Depot Rent</t>
  </si>
  <si>
    <t>Municipal Court Receipts</t>
  </si>
  <si>
    <t>Clearing of Property</t>
  </si>
  <si>
    <t>Wages/Employee Benefits</t>
  </si>
  <si>
    <t>Contractual</t>
  </si>
  <si>
    <t>Commodities</t>
  </si>
  <si>
    <t>Capital Outlay</t>
  </si>
  <si>
    <t>Economic Development</t>
  </si>
  <si>
    <t>Insurance</t>
  </si>
  <si>
    <t>Chamber of Commerce</t>
  </si>
  <si>
    <t>Fire Siren</t>
  </si>
  <si>
    <t>Utilities</t>
  </si>
  <si>
    <t>Streets</t>
  </si>
  <si>
    <t>Parks &amp; Park Improvements</t>
  </si>
  <si>
    <t>Dues and Fees</t>
  </si>
  <si>
    <t>Sidewalks/Handicap Parking</t>
  </si>
  <si>
    <t>Maintence &amp; Repairs</t>
  </si>
  <si>
    <t>Transfer to Equipment Fund</t>
  </si>
  <si>
    <t>Dangerous Structures</t>
  </si>
  <si>
    <t>Downtown Revitalization</t>
  </si>
  <si>
    <t>Law Enforcement</t>
  </si>
  <si>
    <t>Real Estate Redemption</t>
  </si>
  <si>
    <t>State Revolving Loan/Sewer</t>
  </si>
  <si>
    <t>3/1, 9/1</t>
  </si>
  <si>
    <t>Vehicle Expense</t>
  </si>
  <si>
    <t>Repairs</t>
  </si>
  <si>
    <t>Capitol Outlay</t>
  </si>
  <si>
    <t>Liquor Tax</t>
  </si>
  <si>
    <t>Picket Sales</t>
  </si>
  <si>
    <t>Donations</t>
  </si>
  <si>
    <t>Grants</t>
  </si>
  <si>
    <t>Fund Raisers</t>
  </si>
  <si>
    <t>Park Improvements</t>
  </si>
  <si>
    <t>Park Equipment</t>
  </si>
  <si>
    <t>Guest Tax</t>
  </si>
  <si>
    <t>Tourism Expense</t>
  </si>
  <si>
    <t>Trash Sales</t>
  </si>
  <si>
    <t>Wages &amp; Employee Benefits</t>
  </si>
  <si>
    <t>Contractual and Utilities</t>
  </si>
  <si>
    <t>Other, Sales Tax, Dues &amp; Fees</t>
  </si>
  <si>
    <t>Trash Services</t>
  </si>
  <si>
    <t>Water Purchased from PWWSD No. 26</t>
  </si>
  <si>
    <t>Transfer to Short Lived Assets</t>
  </si>
  <si>
    <t>GO Bond Series 2015B</t>
  </si>
  <si>
    <t>Service Charges</t>
  </si>
  <si>
    <t>Wages &amp; Benefits</t>
  </si>
  <si>
    <t>Contractual &amp; Utilities</t>
  </si>
  <si>
    <t>Dues &amp; Fees</t>
  </si>
  <si>
    <t>KDHE Loan</t>
  </si>
  <si>
    <t>CDBG</t>
  </si>
  <si>
    <t>USDA</t>
  </si>
  <si>
    <t>KDHE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</si>
</sst>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
    <numFmt numFmtId="168" formatCode="0.00000"/>
    <numFmt numFmtId="169" formatCode="m/d/yy"/>
    <numFmt numFmtId="170" formatCode="m/d"/>
    <numFmt numFmtId="171" formatCode="_(* #,##0_);_(* \(#,##0\);_(* &quot;-&quot;??_);_(@_)"/>
    <numFmt numFmtId="172" formatCode="#,##0.000"/>
    <numFmt numFmtId="173" formatCode="#,##0.000_);\(#,##0.000\)"/>
    <numFmt numFmtId="174" formatCode="0.000%"/>
    <numFmt numFmtId="175" formatCode="[$-409]mmmm\ d\,\ yyyy;@"/>
    <numFmt numFmtId="176" formatCode="[$-409]h:mm\ AM/PM;@"/>
    <numFmt numFmtId="177" formatCode="m/d/yy;@"/>
    <numFmt numFmtId="178" formatCode="&quot;$&quot;#,##0"/>
    <numFmt numFmtId="179" formatCode="&quot;$&quot;#,##0.00"/>
    <numFmt numFmtId="180" formatCode="#,###"/>
    <numFmt numFmtId="181" formatCode="0.0%"/>
    <numFmt numFmtId="182" formatCode="#,##0.000_);[Red]\(#,##0.000\)"/>
  </numFmts>
  <fonts count="60" x14ac:knownFonts="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s>
  <fills count="20">
    <fill>
      <patternFill patternType="none"/>
    </fill>
    <fill>
      <patternFill patternType="gray125"/>
    </fill>
    <fill>
      <patternFill patternType="solid">
        <fgColor indexed="26"/>
        <bgColor indexed="64"/>
      </patternFill>
    </fill>
    <fill>
      <patternFill patternType="solid">
        <fgColor indexed="11"/>
      </patternFill>
    </fill>
    <fill>
      <patternFill patternType="solid">
        <fgColor indexed="11"/>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515">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47"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cellStyleXfs>
  <cellXfs count="1036">
    <xf numFmtId="0" fontId="0" fillId="0" borderId="0" xfId="0"/>
    <xf numFmtId="0" fontId="5" fillId="0" borderId="0" xfId="0" applyFont="1"/>
    <xf numFmtId="0" fontId="5" fillId="0" borderId="0" xfId="0" applyFont="1" applyProtection="1">
      <protection locked="0"/>
    </xf>
    <xf numFmtId="0" fontId="5" fillId="2" borderId="0" xfId="0" applyFont="1" applyFill="1" applyProtection="1">
      <protection locked="0"/>
    </xf>
    <xf numFmtId="37" fontId="5" fillId="2" borderId="1" xfId="0" applyNumberFormat="1" applyFont="1" applyFill="1" applyBorder="1" applyAlignment="1" applyProtection="1">
      <alignment horizontal="left"/>
    </xf>
    <xf numFmtId="37" fontId="5" fillId="2" borderId="1" xfId="0" applyNumberFormat="1" applyFont="1" applyFill="1" applyBorder="1" applyProtection="1"/>
    <xf numFmtId="0" fontId="5" fillId="2" borderId="0" xfId="0" applyFont="1" applyFill="1" applyProtection="1"/>
    <xf numFmtId="37" fontId="5" fillId="2" borderId="0" xfId="0" applyNumberFormat="1" applyFont="1" applyFill="1" applyAlignment="1" applyProtection="1">
      <alignment horizontal="left"/>
    </xf>
    <xf numFmtId="37" fontId="5" fillId="2" borderId="0" xfId="0" applyNumberFormat="1" applyFont="1" applyFill="1" applyAlignment="1" applyProtection="1">
      <alignment horizontal="centerContinuous"/>
    </xf>
    <xf numFmtId="0" fontId="5" fillId="2" borderId="0" xfId="0" applyFont="1" applyFill="1" applyAlignment="1" applyProtection="1">
      <alignment horizontal="centerContinuous"/>
    </xf>
    <xf numFmtId="37" fontId="5" fillId="2" borderId="2" xfId="0" applyNumberFormat="1" applyFont="1" applyFill="1" applyBorder="1" applyAlignment="1" applyProtection="1">
      <alignment horizontal="center"/>
    </xf>
    <xf numFmtId="37" fontId="5" fillId="2" borderId="3" xfId="0" applyNumberFormat="1" applyFont="1" applyFill="1" applyBorder="1" applyAlignment="1" applyProtection="1">
      <alignment horizontal="center"/>
    </xf>
    <xf numFmtId="0" fontId="5" fillId="2" borderId="1" xfId="0" applyFont="1" applyFill="1" applyBorder="1" applyProtection="1"/>
    <xf numFmtId="37" fontId="5" fillId="2" borderId="0" xfId="0" applyNumberFormat="1" applyFont="1" applyFill="1" applyAlignment="1" applyProtection="1">
      <alignment horizontal="center"/>
    </xf>
    <xf numFmtId="0" fontId="5" fillId="2" borderId="0" xfId="0" applyFont="1" applyFill="1" applyAlignment="1" applyProtection="1">
      <alignment horizontal="right"/>
    </xf>
    <xf numFmtId="0" fontId="5" fillId="2" borderId="3" xfId="0" applyFont="1" applyFill="1" applyBorder="1" applyAlignment="1" applyProtection="1">
      <alignment horizontal="center"/>
    </xf>
    <xf numFmtId="37" fontId="4" fillId="2" borderId="0" xfId="0" applyNumberFormat="1" applyFont="1" applyFill="1" applyAlignment="1" applyProtection="1">
      <alignment horizontal="centerContinuous"/>
    </xf>
    <xf numFmtId="37" fontId="5" fillId="2" borderId="0" xfId="0" applyNumberFormat="1" applyFont="1" applyFill="1" applyAlignment="1" applyProtection="1">
      <alignment horizontal="centerContinuous" wrapText="1"/>
    </xf>
    <xf numFmtId="0" fontId="5" fillId="2" borderId="0" xfId="0" applyFont="1" applyFill="1" applyAlignment="1" applyProtection="1">
      <alignment horizontal="centerContinuous" wrapText="1"/>
    </xf>
    <xf numFmtId="37" fontId="5" fillId="2" borderId="0" xfId="0" applyNumberFormat="1" applyFont="1" applyFill="1" applyBorder="1" applyAlignment="1" applyProtection="1">
      <alignment horizontal="fill"/>
    </xf>
    <xf numFmtId="37" fontId="5" fillId="2" borderId="4" xfId="0" applyNumberFormat="1" applyFont="1" applyFill="1" applyBorder="1" applyAlignment="1" applyProtection="1">
      <alignment horizontal="left"/>
    </xf>
    <xf numFmtId="37" fontId="5" fillId="2" borderId="0" xfId="0" applyNumberFormat="1" applyFont="1" applyFill="1" applyAlignment="1" applyProtection="1">
      <alignment horizontal="left"/>
      <protection locked="0"/>
    </xf>
    <xf numFmtId="1" fontId="5" fillId="2" borderId="0" xfId="0" applyNumberFormat="1" applyFont="1" applyFill="1" applyBorder="1" applyAlignment="1" applyProtection="1">
      <alignment horizontal="right"/>
    </xf>
    <xf numFmtId="0" fontId="0" fillId="2" borderId="0" xfId="0" applyFill="1"/>
    <xf numFmtId="37" fontId="8" fillId="2" borderId="2"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5" fillId="2" borderId="5" xfId="0" applyNumberFormat="1" applyFont="1" applyFill="1" applyBorder="1" applyAlignment="1" applyProtection="1">
      <alignment horizontal="center"/>
    </xf>
    <xf numFmtId="0" fontId="5" fillId="2" borderId="0" xfId="0" applyFont="1" applyFill="1" applyAlignment="1" applyProtection="1">
      <alignment horizontal="center"/>
    </xf>
    <xf numFmtId="0" fontId="0" fillId="2" borderId="0" xfId="0" applyFill="1" applyAlignment="1"/>
    <xf numFmtId="3" fontId="5" fillId="2" borderId="4" xfId="0" applyNumberFormat="1" applyFont="1" applyFill="1" applyBorder="1" applyAlignment="1" applyProtection="1">
      <alignment horizontal="center"/>
    </xf>
    <xf numFmtId="0" fontId="5" fillId="2" borderId="0" xfId="0" applyFont="1" applyFill="1" applyAlignment="1">
      <alignment horizontal="right"/>
    </xf>
    <xf numFmtId="172" fontId="5" fillId="2" borderId="1" xfId="0" applyNumberFormat="1" applyFont="1" applyFill="1" applyBorder="1" applyAlignment="1" applyProtection="1">
      <alignment horizontal="center"/>
    </xf>
    <xf numFmtId="172" fontId="5" fillId="2" borderId="5" xfId="0" applyNumberFormat="1" applyFont="1" applyFill="1" applyBorder="1" applyAlignment="1" applyProtection="1">
      <alignment horizontal="center"/>
    </xf>
    <xf numFmtId="0" fontId="5" fillId="3" borderId="6" xfId="0" applyNumberFormat="1" applyFont="1" applyFill="1" applyBorder="1" applyAlignment="1" applyProtection="1">
      <alignment horizontal="left"/>
      <protection locked="0"/>
    </xf>
    <xf numFmtId="37" fontId="5" fillId="2" borderId="0" xfId="0" applyNumberFormat="1" applyFont="1" applyFill="1" applyProtection="1">
      <protection locked="0"/>
    </xf>
    <xf numFmtId="172" fontId="5" fillId="2" borderId="4" xfId="0" applyNumberFormat="1" applyFont="1" applyFill="1" applyBorder="1" applyAlignment="1" applyProtection="1">
      <alignment horizontal="center"/>
    </xf>
    <xf numFmtId="172" fontId="5" fillId="2" borderId="0" xfId="0" applyNumberFormat="1" applyFont="1" applyFill="1" applyBorder="1" applyAlignment="1" applyProtection="1">
      <alignment horizontal="center"/>
    </xf>
    <xf numFmtId="3" fontId="5" fillId="2" borderId="4" xfId="0" applyNumberFormat="1" applyFont="1" applyFill="1" applyBorder="1" applyAlignment="1">
      <alignment horizontal="center"/>
    </xf>
    <xf numFmtId="0" fontId="0" fillId="2" borderId="0" xfId="0" applyFill="1" applyAlignment="1">
      <alignment horizontal="center"/>
    </xf>
    <xf numFmtId="0" fontId="5" fillId="2" borderId="4" xfId="0" applyFont="1" applyFill="1" applyBorder="1" applyAlignment="1">
      <alignment horizontal="center"/>
    </xf>
    <xf numFmtId="3" fontId="5" fillId="4" borderId="1" xfId="0" applyNumberFormat="1" applyFont="1" applyFill="1" applyBorder="1" applyAlignment="1" applyProtection="1">
      <alignment horizontal="center"/>
      <protection locked="0"/>
    </xf>
    <xf numFmtId="37" fontId="5" fillId="2"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6" fillId="0" borderId="0" xfId="0" applyFont="1" applyAlignment="1">
      <alignment vertical="center" wrapText="1"/>
    </xf>
    <xf numFmtId="0" fontId="4" fillId="0" borderId="0" xfId="0" applyFont="1" applyAlignment="1">
      <alignment vertical="center" wrapText="1"/>
    </xf>
    <xf numFmtId="0" fontId="5" fillId="4" borderId="0" xfId="0" applyFont="1" applyFill="1" applyAlignment="1">
      <alignment vertical="center"/>
    </xf>
    <xf numFmtId="0" fontId="5" fillId="0" borderId="0" xfId="0" applyFont="1" applyFill="1" applyAlignment="1">
      <alignment vertical="center"/>
    </xf>
    <xf numFmtId="0" fontId="5" fillId="2"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1" fillId="2" borderId="0" xfId="0" applyNumberFormat="1" applyFont="1" applyFill="1" applyAlignment="1" applyProtection="1">
      <alignment horizontal="left" vertical="center"/>
    </xf>
    <xf numFmtId="0" fontId="5" fillId="2" borderId="0" xfId="0" applyFont="1" applyFill="1" applyAlignment="1" applyProtection="1">
      <alignment vertical="center"/>
    </xf>
    <xf numFmtId="0" fontId="5" fillId="0" borderId="0" xfId="0" applyFont="1" applyAlignment="1" applyProtection="1">
      <alignment vertical="center"/>
      <protection locked="0"/>
    </xf>
    <xf numFmtId="37" fontId="4" fillId="2" borderId="0" xfId="0" applyNumberFormat="1" applyFont="1" applyFill="1" applyAlignment="1" applyProtection="1">
      <alignment horizontal="left" vertical="center"/>
    </xf>
    <xf numFmtId="37" fontId="5" fillId="2" borderId="0" xfId="0" applyNumberFormat="1" applyFont="1" applyFill="1" applyAlignment="1" applyProtection="1">
      <alignment horizontal="left" vertical="center"/>
    </xf>
    <xf numFmtId="37" fontId="5" fillId="2" borderId="0" xfId="0" applyNumberFormat="1" applyFont="1" applyFill="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37" fontId="4" fillId="2" borderId="0" xfId="0" applyNumberFormat="1" applyFont="1" applyFill="1" applyAlignment="1" applyProtection="1">
      <alignment horizontal="centerContinuous" vertical="center"/>
    </xf>
    <xf numFmtId="0" fontId="5" fillId="2" borderId="0" xfId="0" applyFont="1" applyFill="1" applyAlignment="1" applyProtection="1">
      <alignment horizontal="centerContinuous" vertical="center"/>
    </xf>
    <xf numFmtId="37" fontId="5" fillId="2" borderId="0" xfId="0" applyNumberFormat="1" applyFont="1" applyFill="1" applyAlignment="1" applyProtection="1">
      <alignment horizontal="centerContinuous" vertical="center"/>
    </xf>
    <xf numFmtId="37" fontId="12" fillId="2" borderId="0" xfId="0" applyNumberFormat="1" applyFont="1" applyFill="1" applyAlignment="1" applyProtection="1">
      <alignment horizontal="center" vertical="center"/>
    </xf>
    <xf numFmtId="0" fontId="6" fillId="2" borderId="0" xfId="0" applyFont="1" applyFill="1" applyAlignment="1" applyProtection="1">
      <alignment horizontal="center" vertical="center"/>
    </xf>
    <xf numFmtId="0" fontId="4" fillId="2"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2"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2"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xf>
    <xf numFmtId="3" fontId="5" fillId="3" borderId="1" xfId="0" applyNumberFormat="1" applyFont="1" applyFill="1" applyBorder="1" applyAlignment="1" applyProtection="1">
      <alignment vertical="center"/>
      <protection locked="0"/>
    </xf>
    <xf numFmtId="3" fontId="5" fillId="2" borderId="0" xfId="0" applyNumberFormat="1" applyFont="1" applyFill="1" applyAlignment="1" applyProtection="1">
      <alignment vertical="center"/>
    </xf>
    <xf numFmtId="0" fontId="5" fillId="4" borderId="1"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37" fontId="5" fillId="2" borderId="4" xfId="0" applyNumberFormat="1" applyFont="1" applyFill="1" applyBorder="1" applyAlignment="1" applyProtection="1">
      <alignment horizontal="left" vertical="center"/>
    </xf>
    <xf numFmtId="0" fontId="5" fillId="2" borderId="4" xfId="0" applyFont="1" applyFill="1" applyBorder="1" applyAlignment="1" applyProtection="1">
      <alignment vertical="center"/>
    </xf>
    <xf numFmtId="3" fontId="5" fillId="2" borderId="8" xfId="0" applyNumberFormat="1" applyFont="1" applyFill="1" applyBorder="1" applyAlignment="1" applyProtection="1">
      <alignment vertical="center"/>
    </xf>
    <xf numFmtId="3" fontId="5" fillId="8" borderId="1" xfId="0" applyNumberFormat="1" applyFont="1" applyFill="1" applyBorder="1" applyAlignment="1" applyProtection="1">
      <alignment vertical="center"/>
    </xf>
    <xf numFmtId="164" fontId="5" fillId="2" borderId="1" xfId="0" applyNumberFormat="1" applyFont="1" applyFill="1" applyBorder="1" applyAlignment="1" applyProtection="1">
      <alignment vertical="center"/>
    </xf>
    <xf numFmtId="0" fontId="5" fillId="2" borderId="0" xfId="0" applyFont="1" applyFill="1" applyBorder="1" applyAlignment="1" applyProtection="1">
      <alignment vertical="center"/>
    </xf>
    <xf numFmtId="164" fontId="5" fillId="3" borderId="1" xfId="0" applyNumberFormat="1" applyFont="1" applyFill="1" applyBorder="1" applyAlignment="1" applyProtection="1">
      <alignment vertical="center"/>
      <protection locked="0"/>
    </xf>
    <xf numFmtId="164" fontId="5" fillId="2" borderId="0" xfId="0" applyNumberFormat="1" applyFont="1" applyFill="1" applyBorder="1" applyAlignment="1" applyProtection="1">
      <alignment vertical="center"/>
      <protection locked="0"/>
    </xf>
    <xf numFmtId="37" fontId="5" fillId="2" borderId="0" xfId="0" applyNumberFormat="1" applyFont="1" applyFill="1" applyBorder="1" applyAlignment="1" applyProtection="1">
      <alignment horizontal="left" vertical="center"/>
    </xf>
    <xf numFmtId="0" fontId="5" fillId="2" borderId="9" xfId="0" applyFont="1" applyFill="1" applyBorder="1" applyAlignment="1" applyProtection="1">
      <alignment vertical="center"/>
    </xf>
    <xf numFmtId="3" fontId="5" fillId="2" borderId="0" xfId="0" applyNumberFormat="1"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10" xfId="0" applyFont="1" applyFill="1" applyBorder="1" applyAlignment="1" applyProtection="1">
      <alignment vertical="center"/>
    </xf>
    <xf numFmtId="37" fontId="5" fillId="2" borderId="0" xfId="0" applyNumberFormat="1" applyFont="1" applyFill="1" applyBorder="1" applyAlignment="1" applyProtection="1">
      <alignment horizontal="right" vertical="center"/>
    </xf>
    <xf numFmtId="37" fontId="4" fillId="2" borderId="0"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xf>
    <xf numFmtId="0" fontId="5" fillId="2" borderId="3" xfId="0" applyFont="1" applyFill="1" applyBorder="1" applyAlignment="1" applyProtection="1">
      <alignment vertical="center"/>
    </xf>
    <xf numFmtId="166" fontId="5" fillId="3" borderId="1" xfId="0" applyNumberFormat="1" applyFont="1" applyFill="1" applyBorder="1" applyAlignment="1" applyProtection="1">
      <alignment vertical="center"/>
      <protection locked="0"/>
    </xf>
    <xf numFmtId="166" fontId="5" fillId="8" borderId="1" xfId="0" applyNumberFormat="1" applyFont="1" applyFill="1" applyBorder="1" applyAlignment="1" applyProtection="1">
      <alignment vertical="center"/>
    </xf>
    <xf numFmtId="0" fontId="5" fillId="7" borderId="8"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0" xfId="0" applyFont="1" applyFill="1" applyAlignment="1" applyProtection="1">
      <alignment vertical="center"/>
      <protection locked="0"/>
    </xf>
    <xf numFmtId="0" fontId="5" fillId="2" borderId="4" xfId="0" applyFont="1" applyFill="1" applyBorder="1" applyAlignment="1" applyProtection="1">
      <alignment horizontal="center" vertical="center"/>
    </xf>
    <xf numFmtId="0" fontId="5" fillId="2" borderId="4" xfId="0" applyFont="1" applyFill="1" applyBorder="1" applyAlignment="1" applyProtection="1">
      <alignment horizontal="center" vertical="center"/>
      <protection locked="0"/>
    </xf>
    <xf numFmtId="0" fontId="5" fillId="2" borderId="10" xfId="0" applyFont="1" applyFill="1" applyBorder="1" applyAlignment="1" applyProtection="1">
      <alignment vertical="center"/>
      <protection locked="0"/>
    </xf>
    <xf numFmtId="3" fontId="5" fillId="4" borderId="1" xfId="0" applyNumberFormat="1"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0" fillId="0" borderId="0" xfId="0" applyAlignment="1">
      <alignment vertical="center"/>
    </xf>
    <xf numFmtId="37" fontId="5" fillId="2" borderId="0" xfId="0" applyNumberFormat="1" applyFont="1" applyFill="1" applyAlignment="1">
      <alignment vertical="center"/>
    </xf>
    <xf numFmtId="0" fontId="0" fillId="2" borderId="0" xfId="0" applyFill="1" applyAlignment="1">
      <alignment vertical="center"/>
    </xf>
    <xf numFmtId="0" fontId="5" fillId="2" borderId="0" xfId="0" applyFont="1" applyFill="1" applyAlignment="1">
      <alignment vertical="center"/>
    </xf>
    <xf numFmtId="37" fontId="5" fillId="2" borderId="8" xfId="0" applyNumberFormat="1" applyFont="1" applyFill="1" applyBorder="1" applyAlignment="1" applyProtection="1">
      <alignment horizontal="left" vertical="center"/>
    </xf>
    <xf numFmtId="37" fontId="5" fillId="4" borderId="1" xfId="0" applyNumberFormat="1" applyFont="1" applyFill="1" applyBorder="1" applyAlignment="1" applyProtection="1">
      <alignment vertical="center"/>
      <protection locked="0"/>
    </xf>
    <xf numFmtId="37" fontId="4" fillId="2" borderId="8" xfId="0" applyNumberFormat="1"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5" fillId="2" borderId="12" xfId="0" applyFont="1" applyFill="1" applyBorder="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3" fontId="5" fillId="2" borderId="10" xfId="0" applyNumberFormat="1" applyFont="1" applyFill="1" applyBorder="1" applyAlignment="1" applyProtection="1">
      <alignment vertical="center"/>
    </xf>
    <xf numFmtId="3" fontId="5" fillId="2"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4" fontId="5" fillId="6" borderId="0" xfId="0" applyNumberFormat="1" applyFont="1" applyFill="1" applyBorder="1" applyAlignment="1" applyProtection="1">
      <alignment vertical="center"/>
      <protection locked="0"/>
    </xf>
    <xf numFmtId="0" fontId="5" fillId="2" borderId="4" xfId="0" applyFont="1" applyFill="1" applyBorder="1" applyAlignment="1">
      <alignment vertical="center"/>
    </xf>
    <xf numFmtId="0" fontId="0" fillId="2" borderId="4" xfId="0" applyFill="1" applyBorder="1" applyAlignment="1">
      <alignment vertical="center"/>
    </xf>
    <xf numFmtId="0" fontId="0" fillId="2" borderId="10" xfId="0" applyFill="1" applyBorder="1" applyAlignment="1">
      <alignment vertical="center"/>
    </xf>
    <xf numFmtId="0" fontId="5" fillId="2" borderId="8" xfId="0" applyFont="1"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5" fillId="2" borderId="0" xfId="0" applyFont="1" applyFill="1" applyAlignment="1">
      <alignment vertical="center"/>
    </xf>
    <xf numFmtId="0" fontId="17" fillId="2" borderId="0" xfId="0" applyFont="1" applyFill="1" applyAlignment="1">
      <alignment vertical="center"/>
    </xf>
    <xf numFmtId="37" fontId="5" fillId="2" borderId="1" xfId="0" applyNumberFormat="1" applyFont="1" applyFill="1" applyBorder="1" applyAlignment="1">
      <alignment vertical="center"/>
    </xf>
    <xf numFmtId="0" fontId="3" fillId="2" borderId="0" xfId="0" applyFont="1" applyFill="1" applyAlignment="1" applyProtection="1">
      <alignment vertical="center"/>
      <protection locked="0"/>
    </xf>
    <xf numFmtId="1" fontId="5" fillId="2"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2"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2" borderId="0" xfId="0" applyNumberFormat="1" applyFont="1" applyFill="1" applyAlignment="1" applyProtection="1">
      <alignment horizontal="left" vertical="center"/>
    </xf>
    <xf numFmtId="0" fontId="3" fillId="2" borderId="0" xfId="0" applyFont="1" applyFill="1" applyAlignment="1" applyProtection="1">
      <alignment vertical="center"/>
    </xf>
    <xf numFmtId="0" fontId="3" fillId="2" borderId="4" xfId="0" applyFont="1" applyFill="1" applyBorder="1" applyAlignment="1" applyProtection="1">
      <alignment vertical="center"/>
    </xf>
    <xf numFmtId="0" fontId="5" fillId="2" borderId="7" xfId="0" applyFont="1" applyFill="1" applyBorder="1" applyAlignment="1" applyProtection="1">
      <alignment vertical="center"/>
    </xf>
    <xf numFmtId="1" fontId="5" fillId="2" borderId="6" xfId="0" applyNumberFormat="1" applyFont="1" applyFill="1" applyBorder="1" applyAlignment="1" applyProtection="1">
      <alignment horizontal="right" vertical="center"/>
    </xf>
    <xf numFmtId="0" fontId="5" fillId="2" borderId="8" xfId="0" applyFont="1" applyFill="1" applyBorder="1" applyAlignment="1" applyProtection="1">
      <alignment horizontal="left" vertical="center"/>
    </xf>
    <xf numFmtId="0" fontId="5" fillId="2" borderId="11" xfId="0" applyFont="1" applyFill="1" applyBorder="1" applyAlignment="1" applyProtection="1">
      <alignment horizontal="centerContinuous" vertical="center"/>
    </xf>
    <xf numFmtId="37" fontId="5" fillId="2" borderId="4" xfId="0" applyNumberFormat="1" applyFont="1" applyFill="1" applyBorder="1" applyAlignment="1" applyProtection="1">
      <alignment horizontal="fill" vertical="center"/>
    </xf>
    <xf numFmtId="37" fontId="5" fillId="2" borderId="2" xfId="0" applyNumberFormat="1" applyFont="1" applyFill="1" applyBorder="1" applyAlignment="1" applyProtection="1">
      <alignment horizontal="left" vertical="center"/>
    </xf>
    <xf numFmtId="37" fontId="5" fillId="2" borderId="2" xfId="0" applyNumberFormat="1" applyFont="1" applyFill="1" applyBorder="1" applyAlignment="1" applyProtection="1">
      <alignment horizontal="center" vertical="center"/>
    </xf>
    <xf numFmtId="37" fontId="5" fillId="2" borderId="13" xfId="0" applyNumberFormat="1" applyFont="1" applyFill="1" applyBorder="1" applyAlignment="1" applyProtection="1">
      <alignment horizontal="center" vertical="center"/>
    </xf>
    <xf numFmtId="37" fontId="4" fillId="2" borderId="4" xfId="0" applyNumberFormat="1" applyFont="1" applyFill="1" applyBorder="1" applyAlignment="1" applyProtection="1">
      <alignment horizontal="left" vertical="center"/>
    </xf>
    <xf numFmtId="37" fontId="5" fillId="2" borderId="3" xfId="0" applyNumberFormat="1" applyFont="1" applyFill="1" applyBorder="1" applyAlignment="1" applyProtection="1">
      <alignment horizontal="center" vertical="center"/>
    </xf>
    <xf numFmtId="37" fontId="5" fillId="2" borderId="6" xfId="0" applyNumberFormat="1" applyFont="1" applyFill="1" applyBorder="1" applyAlignment="1" applyProtection="1">
      <alignment horizontal="left" vertical="center"/>
    </xf>
    <xf numFmtId="1" fontId="5" fillId="2" borderId="11"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horizontal="center" vertical="center"/>
    </xf>
    <xf numFmtId="0" fontId="5" fillId="2" borderId="14" xfId="0" applyFont="1" applyFill="1" applyBorder="1" applyAlignment="1" applyProtection="1">
      <alignment vertical="center"/>
    </xf>
    <xf numFmtId="0" fontId="5" fillId="2" borderId="13" xfId="0" applyFont="1" applyFill="1" applyBorder="1" applyAlignment="1" applyProtection="1">
      <alignment vertical="center"/>
    </xf>
    <xf numFmtId="37" fontId="5" fillId="2"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1" fillId="2" borderId="3" xfId="0" applyNumberFormat="1" applyFont="1" applyFill="1" applyBorder="1" applyAlignment="1" applyProtection="1">
      <alignment horizontal="left" vertical="center"/>
    </xf>
    <xf numFmtId="37" fontId="11" fillId="2" borderId="3"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37" fontId="5" fillId="8" borderId="1" xfId="0" applyNumberFormat="1" applyFont="1" applyFill="1" applyBorder="1" applyAlignment="1" applyProtection="1">
      <alignment horizontal="center" vertical="center"/>
    </xf>
    <xf numFmtId="3" fontId="5" fillId="2" borderId="1"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xf>
    <xf numFmtId="0" fontId="5" fillId="2" borderId="6" xfId="0" applyFont="1" applyFill="1" applyBorder="1" applyAlignment="1" applyProtection="1">
      <alignment vertical="center"/>
    </xf>
    <xf numFmtId="0" fontId="5" fillId="2" borderId="15"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9" xfId="0" applyFont="1" applyFill="1" applyBorder="1" applyAlignment="1">
      <alignment horizontal="center" vertical="center"/>
    </xf>
    <xf numFmtId="37" fontId="5" fillId="2" borderId="0" xfId="0" applyNumberFormat="1"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2" borderId="0" xfId="0" applyNumberFormat="1" applyFont="1" applyFill="1" applyBorder="1" applyAlignment="1" applyProtection="1">
      <alignment horizontal="left" vertical="center"/>
    </xf>
    <xf numFmtId="0" fontId="5" fillId="2" borderId="0" xfId="0" applyFont="1" applyFill="1" applyAlignment="1" applyProtection="1">
      <alignment horizontal="center" vertical="center"/>
      <protection locked="0"/>
    </xf>
    <xf numFmtId="37" fontId="5" fillId="2" borderId="0" xfId="0" applyNumberFormat="1" applyFont="1" applyFill="1" applyAlignment="1" applyProtection="1">
      <alignment vertical="center"/>
    </xf>
    <xf numFmtId="0" fontId="4" fillId="2" borderId="0" xfId="0" applyFont="1" applyFill="1" applyAlignment="1" applyProtection="1">
      <alignment horizontal="center" vertical="center"/>
    </xf>
    <xf numFmtId="0" fontId="4" fillId="2" borderId="0" xfId="0" applyFont="1" applyFill="1" applyAlignment="1" applyProtection="1">
      <alignment horizontal="center" vertical="center" wrapText="1"/>
    </xf>
    <xf numFmtId="0" fontId="5" fillId="2" borderId="0" xfId="0" quotePrefix="1" applyFont="1" applyFill="1" applyAlignment="1" applyProtection="1">
      <alignment horizontal="right" vertical="center"/>
    </xf>
    <xf numFmtId="3" fontId="5" fillId="2" borderId="0" xfId="0" quotePrefix="1" applyNumberFormat="1" applyFont="1" applyFill="1" applyAlignment="1" applyProtection="1">
      <alignment vertical="center"/>
    </xf>
    <xf numFmtId="3" fontId="5" fillId="2" borderId="4" xfId="0" applyNumberFormat="1" applyFont="1" applyFill="1" applyBorder="1" applyAlignment="1" applyProtection="1">
      <alignment vertical="center"/>
    </xf>
    <xf numFmtId="3" fontId="5" fillId="2" borderId="0" xfId="0" applyNumberFormat="1" applyFont="1" applyFill="1" applyBorder="1" applyAlignment="1" applyProtection="1">
      <alignment vertical="center"/>
    </xf>
    <xf numFmtId="0" fontId="5" fillId="2" borderId="0" xfId="0" quotePrefix="1" applyFont="1" applyFill="1" applyAlignment="1" applyProtection="1">
      <alignment vertical="center"/>
    </xf>
    <xf numFmtId="0" fontId="5" fillId="2" borderId="0" xfId="0" applyFont="1" applyFill="1" applyAlignment="1" applyProtection="1">
      <alignment horizontal="right" vertical="center"/>
    </xf>
    <xf numFmtId="168" fontId="5" fillId="2" borderId="4" xfId="0" applyNumberFormat="1" applyFont="1" applyFill="1" applyBorder="1" applyAlignment="1" applyProtection="1">
      <alignment vertical="center"/>
    </xf>
    <xf numFmtId="0" fontId="5" fillId="2" borderId="0" xfId="0" quotePrefix="1" applyFont="1" applyFill="1" applyBorder="1" applyAlignment="1" applyProtection="1">
      <alignment vertical="center"/>
    </xf>
    <xf numFmtId="0" fontId="5" fillId="2" borderId="0" xfId="0" applyFont="1" applyFill="1" applyAlignment="1">
      <alignment horizontal="center" vertical="center"/>
    </xf>
    <xf numFmtId="37" fontId="5" fillId="2" borderId="0" xfId="0" applyNumberFormat="1" applyFont="1" applyFill="1" applyAlignment="1" applyProtection="1">
      <alignment horizontal="right" vertical="center"/>
    </xf>
    <xf numFmtId="0" fontId="5" fillId="2" borderId="2" xfId="0" applyFont="1" applyFill="1" applyBorder="1" applyAlignment="1" applyProtection="1">
      <alignment horizontal="center" vertical="center"/>
    </xf>
    <xf numFmtId="1" fontId="5" fillId="2" borderId="13" xfId="0"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xf>
    <xf numFmtId="3" fontId="5" fillId="2" borderId="5" xfId="0" applyNumberFormat="1" applyFont="1" applyFill="1" applyBorder="1" applyAlignment="1" applyProtection="1">
      <alignment horizontal="center" vertical="center"/>
    </xf>
    <xf numFmtId="165" fontId="5" fillId="2"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1" fontId="5" fillId="2" borderId="3" xfId="0" applyNumberFormat="1" applyFont="1" applyFill="1" applyBorder="1" applyAlignment="1" applyProtection="1">
      <alignment horizontal="center" vertical="center"/>
    </xf>
    <xf numFmtId="0" fontId="5" fillId="4" borderId="3" xfId="0" applyFont="1" applyFill="1" applyBorder="1" applyAlignment="1" applyProtection="1">
      <alignment horizontal="center" vertical="center"/>
      <protection locked="0"/>
    </xf>
    <xf numFmtId="171" fontId="5" fillId="4" borderId="3" xfId="1" applyNumberFormat="1"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71" fontId="5" fillId="4" borderId="1" xfId="1"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3" fontId="5" fillId="8" borderId="1" xfId="0" applyNumberFormat="1" applyFont="1" applyFill="1" applyBorder="1" applyAlignment="1" applyProtection="1">
      <alignment horizontal="right" vertical="center"/>
    </xf>
    <xf numFmtId="37" fontId="4" fillId="2"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right" vertical="center"/>
    </xf>
    <xf numFmtId="0" fontId="5" fillId="4" borderId="1" xfId="0" applyFont="1" applyFill="1" applyBorder="1" applyAlignment="1" applyProtection="1">
      <alignment horizontal="right" vertical="center"/>
      <protection locked="0"/>
    </xf>
    <xf numFmtId="0" fontId="4" fillId="2" borderId="0" xfId="514" applyFont="1" applyFill="1" applyAlignment="1" applyProtection="1">
      <alignment horizontal="centerContinuous" vertical="center"/>
    </xf>
    <xf numFmtId="0" fontId="5" fillId="2" borderId="4" xfId="0" applyFont="1" applyFill="1" applyBorder="1" applyAlignment="1" applyProtection="1">
      <alignment horizontal="fill" vertical="center"/>
    </xf>
    <xf numFmtId="0" fontId="5" fillId="2" borderId="16" xfId="0" applyFont="1" applyFill="1" applyBorder="1" applyAlignment="1" applyProtection="1">
      <alignment horizontal="centerContinuous" vertical="center"/>
    </xf>
    <xf numFmtId="0" fontId="5" fillId="2" borderId="14" xfId="0" applyFont="1" applyFill="1" applyBorder="1" applyAlignment="1" applyProtection="1">
      <alignment horizontal="centerContinuous" vertical="center"/>
    </xf>
    <xf numFmtId="0" fontId="5" fillId="2" borderId="13"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 xfId="0" applyFont="1" applyFill="1" applyBorder="1" applyAlignment="1" applyProtection="1">
      <alignment horizontal="left" vertical="center"/>
    </xf>
    <xf numFmtId="0" fontId="5" fillId="2" borderId="3" xfId="0" applyFont="1" applyFill="1" applyBorder="1" applyAlignment="1" applyProtection="1">
      <alignment horizontal="center" vertical="center"/>
    </xf>
    <xf numFmtId="2" fontId="5" fillId="2" borderId="1" xfId="0" applyNumberFormat="1" applyFont="1" applyFill="1" applyBorder="1" applyAlignment="1" applyProtection="1">
      <alignment vertical="center"/>
    </xf>
    <xf numFmtId="0" fontId="5" fillId="3" borderId="1" xfId="0" applyFont="1" applyFill="1" applyBorder="1" applyAlignment="1" applyProtection="1">
      <alignment horizontal="center" vertical="center"/>
      <protection locked="0"/>
    </xf>
    <xf numFmtId="2" fontId="5" fillId="3" borderId="1" xfId="0" applyNumberFormat="1" applyFont="1" applyFill="1" applyBorder="1" applyAlignment="1" applyProtection="1">
      <alignment horizontal="center" vertical="center"/>
      <protection locked="0"/>
    </xf>
    <xf numFmtId="3" fontId="5" fillId="3" borderId="1" xfId="0" applyNumberFormat="1" applyFont="1" applyFill="1" applyBorder="1" applyAlignment="1" applyProtection="1">
      <alignment horizontal="center" vertical="center"/>
      <protection locked="0"/>
    </xf>
    <xf numFmtId="37" fontId="5" fillId="3" borderId="1" xfId="0" applyNumberFormat="1" applyFont="1" applyFill="1" applyBorder="1" applyAlignment="1" applyProtection="1">
      <alignment horizontal="center" vertical="center"/>
      <protection locked="0"/>
    </xf>
    <xf numFmtId="170" fontId="5" fillId="3" borderId="1" xfId="0" applyNumberFormat="1" applyFont="1" applyFill="1" applyBorder="1" applyAlignment="1" applyProtection="1">
      <alignment horizontal="center" vertical="center"/>
      <protection locked="0"/>
    </xf>
    <xf numFmtId="169" fontId="4" fillId="2" borderId="1" xfId="0" applyNumberFormat="1" applyFont="1" applyFill="1" applyBorder="1" applyAlignment="1" applyProtection="1">
      <alignment horizontal="center" vertical="center"/>
    </xf>
    <xf numFmtId="2" fontId="4" fillId="2" borderId="1" xfId="0" applyNumberFormat="1"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xf>
    <xf numFmtId="37" fontId="4" fillId="8" borderId="1" xfId="0" applyNumberFormat="1" applyFont="1" applyFill="1" applyBorder="1" applyAlignment="1" applyProtection="1">
      <alignment horizontal="center" vertical="center"/>
    </xf>
    <xf numFmtId="170" fontId="4" fillId="2" borderId="1" xfId="0" applyNumberFormat="1" applyFont="1" applyFill="1" applyBorder="1" applyAlignment="1" applyProtection="1">
      <alignment horizontal="center" vertical="center"/>
    </xf>
    <xf numFmtId="169" fontId="5" fillId="2" borderId="1" xfId="0" applyNumberFormat="1" applyFont="1" applyFill="1" applyBorder="1" applyAlignment="1" applyProtection="1">
      <alignment horizontal="center" vertical="center"/>
    </xf>
    <xf numFmtId="2" fontId="5" fillId="2" borderId="1" xfId="0" applyNumberFormat="1" applyFont="1" applyFill="1" applyBorder="1" applyAlignment="1" applyProtection="1">
      <alignment horizontal="center" vertical="center"/>
    </xf>
    <xf numFmtId="170" fontId="5" fillId="2" borderId="1" xfId="0" applyNumberFormat="1" applyFont="1" applyFill="1" applyBorder="1" applyAlignment="1" applyProtection="1">
      <alignment horizontal="center" vertical="center"/>
    </xf>
    <xf numFmtId="1" fontId="4" fillId="2" borderId="1" xfId="0" applyNumberFormat="1" applyFont="1" applyFill="1" applyBorder="1" applyAlignment="1" applyProtection="1">
      <alignment horizontal="center" vertical="center"/>
    </xf>
    <xf numFmtId="3" fontId="4" fillId="8" borderId="1" xfId="0" applyNumberFormat="1"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2" borderId="3" xfId="0" applyFont="1" applyFill="1" applyBorder="1" applyAlignment="1" applyProtection="1">
      <alignment horizontal="center" vertical="center"/>
    </xf>
    <xf numFmtId="14" fontId="5" fillId="3" borderId="1" xfId="0" applyNumberFormat="1" applyFont="1" applyFill="1" applyBorder="1" applyAlignment="1" applyProtection="1">
      <alignment horizontal="center" vertical="center"/>
      <protection locked="0"/>
    </xf>
    <xf numFmtId="3" fontId="4" fillId="8" borderId="5" xfId="0" applyNumberFormat="1" applyFont="1" applyFill="1" applyBorder="1" applyAlignment="1" applyProtection="1">
      <alignment horizontal="center" vertical="center"/>
    </xf>
    <xf numFmtId="3" fontId="4" fillId="8" borderId="17" xfId="0" applyNumberFormat="1" applyFont="1" applyFill="1" applyBorder="1" applyAlignment="1" applyProtection="1">
      <alignment horizontal="center" vertical="center"/>
    </xf>
    <xf numFmtId="0" fontId="5" fillId="6" borderId="0" xfId="513" applyFont="1" applyFill="1" applyAlignment="1" applyProtection="1">
      <alignment vertical="center"/>
    </xf>
    <xf numFmtId="0" fontId="5" fillId="6" borderId="0" xfId="0" applyFont="1" applyFill="1" applyAlignment="1" applyProtection="1">
      <alignment vertical="center"/>
    </xf>
    <xf numFmtId="37" fontId="5" fillId="2" borderId="0" xfId="0" applyNumberFormat="1" applyFont="1" applyFill="1" applyAlignment="1" applyProtection="1">
      <alignment horizontal="fill" vertical="center"/>
    </xf>
    <xf numFmtId="3" fontId="5" fillId="2" borderId="10" xfId="1" applyNumberFormat="1" applyFont="1" applyFill="1" applyBorder="1" applyAlignment="1" applyProtection="1">
      <alignment horizontal="right" vertical="center"/>
    </xf>
    <xf numFmtId="37" fontId="5" fillId="2" borderId="15" xfId="0" applyNumberFormat="1" applyFont="1" applyFill="1" applyBorder="1" applyAlignment="1" applyProtection="1">
      <alignment horizontal="left" vertical="center"/>
    </xf>
    <xf numFmtId="3" fontId="5" fillId="2" borderId="11" xfId="1" applyNumberFormat="1" applyFont="1" applyFill="1" applyBorder="1" applyAlignment="1" applyProtection="1">
      <alignment horizontal="right" vertical="center"/>
    </xf>
    <xf numFmtId="3" fontId="5" fillId="2" borderId="11" xfId="0" applyNumberFormat="1" applyFont="1" applyFill="1" applyBorder="1" applyAlignment="1" applyProtection="1">
      <alignment horizontal="fill" vertical="center"/>
    </xf>
    <xf numFmtId="3" fontId="5" fillId="3" borderId="11" xfId="0" applyNumberFormat="1" applyFont="1" applyFill="1" applyBorder="1" applyAlignment="1" applyProtection="1">
      <alignment horizontal="right" vertical="center"/>
      <protection locked="0"/>
    </xf>
    <xf numFmtId="3" fontId="5" fillId="2" borderId="11" xfId="0" applyNumberFormat="1" applyFont="1" applyFill="1" applyBorder="1" applyAlignment="1" applyProtection="1">
      <alignment horizontal="right" vertical="center"/>
    </xf>
    <xf numFmtId="0" fontId="5" fillId="2" borderId="6" xfId="0" applyNumberFormat="1" applyFont="1" applyFill="1" applyBorder="1" applyAlignment="1" applyProtection="1">
      <alignment horizontal="left" vertical="center"/>
    </xf>
    <xf numFmtId="0" fontId="5" fillId="3" borderId="6" xfId="0" applyNumberFormat="1" applyFont="1" applyFill="1" applyBorder="1" applyAlignment="1" applyProtection="1">
      <alignment horizontal="left" vertical="center"/>
      <protection locked="0"/>
    </xf>
    <xf numFmtId="3" fontId="5" fillId="4" borderId="11" xfId="0" applyNumberFormat="1" applyFont="1" applyFill="1" applyBorder="1" applyAlignment="1" applyProtection="1">
      <alignment horizontal="right" vertical="center"/>
      <protection locked="0"/>
    </xf>
    <xf numFmtId="0" fontId="5" fillId="3" borderId="16" xfId="0" applyNumberFormat="1" applyFont="1" applyFill="1" applyBorder="1" applyAlignment="1" applyProtection="1">
      <alignment horizontal="left" vertical="center"/>
      <protection locked="0"/>
    </xf>
    <xf numFmtId="3" fontId="5" fillId="3" borderId="10" xfId="0" applyNumberFormat="1" applyFont="1" applyFill="1" applyBorder="1" applyAlignment="1" applyProtection="1">
      <alignment horizontal="right" vertical="center"/>
      <protection locked="0"/>
    </xf>
    <xf numFmtId="3" fontId="15" fillId="9" borderId="11" xfId="0" applyNumberFormat="1" applyFont="1" applyFill="1" applyBorder="1" applyAlignment="1" applyProtection="1">
      <alignment horizontal="center" vertical="center"/>
    </xf>
    <xf numFmtId="37" fontId="4" fillId="2" borderId="6" xfId="0" applyNumberFormat="1" applyFont="1" applyFill="1" applyBorder="1" applyAlignment="1" applyProtection="1">
      <alignment horizontal="left" vertical="center"/>
    </xf>
    <xf numFmtId="3" fontId="4" fillId="8" borderId="10" xfId="0" applyNumberFormat="1" applyFont="1" applyFill="1" applyBorder="1" applyAlignment="1" applyProtection="1">
      <alignment horizontal="right" vertical="center"/>
    </xf>
    <xf numFmtId="3" fontId="4" fillId="8" borderId="11" xfId="0" applyNumberFormat="1" applyFont="1" applyFill="1" applyBorder="1" applyAlignment="1" applyProtection="1">
      <alignment horizontal="right" vertical="center"/>
    </xf>
    <xf numFmtId="0" fontId="5" fillId="3" borderId="6" xfId="0" applyFont="1" applyFill="1" applyBorder="1" applyAlignment="1" applyProtection="1">
      <alignment vertical="center"/>
      <protection locked="0"/>
    </xf>
    <xf numFmtId="0" fontId="15" fillId="0" borderId="0" xfId="0" applyFont="1" applyAlignment="1" applyProtection="1">
      <alignment vertical="center"/>
    </xf>
    <xf numFmtId="0" fontId="12" fillId="2" borderId="0" xfId="0" applyFont="1" applyFill="1" applyAlignment="1" applyProtection="1">
      <alignment horizontal="center" vertical="center"/>
    </xf>
    <xf numFmtId="2" fontId="5" fillId="2" borderId="0" xfId="0" applyNumberFormat="1" applyFont="1" applyFill="1" applyAlignment="1" applyProtection="1">
      <alignment horizontal="right" vertical="center"/>
      <protection locked="0"/>
    </xf>
    <xf numFmtId="0" fontId="5" fillId="4" borderId="0" xfId="0" applyFont="1" applyFill="1" applyAlignment="1" applyProtection="1">
      <alignment horizontal="left" vertical="center"/>
      <protection locked="0"/>
    </xf>
    <xf numFmtId="0" fontId="4" fillId="2" borderId="0" xfId="0" applyFont="1" applyFill="1" applyAlignment="1">
      <alignment horizontal="center" vertical="center"/>
    </xf>
    <xf numFmtId="0" fontId="18" fillId="2" borderId="0" xfId="0" applyFont="1" applyFill="1" applyAlignment="1">
      <alignment horizontal="center" vertical="center"/>
    </xf>
    <xf numFmtId="0" fontId="5" fillId="2" borderId="11" xfId="0" applyFont="1" applyFill="1" applyBorder="1" applyAlignment="1">
      <alignment vertical="center"/>
    </xf>
    <xf numFmtId="0" fontId="14" fillId="2" borderId="2" xfId="0" applyFont="1" applyFill="1" applyBorder="1" applyAlignment="1">
      <alignment vertical="center"/>
    </xf>
    <xf numFmtId="0" fontId="14" fillId="2" borderId="11" xfId="0" applyFont="1" applyFill="1" applyBorder="1" applyAlignment="1">
      <alignment horizontal="center" vertical="center"/>
    </xf>
    <xf numFmtId="0" fontId="14" fillId="2" borderId="14" xfId="0" applyFont="1" applyFill="1" applyBorder="1" applyAlignment="1">
      <alignment vertical="center"/>
    </xf>
    <xf numFmtId="0" fontId="14"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14" fillId="2" borderId="15" xfId="0" applyFont="1" applyFill="1" applyBorder="1" applyAlignment="1">
      <alignment vertical="center"/>
    </xf>
    <xf numFmtId="3" fontId="14" fillId="4" borderId="1" xfId="0" applyNumberFormat="1" applyFont="1" applyFill="1" applyBorder="1" applyAlignment="1" applyProtection="1">
      <alignment horizontal="center" vertical="center"/>
      <protection locked="0"/>
    </xf>
    <xf numFmtId="0" fontId="14" fillId="2" borderId="4" xfId="0" applyFont="1" applyFill="1" applyBorder="1" applyAlignment="1">
      <alignment vertical="center"/>
    </xf>
    <xf numFmtId="3" fontId="14" fillId="8" borderId="1" xfId="0" applyNumberFormat="1" applyFont="1" applyFill="1" applyBorder="1" applyAlignment="1">
      <alignment horizontal="center" vertical="center"/>
    </xf>
    <xf numFmtId="0" fontId="14" fillId="2" borderId="0" xfId="0" applyFont="1" applyFill="1" applyAlignment="1">
      <alignment vertical="center"/>
    </xf>
    <xf numFmtId="3" fontId="14" fillId="2" borderId="0" xfId="0" applyNumberFormat="1" applyFont="1" applyFill="1" applyAlignment="1">
      <alignment horizontal="center" vertical="center"/>
    </xf>
    <xf numFmtId="0" fontId="14" fillId="2" borderId="0" xfId="0" applyFont="1" applyFill="1" applyAlignment="1">
      <alignment horizontal="center" vertical="center"/>
    </xf>
    <xf numFmtId="0" fontId="14" fillId="4" borderId="1" xfId="0" applyFont="1" applyFill="1" applyBorder="1" applyAlignment="1" applyProtection="1">
      <alignment vertical="center"/>
      <protection locked="0"/>
    </xf>
    <xf numFmtId="0" fontId="14" fillId="4" borderId="14" xfId="0" applyFont="1" applyFill="1" applyBorder="1" applyAlignment="1" applyProtection="1">
      <alignment vertical="center"/>
      <protection locked="0"/>
    </xf>
    <xf numFmtId="3" fontId="14" fillId="4" borderId="14" xfId="0" applyNumberFormat="1" applyFont="1" applyFill="1" applyBorder="1" applyAlignment="1" applyProtection="1">
      <alignment horizontal="center" vertical="center"/>
      <protection locked="0"/>
    </xf>
    <xf numFmtId="0" fontId="14" fillId="4" borderId="0" xfId="0" applyFont="1" applyFill="1" applyAlignment="1" applyProtection="1">
      <alignment vertical="center"/>
      <protection locked="0"/>
    </xf>
    <xf numFmtId="3" fontId="14" fillId="4" borderId="10" xfId="0" applyNumberFormat="1" applyFont="1" applyFill="1" applyBorder="1" applyAlignment="1" applyProtection="1">
      <alignment horizontal="center" vertical="center"/>
      <protection locked="0"/>
    </xf>
    <xf numFmtId="3" fontId="14" fillId="4" borderId="11" xfId="0" applyNumberFormat="1" applyFont="1" applyFill="1" applyBorder="1" applyAlignment="1" applyProtection="1">
      <alignment horizontal="center" vertical="center"/>
      <protection locked="0"/>
    </xf>
    <xf numFmtId="0" fontId="14" fillId="4" borderId="11" xfId="0" applyFont="1" applyFill="1" applyBorder="1" applyAlignment="1" applyProtection="1">
      <alignment vertical="center"/>
      <protection locked="0"/>
    </xf>
    <xf numFmtId="0" fontId="14" fillId="4" borderId="3" xfId="0" applyFont="1" applyFill="1" applyBorder="1" applyAlignment="1" applyProtection="1">
      <alignment vertical="center"/>
      <protection locked="0"/>
    </xf>
    <xf numFmtId="3" fontId="14" fillId="4" borderId="7" xfId="0" applyNumberFormat="1" applyFont="1" applyFill="1" applyBorder="1" applyAlignment="1" applyProtection="1">
      <alignment horizontal="center" vertical="center"/>
      <protection locked="0"/>
    </xf>
    <xf numFmtId="0" fontId="14" fillId="4" borderId="7" xfId="0" applyFont="1" applyFill="1" applyBorder="1" applyAlignment="1" applyProtection="1">
      <alignment vertical="center"/>
      <protection locked="0"/>
    </xf>
    <xf numFmtId="3" fontId="14" fillId="8" borderId="3" xfId="0" applyNumberFormat="1" applyFont="1" applyFill="1" applyBorder="1" applyAlignment="1">
      <alignment horizontal="center" vertical="center"/>
    </xf>
    <xf numFmtId="3" fontId="14" fillId="10" borderId="1" xfId="0" applyNumberFormat="1" applyFont="1" applyFill="1" applyBorder="1" applyAlignment="1">
      <alignment horizontal="center" vertical="center"/>
    </xf>
    <xf numFmtId="3" fontId="19" fillId="10" borderId="0" xfId="0" applyNumberFormat="1" applyFont="1" applyFill="1" applyAlignment="1">
      <alignment horizontal="center" vertical="center"/>
    </xf>
    <xf numFmtId="3" fontId="5" fillId="2" borderId="0" xfId="0" applyNumberFormat="1" applyFont="1" applyFill="1" applyAlignment="1">
      <alignment vertical="center"/>
    </xf>
    <xf numFmtId="0" fontId="5" fillId="2"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2" borderId="4" xfId="0" applyNumberFormat="1" applyFont="1" applyFill="1" applyBorder="1" applyAlignment="1" applyProtection="1">
      <alignment vertical="center"/>
    </xf>
    <xf numFmtId="37" fontId="5" fillId="2" borderId="4" xfId="0" quotePrefix="1" applyNumberFormat="1" applyFont="1" applyFill="1" applyBorder="1" applyAlignment="1" applyProtection="1">
      <alignment horizontal="right" vertical="center"/>
    </xf>
    <xf numFmtId="0" fontId="5" fillId="2" borderId="3" xfId="0" applyNumberFormat="1" applyFont="1" applyFill="1" applyBorder="1" applyAlignment="1" applyProtection="1">
      <alignment horizontal="center" vertical="center"/>
    </xf>
    <xf numFmtId="3" fontId="5" fillId="3" borderId="11" xfId="0" applyNumberFormat="1" applyFont="1" applyFill="1" applyBorder="1" applyAlignment="1" applyProtection="1">
      <alignment vertical="center"/>
      <protection locked="0"/>
    </xf>
    <xf numFmtId="37" fontId="5" fillId="3" borderId="1" xfId="0" applyNumberFormat="1"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37" fontId="5" fillId="3" borderId="6" xfId="0" applyNumberFormat="1" applyFont="1" applyFill="1" applyBorder="1" applyAlignment="1" applyProtection="1">
      <alignment horizontal="left" vertical="center"/>
      <protection locked="0"/>
    </xf>
    <xf numFmtId="3" fontId="15" fillId="10" borderId="11" xfId="0" applyNumberFormat="1" applyFont="1" applyFill="1" applyBorder="1" applyAlignment="1" applyProtection="1">
      <alignment horizontal="center" vertical="center"/>
    </xf>
    <xf numFmtId="37" fontId="4" fillId="8" borderId="1" xfId="0" applyNumberFormat="1" applyFont="1" applyFill="1" applyBorder="1" applyAlignment="1" applyProtection="1">
      <alignment vertical="center"/>
    </xf>
    <xf numFmtId="3" fontId="4" fillId="8" borderId="1" xfId="0" applyNumberFormat="1" applyFont="1" applyFill="1" applyBorder="1" applyAlignment="1" applyProtection="1">
      <alignment vertical="center"/>
    </xf>
    <xf numFmtId="37" fontId="5" fillId="2" borderId="6" xfId="0" applyNumberFormat="1" applyFont="1" applyFill="1" applyBorder="1" applyAlignment="1" applyProtection="1">
      <alignment horizontal="left" vertical="center"/>
      <protection locked="0"/>
    </xf>
    <xf numFmtId="3" fontId="5" fillId="2" borderId="0" xfId="0" applyNumberFormat="1" applyFont="1" applyFill="1" applyBorder="1" applyAlignment="1" applyProtection="1">
      <alignment horizontal="fill" vertical="center"/>
    </xf>
    <xf numFmtId="0" fontId="5" fillId="2" borderId="6" xfId="0" applyFont="1" applyFill="1" applyBorder="1" applyAlignment="1" applyProtection="1">
      <alignment vertical="center"/>
      <protection locked="0"/>
    </xf>
    <xf numFmtId="0" fontId="4" fillId="2" borderId="4" xfId="0" applyFont="1" applyFill="1" applyBorder="1" applyAlignment="1" applyProtection="1">
      <alignment vertical="center"/>
    </xf>
    <xf numFmtId="3" fontId="5" fillId="2" borderId="1" xfId="0" applyNumberFormat="1" applyFont="1" applyFill="1" applyBorder="1" applyAlignment="1" applyProtection="1">
      <alignment horizontal="fill" vertical="center"/>
    </xf>
    <xf numFmtId="0" fontId="5" fillId="3" borderId="6" xfId="0" applyFont="1" applyFill="1" applyBorder="1" applyAlignment="1" applyProtection="1">
      <alignment horizontal="left" vertical="center"/>
      <protection locked="0"/>
    </xf>
    <xf numFmtId="3" fontId="4" fillId="2" borderId="1" xfId="0" applyNumberFormat="1" applyFont="1" applyFill="1" applyBorder="1" applyAlignment="1" applyProtection="1">
      <alignment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fill" vertical="center"/>
    </xf>
    <xf numFmtId="0" fontId="5" fillId="4"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37" fontId="4" fillId="8" borderId="5" xfId="0" applyNumberFormat="1" applyFont="1" applyFill="1" applyBorder="1" applyAlignment="1" applyProtection="1">
      <alignment vertical="center"/>
    </xf>
    <xf numFmtId="0" fontId="33" fillId="0" borderId="0" xfId="0" applyFont="1"/>
    <xf numFmtId="0" fontId="23" fillId="0" borderId="0" xfId="0" applyFont="1" applyAlignment="1">
      <alignment horizontal="center"/>
    </xf>
    <xf numFmtId="0" fontId="4" fillId="0" borderId="0" xfId="0" applyFont="1" applyAlignment="1">
      <alignment wrapText="1"/>
    </xf>
    <xf numFmtId="0" fontId="5" fillId="0" borderId="0" xfId="128" applyFont="1" applyAlignment="1">
      <alignment vertical="center" wrapText="1"/>
    </xf>
    <xf numFmtId="0" fontId="5" fillId="0" borderId="0" xfId="405" applyFont="1" applyAlignment="1">
      <alignment vertical="center" wrapText="1"/>
    </xf>
    <xf numFmtId="0" fontId="5" fillId="0" borderId="0" xfId="438" applyNumberFormat="1" applyFont="1" applyAlignment="1">
      <alignment vertical="center" wrapText="1"/>
    </xf>
    <xf numFmtId="0" fontId="5" fillId="0" borderId="0" xfId="297" applyFont="1" applyAlignment="1">
      <alignment vertical="center" wrapText="1"/>
    </xf>
    <xf numFmtId="0" fontId="5" fillId="0" borderId="0" xfId="473" applyFont="1" applyAlignment="1">
      <alignment vertical="center"/>
    </xf>
    <xf numFmtId="0" fontId="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2" borderId="0" xfId="0" applyNumberFormat="1" applyFont="1" applyFill="1" applyBorder="1" applyAlignment="1" applyProtection="1">
      <alignment horizontal="fill" vertical="center"/>
    </xf>
    <xf numFmtId="0" fontId="5" fillId="4" borderId="8" xfId="0" applyFont="1" applyFill="1" applyBorder="1" applyAlignment="1" applyProtection="1">
      <alignment vertical="center"/>
      <protection locked="0"/>
    </xf>
    <xf numFmtId="0" fontId="0" fillId="0" borderId="0" xfId="0" applyAlignment="1"/>
    <xf numFmtId="0" fontId="29" fillId="0" borderId="0" xfId="478"/>
    <xf numFmtId="0" fontId="5" fillId="0" borderId="0" xfId="478" applyFont="1" applyAlignment="1">
      <alignment horizontal="left" vertical="center"/>
    </xf>
    <xf numFmtId="175" fontId="14" fillId="0" borderId="0" xfId="478" applyNumberFormat="1" applyFont="1" applyAlignment="1">
      <alignment horizontal="left" vertical="center"/>
    </xf>
    <xf numFmtId="49" fontId="5" fillId="0" borderId="0" xfId="478" applyNumberFormat="1" applyFont="1" applyAlignment="1">
      <alignment horizontal="left" vertical="center"/>
    </xf>
    <xf numFmtId="0" fontId="14" fillId="0" borderId="0" xfId="478" applyFont="1" applyAlignment="1">
      <alignment horizontal="left" vertical="center"/>
    </xf>
    <xf numFmtId="176" fontId="14" fillId="0" borderId="0" xfId="478" applyNumberFormat="1" applyFont="1" applyAlignment="1">
      <alignment horizontal="left" vertical="center"/>
    </xf>
    <xf numFmtId="0" fontId="30" fillId="0" borderId="0" xfId="0" applyFont="1"/>
    <xf numFmtId="0" fontId="2" fillId="0" borderId="0" xfId="0" applyFont="1"/>
    <xf numFmtId="0" fontId="13" fillId="0" borderId="0" xfId="0" applyFont="1" applyAlignment="1">
      <alignment horizontal="center"/>
    </xf>
    <xf numFmtId="0" fontId="30" fillId="0" borderId="0" xfId="0" applyFont="1" applyAlignment="1"/>
    <xf numFmtId="0" fontId="2" fillId="0" borderId="0" xfId="0" quotePrefix="1" applyFont="1"/>
    <xf numFmtId="0" fontId="2" fillId="0" borderId="0" xfId="210" applyFont="1"/>
    <xf numFmtId="0" fontId="2" fillId="0" borderId="0" xfId="210" applyFont="1" applyFill="1"/>
    <xf numFmtId="0" fontId="2" fillId="0" borderId="0" xfId="0" applyFont="1" applyAlignment="1"/>
    <xf numFmtId="0" fontId="30" fillId="0" borderId="0" xfId="0" applyFont="1" applyAlignment="1">
      <alignment horizontal="center"/>
    </xf>
    <xf numFmtId="0" fontId="5" fillId="0" borderId="0" xfId="501" applyFont="1" applyAlignment="1">
      <alignment vertical="center" wrapText="1"/>
    </xf>
    <xf numFmtId="0" fontId="5" fillId="0" borderId="0" xfId="25" applyFont="1" applyAlignment="1">
      <alignment vertical="center" wrapText="1"/>
    </xf>
    <xf numFmtId="0" fontId="5" fillId="0" borderId="0" xfId="46" applyFont="1" applyAlignment="1">
      <alignment vertical="center" wrapText="1"/>
    </xf>
    <xf numFmtId="0" fontId="5" fillId="0" borderId="0" xfId="84" applyFont="1" applyAlignment="1">
      <alignment vertical="center" wrapText="1"/>
    </xf>
    <xf numFmtId="0" fontId="5" fillId="0" borderId="0" xfId="93" applyFont="1" applyAlignment="1">
      <alignment vertical="center" wrapText="1"/>
    </xf>
    <xf numFmtId="0" fontId="5" fillId="0" borderId="0" xfId="103" applyFont="1" applyAlignment="1">
      <alignment vertical="center"/>
    </xf>
    <xf numFmtId="0" fontId="6" fillId="0" borderId="0" xfId="98" applyFont="1" applyAlignment="1">
      <alignment vertical="center"/>
    </xf>
    <xf numFmtId="0" fontId="5" fillId="2" borderId="0" xfId="0" applyFont="1" applyFill="1"/>
    <xf numFmtId="0" fontId="5" fillId="2" borderId="2"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8" fillId="2" borderId="0" xfId="0" applyFont="1" applyFill="1" applyAlignment="1" applyProtection="1">
      <alignment horizontal="left" vertical="center"/>
      <protection locked="0"/>
    </xf>
    <xf numFmtId="0" fontId="35" fillId="2" borderId="0" xfId="0" applyFont="1" applyFill="1" applyAlignment="1" applyProtection="1">
      <alignment horizontal="right" vertical="center"/>
      <protection locked="0"/>
    </xf>
    <xf numFmtId="177" fontId="5" fillId="3" borderId="1" xfId="0" applyNumberFormat="1" applyFont="1" applyFill="1" applyBorder="1" applyAlignment="1" applyProtection="1">
      <alignment horizontal="center" vertical="center"/>
      <protection locked="0"/>
    </xf>
    <xf numFmtId="0" fontId="5" fillId="3" borderId="6" xfId="118" applyFont="1" applyFill="1" applyBorder="1" applyProtection="1">
      <protection locked="0"/>
    </xf>
    <xf numFmtId="0" fontId="5" fillId="3" borderId="6" xfId="390" applyFont="1" applyFill="1" applyBorder="1" applyProtection="1">
      <protection locked="0"/>
    </xf>
    <xf numFmtId="3" fontId="5" fillId="3" borderId="1" xfId="393" applyNumberFormat="1" applyFont="1" applyFill="1" applyBorder="1" applyProtection="1">
      <protection locked="0"/>
    </xf>
    <xf numFmtId="0" fontId="5" fillId="3" borderId="6" xfId="396" applyFont="1" applyFill="1" applyBorder="1" applyProtection="1">
      <protection locked="0"/>
    </xf>
    <xf numFmtId="3" fontId="5" fillId="3" borderId="1" xfId="399" applyNumberFormat="1" applyFont="1" applyFill="1" applyBorder="1" applyProtection="1">
      <protection locked="0"/>
    </xf>
    <xf numFmtId="164" fontId="5" fillId="3" borderId="1" xfId="0" applyNumberFormat="1" applyFont="1" applyFill="1" applyBorder="1" applyProtection="1">
      <protection locked="0"/>
    </xf>
    <xf numFmtId="3" fontId="5" fillId="8" borderId="6" xfId="0" applyNumberFormat="1" applyFont="1" applyFill="1" applyBorder="1" applyAlignment="1" applyProtection="1">
      <alignment horizontal="right" vertical="center"/>
    </xf>
    <xf numFmtId="3" fontId="15" fillId="9" borderId="6" xfId="0" applyNumberFormat="1" applyFont="1" applyFill="1" applyBorder="1" applyAlignment="1" applyProtection="1">
      <alignment horizontal="center" vertical="center"/>
    </xf>
    <xf numFmtId="0" fontId="5" fillId="2" borderId="15" xfId="0" applyNumberFormat="1" applyFont="1" applyFill="1" applyBorder="1" applyAlignment="1" applyProtection="1">
      <alignment horizontal="center" vertical="center"/>
    </xf>
    <xf numFmtId="3" fontId="5" fillId="4"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8" borderId="6" xfId="0" applyNumberFormat="1" applyFont="1" applyFill="1" applyBorder="1" applyAlignment="1" applyProtection="1">
      <alignment horizontal="right" vertical="center"/>
    </xf>
    <xf numFmtId="3" fontId="5" fillId="3" borderId="6" xfId="0" applyNumberFormat="1" applyFont="1" applyFill="1" applyBorder="1" applyAlignment="1" applyProtection="1">
      <alignment horizontal="right" vertical="center"/>
      <protection locked="0"/>
    </xf>
    <xf numFmtId="3" fontId="5" fillId="2" borderId="6" xfId="0" applyNumberFormat="1" applyFont="1" applyFill="1" applyBorder="1" applyAlignment="1" applyProtection="1">
      <alignment horizontal="right" vertical="center"/>
    </xf>
    <xf numFmtId="3" fontId="5" fillId="3" borderId="16" xfId="0" applyNumberFormat="1" applyFont="1" applyFill="1" applyBorder="1" applyAlignment="1" applyProtection="1">
      <alignment horizontal="right" vertical="center"/>
      <protection locked="0"/>
    </xf>
    <xf numFmtId="3" fontId="5" fillId="2" borderId="16" xfId="0" applyNumberFormat="1" applyFont="1" applyFill="1" applyBorder="1" applyAlignment="1" applyProtection="1">
      <alignment horizontal="right" vertical="center"/>
      <protection locked="0"/>
    </xf>
    <xf numFmtId="3" fontId="5" fillId="3" borderId="1" xfId="0" applyNumberFormat="1" applyFont="1" applyFill="1" applyBorder="1" applyAlignment="1" applyProtection="1">
      <alignment horizontal="right" vertical="center"/>
      <protection locked="0"/>
    </xf>
    <xf numFmtId="3" fontId="15" fillId="9" borderId="1" xfId="0" applyNumberFormat="1" applyFont="1" applyFill="1" applyBorder="1" applyAlignment="1" applyProtection="1">
      <alignment horizontal="center" vertical="center"/>
    </xf>
    <xf numFmtId="3" fontId="4" fillId="8" borderId="1" xfId="0" applyNumberFormat="1" applyFont="1" applyFill="1" applyBorder="1" applyAlignment="1" applyProtection="1">
      <alignment horizontal="right" vertical="center"/>
    </xf>
    <xf numFmtId="3" fontId="5" fillId="2" borderId="1" xfId="0" applyNumberFormat="1" applyFont="1" applyFill="1" applyBorder="1" applyAlignment="1" applyProtection="1">
      <alignment horizontal="right" vertical="center"/>
    </xf>
    <xf numFmtId="0" fontId="48" fillId="2"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2" borderId="6" xfId="0" applyNumberFormat="1" applyFont="1" applyFill="1" applyBorder="1" applyAlignment="1" applyProtection="1">
      <alignment horizontal="fill" vertical="center"/>
    </xf>
    <xf numFmtId="37" fontId="11" fillId="2" borderId="0" xfId="0" applyNumberFormat="1" applyFont="1" applyFill="1" applyAlignment="1" applyProtection="1">
      <alignment vertical="center"/>
    </xf>
    <xf numFmtId="37" fontId="5" fillId="4" borderId="1" xfId="1" applyNumberFormat="1" applyFont="1" applyFill="1" applyBorder="1" applyAlignment="1" applyProtection="1">
      <alignment vertical="center"/>
      <protection locked="0"/>
    </xf>
    <xf numFmtId="3" fontId="5" fillId="3" borderId="11" xfId="0" applyNumberFormat="1" applyFont="1" applyFill="1" applyBorder="1" applyAlignment="1" applyProtection="1">
      <alignment horizontal="right"/>
      <protection locked="0"/>
    </xf>
    <xf numFmtId="172" fontId="3" fillId="0" borderId="0" xfId="0" applyNumberFormat="1" applyFont="1" applyAlignment="1" applyProtection="1">
      <alignment vertical="center"/>
      <protection locked="0"/>
    </xf>
    <xf numFmtId="3" fontId="5" fillId="2" borderId="1" xfId="1" applyNumberFormat="1" applyFont="1" applyFill="1" applyBorder="1" applyAlignment="1" applyProtection="1">
      <alignment horizontal="right" vertical="center"/>
    </xf>
    <xf numFmtId="0" fontId="5" fillId="3" borderId="6" xfId="61" applyNumberFormat="1" applyFont="1" applyFill="1" applyBorder="1" applyAlignment="1" applyProtection="1">
      <alignment horizontal="left" vertical="center"/>
      <protection locked="0"/>
    </xf>
    <xf numFmtId="0" fontId="5" fillId="2" borderId="0" xfId="61" applyFont="1" applyFill="1" applyAlignment="1" applyProtection="1">
      <alignment horizontal="right" vertical="center"/>
    </xf>
    <xf numFmtId="37" fontId="5" fillId="4" borderId="6" xfId="0" applyNumberFormat="1" applyFont="1" applyFill="1" applyBorder="1" applyAlignment="1" applyProtection="1">
      <alignment horizontal="right" vertical="center"/>
      <protection locked="0"/>
    </xf>
    <xf numFmtId="3" fontId="15" fillId="10" borderId="6" xfId="0" applyNumberFormat="1" applyFont="1" applyFill="1" applyBorder="1" applyAlignment="1" applyProtection="1">
      <alignment horizontal="center" vertical="center"/>
    </xf>
    <xf numFmtId="3" fontId="4" fillId="8" borderId="6" xfId="0" applyNumberFormat="1" applyFont="1" applyFill="1" applyBorder="1" applyAlignment="1" applyProtection="1">
      <alignment vertical="center"/>
    </xf>
    <xf numFmtId="3" fontId="5" fillId="2" borderId="6" xfId="0" applyNumberFormat="1" applyFont="1" applyFill="1" applyBorder="1" applyAlignment="1" applyProtection="1">
      <alignment vertical="center"/>
    </xf>
    <xf numFmtId="37" fontId="5" fillId="4" borderId="6" xfId="0" applyNumberFormat="1" applyFont="1" applyFill="1" applyBorder="1" applyAlignment="1" applyProtection="1">
      <alignment vertical="center"/>
      <protection locked="0"/>
    </xf>
    <xf numFmtId="3" fontId="5" fillId="3" borderId="6"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xf>
    <xf numFmtId="3" fontId="5" fillId="8" borderId="6" xfId="0" applyNumberFormat="1" applyFont="1" applyFill="1" applyBorder="1" applyAlignment="1" applyProtection="1">
      <alignment vertical="center"/>
    </xf>
    <xf numFmtId="3" fontId="15" fillId="10" borderId="6" xfId="0" applyNumberFormat="1" applyFont="1" applyFill="1" applyBorder="1" applyAlignment="1" applyProtection="1">
      <alignment horizontal="right" vertical="center"/>
    </xf>
    <xf numFmtId="37" fontId="4" fillId="2" borderId="4" xfId="0" applyNumberFormat="1" applyFont="1" applyFill="1" applyBorder="1" applyAlignment="1" applyProtection="1">
      <alignment vertical="center"/>
    </xf>
    <xf numFmtId="37" fontId="4" fillId="2" borderId="0" xfId="0" applyNumberFormat="1" applyFont="1" applyFill="1" applyBorder="1" applyAlignment="1" applyProtection="1">
      <alignment vertical="center"/>
    </xf>
    <xf numFmtId="3" fontId="15" fillId="10" borderId="1" xfId="0" applyNumberFormat="1" applyFont="1" applyFill="1" applyBorder="1" applyAlignment="1" applyProtection="1">
      <alignment horizontal="center" vertical="center"/>
    </xf>
    <xf numFmtId="0" fontId="48" fillId="2" borderId="0" xfId="0" applyFont="1" applyFill="1" applyAlignment="1" applyProtection="1">
      <alignment horizontal="center" vertical="center"/>
    </xf>
    <xf numFmtId="0" fontId="48" fillId="0" borderId="0" xfId="61" applyFont="1" applyAlignment="1" applyProtection="1">
      <alignment vertical="center"/>
      <protection locked="0"/>
    </xf>
    <xf numFmtId="0" fontId="48" fillId="0" borderId="0" xfId="0" applyFont="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3" fontId="48"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0" fontId="48" fillId="0" borderId="0" xfId="0" applyFont="1" applyProtection="1">
      <protection locked="0"/>
    </xf>
    <xf numFmtId="0" fontId="5" fillId="12" borderId="0" xfId="0" applyFont="1" applyFill="1" applyBorder="1" applyAlignment="1" applyProtection="1">
      <alignment vertical="center"/>
    </xf>
    <xf numFmtId="0" fontId="5" fillId="12" borderId="0" xfId="0" applyFont="1" applyFill="1" applyAlignment="1" applyProtection="1">
      <alignment vertical="center"/>
    </xf>
    <xf numFmtId="37" fontId="5" fillId="12" borderId="0" xfId="0" applyNumberFormat="1" applyFont="1" applyFill="1" applyBorder="1" applyAlignment="1" applyProtection="1">
      <alignment horizontal="left" vertical="center"/>
    </xf>
    <xf numFmtId="37" fontId="5" fillId="12" borderId="0" xfId="0" applyNumberFormat="1" applyFont="1" applyFill="1" applyBorder="1" applyAlignment="1" applyProtection="1">
      <alignment vertical="center"/>
    </xf>
    <xf numFmtId="0" fontId="0" fillId="12" borderId="0" xfId="0" applyFill="1" applyBorder="1" applyAlignment="1">
      <alignment vertical="center"/>
    </xf>
    <xf numFmtId="0" fontId="15" fillId="12" borderId="0" xfId="0" applyFont="1" applyFill="1" applyBorder="1" applyAlignment="1" applyProtection="1">
      <alignment horizontal="center" vertical="center"/>
    </xf>
    <xf numFmtId="0" fontId="37" fillId="0" borderId="0" xfId="0" applyFont="1" applyAlignment="1" applyProtection="1">
      <alignment vertical="center"/>
    </xf>
    <xf numFmtId="178"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8" fontId="3" fillId="13" borderId="1" xfId="0" applyNumberFormat="1" applyFont="1" applyFill="1" applyBorder="1" applyAlignment="1" applyProtection="1">
      <alignment horizontal="center" vertical="center"/>
      <protection locked="0"/>
    </xf>
    <xf numFmtId="0" fontId="5" fillId="12" borderId="9" xfId="0" applyFont="1" applyFill="1" applyBorder="1" applyAlignment="1" applyProtection="1">
      <alignment vertical="center"/>
    </xf>
    <xf numFmtId="0" fontId="5" fillId="12" borderId="7" xfId="0" applyFont="1" applyFill="1" applyBorder="1" applyAlignment="1" applyProtection="1">
      <alignment vertical="center"/>
    </xf>
    <xf numFmtId="178" fontId="3" fillId="12" borderId="9" xfId="0" applyNumberFormat="1" applyFont="1" applyFill="1" applyBorder="1" applyAlignment="1" applyProtection="1">
      <alignment horizontal="center" vertical="center"/>
    </xf>
    <xf numFmtId="0" fontId="3" fillId="12" borderId="0" xfId="0" applyFont="1" applyFill="1" applyBorder="1" applyAlignment="1" applyProtection="1">
      <alignment horizontal="left" vertical="center"/>
    </xf>
    <xf numFmtId="0" fontId="3" fillId="12" borderId="7" xfId="0" applyFont="1" applyFill="1" applyBorder="1" applyAlignment="1" applyProtection="1">
      <alignment vertical="center"/>
    </xf>
    <xf numFmtId="0" fontId="3" fillId="12" borderId="0" xfId="0" applyFont="1" applyFill="1" applyBorder="1" applyAlignment="1" applyProtection="1">
      <alignment vertical="center"/>
    </xf>
    <xf numFmtId="178" fontId="3" fillId="12" borderId="15" xfId="0" applyNumberFormat="1" applyFont="1" applyFill="1" applyBorder="1" applyAlignment="1" applyProtection="1">
      <alignment horizontal="center" vertical="center"/>
    </xf>
    <xf numFmtId="178" fontId="3" fillId="12" borderId="9" xfId="0" applyNumberFormat="1" applyFont="1" applyFill="1" applyBorder="1" applyAlignment="1" applyProtection="1">
      <alignment vertical="center"/>
    </xf>
    <xf numFmtId="0" fontId="39" fillId="14" borderId="4" xfId="0" applyFont="1" applyFill="1" applyBorder="1" applyAlignment="1" applyProtection="1">
      <alignment vertical="center"/>
    </xf>
    <xf numFmtId="0" fontId="3" fillId="14" borderId="10" xfId="0" applyFont="1" applyFill="1" applyBorder="1" applyAlignment="1" applyProtection="1">
      <alignment vertical="center"/>
    </xf>
    <xf numFmtId="0" fontId="5" fillId="14" borderId="10" xfId="0" applyFont="1" applyFill="1" applyBorder="1" applyAlignment="1" applyProtection="1">
      <alignment vertical="center"/>
    </xf>
    <xf numFmtId="0" fontId="3" fillId="12" borderId="9" xfId="0" applyFont="1" applyFill="1" applyBorder="1" applyAlignment="1" applyProtection="1">
      <alignment horizontal="left" vertical="center"/>
    </xf>
    <xf numFmtId="178" fontId="39" fillId="14" borderId="15" xfId="0" applyNumberFormat="1" applyFont="1" applyFill="1" applyBorder="1" applyAlignment="1" applyProtection="1">
      <alignment horizontal="center" vertical="center"/>
    </xf>
    <xf numFmtId="0" fontId="0" fillId="12" borderId="0" xfId="0" applyFill="1" applyAlignment="1" applyProtection="1"/>
    <xf numFmtId="49" fontId="5" fillId="12" borderId="0" xfId="0" applyNumberFormat="1" applyFont="1" applyFill="1" applyAlignment="1" applyProtection="1">
      <alignment horizontal="left"/>
    </xf>
    <xf numFmtId="0" fontId="0" fillId="12" borderId="0" xfId="0" applyFill="1" applyBorder="1" applyAlignment="1">
      <alignment horizontal="center"/>
    </xf>
    <xf numFmtId="0" fontId="5" fillId="0" borderId="0" xfId="61" applyFont="1" applyAlignment="1">
      <alignment vertical="center" wrapText="1"/>
    </xf>
    <xf numFmtId="0" fontId="5" fillId="0" borderId="0" xfId="61" applyFont="1" applyAlignment="1">
      <alignment vertical="center"/>
    </xf>
    <xf numFmtId="0" fontId="40" fillId="0" borderId="0" xfId="0" applyFont="1" applyAlignment="1" applyProtection="1">
      <alignment vertical="center"/>
    </xf>
    <xf numFmtId="3" fontId="5" fillId="4"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8" fontId="3" fillId="0" borderId="0" xfId="0" applyNumberFormat="1" applyFont="1" applyFill="1" applyBorder="1" applyAlignment="1" applyProtection="1">
      <alignment horizontal="center" vertical="center"/>
      <protection locked="0"/>
    </xf>
    <xf numFmtId="172" fontId="3" fillId="0" borderId="0" xfId="0" applyNumberFormat="1" applyFont="1" applyFill="1" applyBorder="1" applyAlignment="1" applyProtection="1">
      <alignment horizontal="center" vertical="center"/>
      <protection locked="0"/>
    </xf>
    <xf numFmtId="178" fontId="5" fillId="0" borderId="0" xfId="0" applyNumberFormat="1" applyFont="1" applyAlignment="1" applyProtection="1">
      <alignment vertical="center"/>
      <protection locked="0"/>
    </xf>
    <xf numFmtId="0" fontId="49" fillId="0" borderId="0" xfId="0" applyFont="1" applyAlignment="1">
      <alignment wrapText="1"/>
    </xf>
    <xf numFmtId="0" fontId="5" fillId="0" borderId="0" xfId="0" applyFont="1" applyBorder="1" applyProtection="1">
      <protection locked="0"/>
    </xf>
    <xf numFmtId="172" fontId="5" fillId="13" borderId="7" xfId="0" applyNumberFormat="1" applyFont="1" applyFill="1" applyBorder="1" applyAlignment="1" applyProtection="1">
      <alignment horizontal="center"/>
      <protection locked="0"/>
    </xf>
    <xf numFmtId="0" fontId="3" fillId="12" borderId="9" xfId="0" applyFont="1" applyFill="1" applyBorder="1" applyProtection="1"/>
    <xf numFmtId="0" fontId="5" fillId="12" borderId="0" xfId="0" applyFont="1" applyFill="1" applyBorder="1" applyProtection="1"/>
    <xf numFmtId="178" fontId="5" fillId="12" borderId="7" xfId="0" applyNumberFormat="1" applyFont="1" applyFill="1" applyBorder="1" applyAlignment="1" applyProtection="1">
      <alignment horizontal="center"/>
    </xf>
    <xf numFmtId="0" fontId="5" fillId="12" borderId="15" xfId="0" applyFont="1" applyFill="1" applyBorder="1" applyProtection="1"/>
    <xf numFmtId="0" fontId="5" fillId="12" borderId="4" xfId="0" applyFont="1" applyFill="1" applyBorder="1" applyProtection="1"/>
    <xf numFmtId="178" fontId="5" fillId="14" borderId="10" xfId="0" applyNumberFormat="1" applyFont="1" applyFill="1" applyBorder="1" applyAlignment="1" applyProtection="1">
      <alignment horizontal="center"/>
    </xf>
    <xf numFmtId="0" fontId="5" fillId="0" borderId="0" xfId="0" applyFont="1" applyFill="1" applyBorder="1" applyProtection="1"/>
    <xf numFmtId="0" fontId="5" fillId="12" borderId="9" xfId="0" applyFont="1" applyFill="1" applyBorder="1" applyProtection="1"/>
    <xf numFmtId="0" fontId="5" fillId="12" borderId="7" xfId="0" applyFont="1" applyFill="1" applyBorder="1" applyProtection="1"/>
    <xf numFmtId="166" fontId="5" fillId="12" borderId="7" xfId="0" applyNumberFormat="1" applyFont="1" applyFill="1" applyBorder="1" applyAlignment="1" applyProtection="1">
      <alignment horizontal="center"/>
    </xf>
    <xf numFmtId="0" fontId="5" fillId="14" borderId="9" xfId="0" applyFont="1" applyFill="1" applyBorder="1" applyProtection="1"/>
    <xf numFmtId="0" fontId="5" fillId="14" borderId="0" xfId="0" applyFont="1" applyFill="1" applyBorder="1" applyProtection="1"/>
    <xf numFmtId="0" fontId="5" fillId="14" borderId="15" xfId="0" applyFont="1" applyFill="1" applyBorder="1" applyProtection="1"/>
    <xf numFmtId="0" fontId="5" fillId="14" borderId="4" xfId="0" applyFont="1" applyFill="1" applyBorder="1" applyProtection="1"/>
    <xf numFmtId="0" fontId="5" fillId="0" borderId="0" xfId="0" applyFont="1" applyProtection="1"/>
    <xf numFmtId="178" fontId="5" fillId="12" borderId="10" xfId="0" applyNumberFormat="1" applyFont="1" applyFill="1" applyBorder="1" applyAlignment="1" applyProtection="1">
      <alignment horizontal="center"/>
    </xf>
    <xf numFmtId="0" fontId="50" fillId="12" borderId="0" xfId="0" applyFont="1" applyFill="1"/>
    <xf numFmtId="0" fontId="50" fillId="12" borderId="18" xfId="0" applyFont="1" applyFill="1" applyBorder="1"/>
    <xf numFmtId="0" fontId="51" fillId="0" borderId="0" xfId="0" applyFont="1" applyBorder="1"/>
    <xf numFmtId="0" fontId="50" fillId="0" borderId="0" xfId="0" applyFont="1" applyBorder="1" applyAlignment="1">
      <alignment horizontal="centerContinuous"/>
    </xf>
    <xf numFmtId="0" fontId="50" fillId="12" borderId="18" xfId="0" applyFont="1" applyFill="1" applyBorder="1" applyAlignment="1"/>
    <xf numFmtId="0" fontId="42" fillId="0" borderId="0" xfId="0" applyFont="1"/>
    <xf numFmtId="0" fontId="42" fillId="12" borderId="0" xfId="0" applyFont="1" applyFill="1"/>
    <xf numFmtId="0" fontId="42" fillId="12" borderId="0" xfId="0" applyFont="1" applyFill="1" applyAlignment="1">
      <alignment horizontal="center"/>
    </xf>
    <xf numFmtId="0" fontId="42" fillId="12" borderId="19" xfId="0" applyFont="1" applyFill="1" applyBorder="1"/>
    <xf numFmtId="0" fontId="42" fillId="12" borderId="20" xfId="0" applyFont="1" applyFill="1" applyBorder="1"/>
    <xf numFmtId="178" fontId="42" fillId="12" borderId="21" xfId="0" applyNumberFormat="1" applyFont="1" applyFill="1" applyBorder="1"/>
    <xf numFmtId="0" fontId="42" fillId="12" borderId="0" xfId="0" applyFont="1" applyFill="1" applyBorder="1"/>
    <xf numFmtId="0" fontId="42" fillId="12" borderId="22" xfId="0" applyFont="1" applyFill="1" applyBorder="1"/>
    <xf numFmtId="0" fontId="42" fillId="12" borderId="23" xfId="0" applyFont="1" applyFill="1" applyBorder="1"/>
    <xf numFmtId="0" fontId="42" fillId="12" borderId="24" xfId="0" applyFont="1" applyFill="1" applyBorder="1"/>
    <xf numFmtId="0" fontId="42" fillId="12" borderId="25" xfId="0" applyFont="1" applyFill="1" applyBorder="1"/>
    <xf numFmtId="0" fontId="42" fillId="12" borderId="18" xfId="0" applyFont="1" applyFill="1" applyBorder="1"/>
    <xf numFmtId="0" fontId="42" fillId="12" borderId="26" xfId="0" applyFont="1" applyFill="1" applyBorder="1"/>
    <xf numFmtId="178" fontId="42" fillId="13" borderId="21" xfId="0" applyNumberFormat="1" applyFont="1" applyFill="1" applyBorder="1" applyAlignment="1" applyProtection="1">
      <alignment horizontal="center"/>
      <protection locked="0"/>
    </xf>
    <xf numFmtId="172" fontId="42" fillId="12"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2" borderId="27" xfId="0" applyFont="1" applyFill="1" applyBorder="1"/>
    <xf numFmtId="0" fontId="42" fillId="12" borderId="12" xfId="0" applyFont="1" applyFill="1" applyBorder="1"/>
    <xf numFmtId="0" fontId="42" fillId="12" borderId="28" xfId="0" applyFont="1" applyFill="1" applyBorder="1"/>
    <xf numFmtId="179" fontId="42" fillId="12" borderId="0" xfId="0" applyNumberFormat="1" applyFont="1" applyFill="1" applyBorder="1" applyAlignment="1">
      <alignment horizontal="center"/>
    </xf>
    <xf numFmtId="5" fontId="42" fillId="12" borderId="24" xfId="0" applyNumberFormat="1" applyFont="1" applyFill="1" applyBorder="1" applyAlignment="1">
      <alignment horizontal="center"/>
    </xf>
    <xf numFmtId="0" fontId="42" fillId="12" borderId="24" xfId="0" applyFont="1" applyFill="1" applyBorder="1" applyAlignment="1">
      <alignment horizontal="center"/>
    </xf>
    <xf numFmtId="172" fontId="42" fillId="12" borderId="24" xfId="0" applyNumberFormat="1" applyFont="1" applyFill="1" applyBorder="1" applyAlignment="1">
      <alignment horizontal="center"/>
    </xf>
    <xf numFmtId="179" fontId="42" fillId="12" borderId="24" xfId="0" applyNumberFormat="1" applyFont="1" applyFill="1" applyBorder="1" applyAlignment="1">
      <alignment horizontal="center"/>
    </xf>
    <xf numFmtId="0" fontId="42" fillId="12" borderId="0" xfId="0" applyFont="1" applyFill="1" applyAlignment="1">
      <alignment horizontal="center" wrapText="1"/>
    </xf>
    <xf numFmtId="0" fontId="42" fillId="12" borderId="19" xfId="0" applyFont="1" applyFill="1" applyBorder="1" applyAlignment="1"/>
    <xf numFmtId="0" fontId="42" fillId="12" borderId="20" xfId="0" applyFont="1" applyFill="1" applyBorder="1" applyAlignment="1"/>
    <xf numFmtId="0" fontId="42" fillId="12" borderId="26" xfId="0" applyFont="1" applyFill="1" applyBorder="1" applyAlignment="1"/>
    <xf numFmtId="0" fontId="42" fillId="12" borderId="22" xfId="0" applyFont="1" applyFill="1" applyBorder="1" applyAlignment="1"/>
    <xf numFmtId="0" fontId="42" fillId="12" borderId="27" xfId="0" applyFont="1" applyFill="1" applyBorder="1" applyAlignment="1"/>
    <xf numFmtId="0" fontId="42" fillId="12" borderId="12" xfId="0" applyFont="1" applyFill="1" applyBorder="1" applyAlignment="1"/>
    <xf numFmtId="0" fontId="42" fillId="12" borderId="28" xfId="0" applyFont="1" applyFill="1" applyBorder="1" applyAlignment="1"/>
    <xf numFmtId="166" fontId="42" fillId="12" borderId="0" xfId="0" applyNumberFormat="1" applyFont="1" applyFill="1" applyBorder="1" applyAlignment="1">
      <alignment horizontal="center"/>
    </xf>
    <xf numFmtId="0" fontId="42" fillId="12" borderId="23" xfId="0" applyFont="1" applyFill="1" applyBorder="1" applyAlignment="1"/>
    <xf numFmtId="5" fontId="42" fillId="12" borderId="0" xfId="0" applyNumberFormat="1" applyFont="1" applyFill="1" applyBorder="1" applyAlignment="1">
      <alignment horizontal="center"/>
    </xf>
    <xf numFmtId="172" fontId="42" fillId="13" borderId="4" xfId="0" applyNumberFormat="1" applyFont="1" applyFill="1" applyBorder="1" applyAlignment="1" applyProtection="1">
      <alignment horizontal="center"/>
      <protection locked="0"/>
    </xf>
    <xf numFmtId="179" fontId="42" fillId="12" borderId="0" xfId="0" applyNumberFormat="1" applyFont="1" applyFill="1" applyBorder="1"/>
    <xf numFmtId="0" fontId="42" fillId="15" borderId="0" xfId="0" applyFont="1" applyFill="1"/>
    <xf numFmtId="0" fontId="3" fillId="12" borderId="9" xfId="0" applyFont="1" applyFill="1" applyBorder="1" applyAlignment="1" applyProtection="1">
      <alignment vertical="center"/>
    </xf>
    <xf numFmtId="178" fontId="3" fillId="12" borderId="7" xfId="0" applyNumberFormat="1" applyFont="1" applyFill="1" applyBorder="1" applyAlignment="1" applyProtection="1">
      <alignment horizontal="center" vertical="center"/>
    </xf>
    <xf numFmtId="178" fontId="14" fillId="12" borderId="9" xfId="0" applyNumberFormat="1" applyFont="1" applyFill="1" applyBorder="1" applyAlignment="1" applyProtection="1">
      <alignment horizontal="center" vertical="center"/>
    </xf>
    <xf numFmtId="0" fontId="14" fillId="12" borderId="0" xfId="0" applyFont="1" applyFill="1" applyBorder="1" applyAlignment="1" applyProtection="1">
      <alignment vertical="center"/>
    </xf>
    <xf numFmtId="178" fontId="14" fillId="12" borderId="15" xfId="0" applyNumberFormat="1" applyFont="1" applyFill="1" applyBorder="1" applyAlignment="1" applyProtection="1">
      <alignment horizontal="center" vertical="center"/>
    </xf>
    <xf numFmtId="178" fontId="14" fillId="12"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0"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14" applyFont="1" applyAlignment="1" applyProtection="1"/>
    <xf numFmtId="178" fontId="14" fillId="14" borderId="15" xfId="0" applyNumberFormat="1" applyFont="1" applyFill="1" applyBorder="1" applyAlignment="1" applyProtection="1">
      <alignment horizontal="center" vertical="center"/>
    </xf>
    <xf numFmtId="0" fontId="14" fillId="14" borderId="4" xfId="0" applyFont="1" applyFill="1" applyBorder="1" applyAlignment="1" applyProtection="1">
      <alignment vertical="center"/>
    </xf>
    <xf numFmtId="172" fontId="5" fillId="8" borderId="3" xfId="0" applyNumberFormat="1"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49" fontId="5" fillId="4" borderId="1"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protection locked="0"/>
    </xf>
    <xf numFmtId="3" fontId="5" fillId="4" borderId="1" xfId="0" applyNumberFormat="1" applyFont="1" applyFill="1" applyBorder="1" applyAlignment="1" applyProtection="1">
      <alignment horizontal="right" vertical="center"/>
      <protection locked="0"/>
    </xf>
    <xf numFmtId="37" fontId="5" fillId="2" borderId="0" xfId="0" applyNumberFormat="1" applyFont="1" applyFill="1" applyBorder="1" applyAlignment="1" applyProtection="1">
      <alignment horizontal="left"/>
    </xf>
    <xf numFmtId="37" fontId="5" fillId="2" borderId="4" xfId="0" applyNumberFormat="1" applyFont="1" applyFill="1" applyBorder="1" applyAlignment="1" applyProtection="1">
      <alignment vertical="center"/>
      <protection locked="0"/>
    </xf>
    <xf numFmtId="0" fontId="50" fillId="12" borderId="0" xfId="0" applyFont="1" applyFill="1" applyAlignment="1">
      <alignment horizontal="center" wrapText="1"/>
    </xf>
    <xf numFmtId="0" fontId="50" fillId="12" borderId="0" xfId="0" applyFont="1" applyFill="1" applyAlignment="1">
      <alignment horizontal="center"/>
    </xf>
    <xf numFmtId="178" fontId="42" fillId="13" borderId="4" xfId="0" applyNumberFormat="1" applyFont="1" applyFill="1" applyBorder="1" applyAlignment="1" applyProtection="1">
      <alignment horizontal="center"/>
      <protection locked="0"/>
    </xf>
    <xf numFmtId="0" fontId="42" fillId="12" borderId="0" xfId="0" applyFont="1" applyFill="1" applyBorder="1" applyAlignment="1"/>
    <xf numFmtId="0" fontId="42" fillId="12" borderId="25" xfId="0" applyFont="1" applyFill="1" applyBorder="1" applyAlignment="1"/>
    <xf numFmtId="0" fontId="42" fillId="12" borderId="0" xfId="0" applyFont="1" applyFill="1" applyBorder="1" applyAlignment="1">
      <alignment horizontal="center"/>
    </xf>
    <xf numFmtId="178" fontId="42" fillId="12" borderId="0" xfId="0" applyNumberFormat="1" applyFont="1" applyFill="1" applyBorder="1" applyAlignment="1">
      <alignment horizontal="center"/>
    </xf>
    <xf numFmtId="0" fontId="42" fillId="12" borderId="12" xfId="0" applyFont="1" applyFill="1" applyBorder="1" applyAlignment="1">
      <alignment horizontal="center"/>
    </xf>
    <xf numFmtId="0" fontId="50" fillId="12" borderId="26" xfId="0" applyFont="1" applyFill="1" applyBorder="1" applyAlignment="1">
      <alignment horizontal="centerContinuous" vertical="center"/>
    </xf>
    <xf numFmtId="178" fontId="50" fillId="12" borderId="0" xfId="0" applyNumberFormat="1" applyFont="1" applyFill="1" applyBorder="1" applyAlignment="1">
      <alignment horizontal="centerContinuous" vertical="center"/>
    </xf>
    <xf numFmtId="0" fontId="50" fillId="12" borderId="0" xfId="0" applyFont="1" applyFill="1" applyBorder="1" applyAlignment="1">
      <alignment horizontal="centerContinuous" vertical="center"/>
    </xf>
    <xf numFmtId="172" fontId="50" fillId="12" borderId="0" xfId="0" applyNumberFormat="1" applyFont="1" applyFill="1" applyBorder="1" applyAlignment="1" applyProtection="1">
      <alignment horizontal="centerContinuous" vertical="center"/>
      <protection locked="0"/>
    </xf>
    <xf numFmtId="179" fontId="50" fillId="12" borderId="0" xfId="0" applyNumberFormat="1" applyFont="1" applyFill="1" applyBorder="1" applyAlignment="1">
      <alignment horizontal="centerContinuous" vertical="center"/>
    </xf>
    <xf numFmtId="0" fontId="50" fillId="12" borderId="22" xfId="0" applyFont="1" applyFill="1" applyBorder="1" applyAlignment="1">
      <alignment horizontal="centerContinuous" vertical="center"/>
    </xf>
    <xf numFmtId="0" fontId="50" fillId="12" borderId="26" xfId="0" applyFont="1" applyFill="1" applyBorder="1" applyAlignment="1">
      <alignment horizontal="centerContinuous"/>
    </xf>
    <xf numFmtId="178" fontId="50" fillId="12" borderId="0" xfId="0" applyNumberFormat="1" applyFont="1" applyFill="1" applyBorder="1" applyAlignment="1">
      <alignment horizontal="centerContinuous"/>
    </xf>
    <xf numFmtId="0" fontId="50" fillId="12" borderId="0" xfId="0" applyFont="1" applyFill="1" applyBorder="1" applyAlignment="1">
      <alignment horizontal="centerContinuous"/>
    </xf>
    <xf numFmtId="172" fontId="50" fillId="12" borderId="0" xfId="0" applyNumberFormat="1" applyFont="1" applyFill="1" applyBorder="1" applyAlignment="1" applyProtection="1">
      <alignment horizontal="centerContinuous"/>
      <protection locked="0"/>
    </xf>
    <xf numFmtId="179" fontId="50" fillId="12" borderId="0" xfId="0" applyNumberFormat="1" applyFont="1" applyFill="1" applyBorder="1" applyAlignment="1">
      <alignment horizontal="centerContinuous"/>
    </xf>
    <xf numFmtId="0" fontId="50" fillId="12" borderId="22" xfId="0" applyFont="1" applyFill="1" applyBorder="1" applyAlignment="1">
      <alignment horizontal="centerContinuous"/>
    </xf>
    <xf numFmtId="178" fontId="42" fillId="0" borderId="0" xfId="0" applyNumberFormat="1" applyFont="1"/>
    <xf numFmtId="178" fontId="42" fillId="12" borderId="24" xfId="0" applyNumberFormat="1" applyFont="1" applyFill="1" applyBorder="1" applyAlignment="1">
      <alignment horizontal="center"/>
    </xf>
    <xf numFmtId="172" fontId="42" fillId="12" borderId="24" xfId="0" applyNumberFormat="1" applyFont="1" applyFill="1" applyBorder="1" applyAlignment="1" applyProtection="1">
      <alignment horizontal="center"/>
      <protection locked="0"/>
    </xf>
    <xf numFmtId="179" fontId="42" fillId="12" borderId="24" xfId="0" applyNumberFormat="1" applyFont="1" applyFill="1" applyBorder="1"/>
    <xf numFmtId="172" fontId="42" fillId="12" borderId="0" xfId="0" applyNumberFormat="1" applyFont="1" applyFill="1" applyBorder="1" applyAlignment="1" applyProtection="1">
      <alignment horizontal="center"/>
      <protection locked="0"/>
    </xf>
    <xf numFmtId="178" fontId="42" fillId="12" borderId="19" xfId="0" applyNumberFormat="1" applyFont="1" applyFill="1" applyBorder="1" applyAlignment="1">
      <alignment horizontal="center"/>
    </xf>
    <xf numFmtId="0" fontId="42" fillId="12" borderId="19" xfId="0" applyFont="1" applyFill="1" applyBorder="1" applyAlignment="1">
      <alignment horizontal="center"/>
    </xf>
    <xf numFmtId="172" fontId="42" fillId="12" borderId="19" xfId="0" applyNumberFormat="1" applyFont="1" applyFill="1" applyBorder="1" applyAlignment="1" applyProtection="1">
      <alignment horizontal="center"/>
      <protection locked="0"/>
    </xf>
    <xf numFmtId="179" fontId="42" fillId="12" borderId="19" xfId="0" applyNumberFormat="1" applyFont="1" applyFill="1" applyBorder="1"/>
    <xf numFmtId="178" fontId="42" fillId="12" borderId="0" xfId="0" applyNumberFormat="1" applyFont="1" applyFill="1" applyBorder="1" applyAlignment="1" applyProtection="1">
      <alignment horizontal="center"/>
      <protection locked="0"/>
    </xf>
    <xf numFmtId="178" fontId="5" fillId="14" borderId="7" xfId="0" applyNumberFormat="1" applyFont="1" applyFill="1" applyBorder="1" applyAlignment="1" applyProtection="1">
      <alignment horizontal="center"/>
    </xf>
    <xf numFmtId="178" fontId="5" fillId="14" borderId="10" xfId="0" applyNumberFormat="1" applyFont="1" applyFill="1" applyBorder="1" applyAlignment="1" applyProtection="1">
      <alignment horizontal="center" vertical="center"/>
    </xf>
    <xf numFmtId="0" fontId="6" fillId="0" borderId="0" xfId="99" applyFont="1" applyAlignment="1">
      <alignment vertical="center"/>
    </xf>
    <xf numFmtId="3" fontId="5" fillId="3" borderId="1" xfId="61" applyNumberFormat="1" applyFont="1" applyFill="1" applyBorder="1" applyAlignment="1" applyProtection="1">
      <alignment horizontal="right"/>
      <protection locked="0"/>
    </xf>
    <xf numFmtId="0" fontId="5" fillId="3" borderId="6" xfId="61" applyFont="1" applyFill="1" applyBorder="1" applyProtection="1">
      <protection locked="0"/>
    </xf>
    <xf numFmtId="0" fontId="5" fillId="0" borderId="0" xfId="479" applyFont="1" applyAlignment="1">
      <alignment horizontal="left" vertical="center"/>
    </xf>
    <xf numFmtId="0" fontId="5" fillId="3" borderId="6" xfId="108" applyFont="1" applyFill="1" applyBorder="1" applyProtection="1">
      <protection locked="0"/>
    </xf>
    <xf numFmtId="3" fontId="5" fillId="3" borderId="11" xfId="61" applyNumberFormat="1" applyFont="1" applyFill="1" applyBorder="1" applyAlignment="1" applyProtection="1">
      <alignment horizontal="right"/>
      <protection locked="0"/>
    </xf>
    <xf numFmtId="0" fontId="5" fillId="2" borderId="0" xfId="14" applyNumberFormat="1" applyFont="1" applyFill="1" applyBorder="1" applyAlignment="1" applyProtection="1">
      <alignment horizontal="right" vertical="center"/>
    </xf>
    <xf numFmtId="0" fontId="5" fillId="2" borderId="0" xfId="0" applyNumberFormat="1" applyFont="1" applyFill="1" applyBorder="1" applyAlignment="1" applyProtection="1">
      <alignment horizontal="right" vertical="center"/>
    </xf>
    <xf numFmtId="0" fontId="42" fillId="12" borderId="0" xfId="0" applyFont="1" applyFill="1" applyBorder="1" applyAlignment="1">
      <alignment horizontal="center"/>
    </xf>
    <xf numFmtId="0" fontId="52" fillId="0" borderId="0" xfId="0" applyFont="1"/>
    <xf numFmtId="0" fontId="53" fillId="0" borderId="0" xfId="479" applyFont="1"/>
    <xf numFmtId="175" fontId="54" fillId="0" borderId="0" xfId="479" applyNumberFormat="1" applyFont="1" applyAlignment="1">
      <alignment horizontal="left" vertical="center"/>
    </xf>
    <xf numFmtId="0" fontId="54" fillId="0" borderId="0" xfId="479" applyNumberFormat="1" applyFont="1" applyAlignment="1">
      <alignment horizontal="left" vertical="center"/>
    </xf>
    <xf numFmtId="1" fontId="54" fillId="0" borderId="0" xfId="479" applyNumberFormat="1" applyFont="1" applyAlignment="1">
      <alignment horizontal="left" vertical="center"/>
    </xf>
    <xf numFmtId="0" fontId="55" fillId="0" borderId="0" xfId="479" applyFont="1" applyAlignment="1">
      <alignment horizontal="left" vertical="center"/>
    </xf>
    <xf numFmtId="49" fontId="5" fillId="0" borderId="0" xfId="478"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2" borderId="0" xfId="0" applyFont="1" applyFill="1" applyBorder="1" applyAlignment="1" applyProtection="1">
      <alignment horizontal="center" vertical="center"/>
    </xf>
    <xf numFmtId="3" fontId="5" fillId="2"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2" borderId="4" xfId="0" applyFont="1" applyFill="1" applyBorder="1" applyAlignment="1" applyProtection="1">
      <alignment horizontal="left" vertical="center"/>
    </xf>
    <xf numFmtId="0" fontId="38" fillId="12" borderId="4" xfId="0" applyFont="1" applyFill="1" applyBorder="1" applyAlignment="1" applyProtection="1">
      <alignment horizontal="center" vertical="center"/>
    </xf>
    <xf numFmtId="0" fontId="0" fillId="12" borderId="10" xfId="0" applyFill="1" applyBorder="1" applyAlignment="1" applyProtection="1">
      <alignment vertical="center"/>
    </xf>
    <xf numFmtId="180" fontId="5" fillId="2" borderId="1" xfId="0" applyNumberFormat="1" applyFont="1" applyFill="1" applyBorder="1" applyAlignment="1" applyProtection="1">
      <alignment horizontal="right" vertical="center"/>
    </xf>
    <xf numFmtId="3" fontId="5" fillId="2" borderId="29" xfId="0" applyNumberFormat="1" applyFont="1" applyFill="1" applyBorder="1" applyAlignment="1" applyProtection="1">
      <alignment horizontal="right" vertical="center"/>
    </xf>
    <xf numFmtId="0" fontId="5" fillId="2" borderId="29" xfId="0" applyFont="1" applyFill="1" applyBorder="1" applyAlignment="1" applyProtection="1">
      <alignment horizontal="right" vertical="center"/>
    </xf>
    <xf numFmtId="3" fontId="5" fillId="8" borderId="3" xfId="0" applyNumberFormat="1" applyFont="1" applyFill="1" applyBorder="1" applyAlignment="1" applyProtection="1">
      <alignment horizontal="right" vertical="center"/>
    </xf>
    <xf numFmtId="172" fontId="5" fillId="2" borderId="1" xfId="61" applyNumberFormat="1" applyFont="1" applyFill="1" applyBorder="1" applyAlignment="1" applyProtection="1">
      <alignment horizontal="right" vertical="center"/>
    </xf>
    <xf numFmtId="0" fontId="5" fillId="2" borderId="0" xfId="0" applyFont="1" applyFill="1" applyBorder="1" applyAlignment="1" applyProtection="1">
      <alignment vertical="center"/>
      <protection locked="0"/>
    </xf>
    <xf numFmtId="37" fontId="5" fillId="2" borderId="0" xfId="0" applyNumberFormat="1" applyFont="1" applyFill="1" applyBorder="1" applyAlignment="1" applyProtection="1">
      <alignment horizontal="centerContinuous" vertical="center"/>
      <protection locked="0"/>
    </xf>
    <xf numFmtId="0" fontId="5" fillId="2" borderId="0" xfId="0" applyFont="1" applyFill="1" applyBorder="1" applyAlignment="1" applyProtection="1">
      <alignment horizontal="centerContinuous" vertical="center"/>
      <protection locked="0"/>
    </xf>
    <xf numFmtId="178" fontId="39" fillId="14" borderId="11" xfId="0" applyNumberFormat="1" applyFont="1" applyFill="1" applyBorder="1" applyAlignment="1" applyProtection="1">
      <alignment horizontal="center" vertical="center"/>
    </xf>
    <xf numFmtId="0" fontId="38" fillId="12" borderId="0" xfId="0" applyFont="1" applyFill="1" applyBorder="1" applyAlignment="1" applyProtection="1">
      <alignment horizontal="center" vertical="center"/>
    </xf>
    <xf numFmtId="0" fontId="0" fillId="12" borderId="7" xfId="0" applyFill="1" applyBorder="1" applyAlignment="1" applyProtection="1">
      <alignment vertical="center"/>
    </xf>
    <xf numFmtId="0" fontId="5" fillId="14" borderId="0" xfId="0" applyFont="1" applyFill="1" applyBorder="1" applyAlignment="1" applyProtection="1">
      <alignment vertical="center"/>
    </xf>
    <xf numFmtId="0" fontId="3" fillId="14" borderId="0" xfId="0" applyFont="1" applyFill="1" applyBorder="1" applyAlignment="1" applyProtection="1">
      <alignment vertical="center"/>
    </xf>
    <xf numFmtId="0" fontId="39" fillId="12" borderId="11" xfId="0" applyFont="1" applyFill="1" applyBorder="1" applyAlignment="1" applyProtection="1">
      <alignment horizontal="center" vertical="center"/>
    </xf>
    <xf numFmtId="0" fontId="39" fillId="14" borderId="9" xfId="0" applyFont="1" applyFill="1" applyBorder="1" applyAlignment="1" applyProtection="1">
      <alignment vertical="center"/>
    </xf>
    <xf numFmtId="178" fontId="39" fillId="14" borderId="10" xfId="0" applyNumberFormat="1" applyFont="1" applyFill="1" applyBorder="1" applyAlignment="1" applyProtection="1">
      <alignment horizontal="center" vertical="center"/>
      <protection locked="0"/>
    </xf>
    <xf numFmtId="181" fontId="5" fillId="3"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2" borderId="0" xfId="37" applyFont="1" applyFill="1"/>
    <xf numFmtId="0" fontId="2" fillId="0" borderId="0" xfId="37"/>
    <xf numFmtId="0" fontId="5" fillId="12" borderId="0" xfId="37" applyFont="1" applyFill="1" applyAlignment="1">
      <alignment vertical="center"/>
    </xf>
    <xf numFmtId="37" fontId="5" fillId="12" borderId="0" xfId="37" applyNumberFormat="1" applyFont="1" applyFill="1" applyAlignment="1">
      <alignment vertical="center"/>
    </xf>
    <xf numFmtId="0" fontId="5" fillId="12" borderId="4" xfId="37" applyFont="1" applyFill="1" applyBorder="1" applyAlignment="1">
      <alignment vertical="center"/>
    </xf>
    <xf numFmtId="0" fontId="5" fillId="12" borderId="0" xfId="37" applyFont="1" applyFill="1" applyAlignment="1">
      <alignment horizontal="center" vertical="center"/>
    </xf>
    <xf numFmtId="0" fontId="6" fillId="12" borderId="0" xfId="37" applyFont="1" applyFill="1" applyAlignment="1">
      <alignment horizontal="center" vertical="center"/>
    </xf>
    <xf numFmtId="178" fontId="5" fillId="12" borderId="0" xfId="37" applyNumberFormat="1" applyFont="1" applyFill="1" applyAlignment="1">
      <alignment vertical="center"/>
    </xf>
    <xf numFmtId="178" fontId="5" fillId="12" borderId="12" xfId="37" applyNumberFormat="1" applyFont="1" applyFill="1" applyBorder="1" applyAlignment="1">
      <alignment vertical="center"/>
    </xf>
    <xf numFmtId="6" fontId="5" fillId="12" borderId="0" xfId="37" applyNumberFormat="1" applyFont="1" applyFill="1" applyBorder="1" applyAlignment="1">
      <alignment vertical="center"/>
    </xf>
    <xf numFmtId="178" fontId="5" fillId="12" borderId="0" xfId="37" applyNumberFormat="1" applyFont="1" applyFill="1" applyBorder="1" applyAlignment="1">
      <alignment vertical="center"/>
    </xf>
    <xf numFmtId="0" fontId="56" fillId="14" borderId="0" xfId="37" applyFont="1" applyFill="1" applyAlignment="1">
      <alignment vertical="center"/>
    </xf>
    <xf numFmtId="0" fontId="56" fillId="12" borderId="0" xfId="37" applyFont="1" applyFill="1" applyAlignment="1">
      <alignment horizontal="center" vertical="center"/>
    </xf>
    <xf numFmtId="0" fontId="56" fillId="14" borderId="0" xfId="37" applyFont="1" applyFill="1" applyAlignment="1">
      <alignment horizontal="center" vertical="center"/>
    </xf>
    <xf numFmtId="0" fontId="5" fillId="12" borderId="0" xfId="27" applyFont="1" applyFill="1"/>
    <xf numFmtId="0" fontId="2" fillId="12" borderId="0" xfId="37" applyFill="1"/>
    <xf numFmtId="0" fontId="4" fillId="12" borderId="0" xfId="27" applyFont="1" applyFill="1"/>
    <xf numFmtId="0" fontId="2" fillId="12" borderId="0" xfId="27" applyFill="1"/>
    <xf numFmtId="0" fontId="5" fillId="12" borderId="0" xfId="37" applyFont="1" applyFill="1" applyAlignment="1">
      <alignment horizontal="left" vertical="center"/>
    </xf>
    <xf numFmtId="0" fontId="5" fillId="12" borderId="0" xfId="37" applyFont="1" applyFill="1" applyAlignment="1">
      <alignment horizontal="right" vertical="center"/>
    </xf>
    <xf numFmtId="172" fontId="5" fillId="12" borderId="0" xfId="37" applyNumberFormat="1" applyFont="1" applyFill="1" applyAlignment="1">
      <alignment horizontal="center" vertical="center"/>
    </xf>
    <xf numFmtId="182" fontId="56" fillId="12" borderId="0" xfId="37" applyNumberFormat="1" applyFont="1" applyFill="1" applyAlignment="1">
      <alignment horizontal="center" vertical="center"/>
    </xf>
    <xf numFmtId="0" fontId="57" fillId="14" borderId="0" xfId="37" applyFont="1" applyFill="1" applyAlignment="1">
      <alignment horizontal="center" vertical="center"/>
    </xf>
    <xf numFmtId="0" fontId="46" fillId="0" borderId="0" xfId="0" applyFont="1" applyAlignment="1" applyProtection="1">
      <alignment horizontal="right" vertical="center"/>
    </xf>
    <xf numFmtId="0" fontId="58" fillId="0" borderId="0" xfId="0" applyFont="1"/>
    <xf numFmtId="37" fontId="3" fillId="2" borderId="15" xfId="0" applyNumberFormat="1" applyFont="1" applyFill="1" applyBorder="1" applyAlignment="1" applyProtection="1">
      <alignment horizontal="left" vertical="center"/>
    </xf>
    <xf numFmtId="37" fontId="5" fillId="2" borderId="7" xfId="0" applyNumberFormat="1" applyFont="1" applyFill="1" applyBorder="1" applyAlignment="1" applyProtection="1">
      <alignment horizontal="right" vertical="center"/>
    </xf>
    <xf numFmtId="172" fontId="39" fillId="12" borderId="11" xfId="0" applyNumberFormat="1" applyFont="1" applyFill="1" applyBorder="1" applyAlignment="1" applyProtection="1">
      <alignment horizontal="center" vertical="center"/>
    </xf>
    <xf numFmtId="178" fontId="3" fillId="14" borderId="15" xfId="0" applyNumberFormat="1" applyFont="1" applyFill="1" applyBorder="1" applyAlignment="1" applyProtection="1">
      <alignment horizontal="center" vertical="center"/>
    </xf>
    <xf numFmtId="0" fontId="3" fillId="14" borderId="4" xfId="0" applyFont="1" applyFill="1" applyBorder="1" applyAlignment="1" applyProtection="1">
      <alignment vertical="center"/>
    </xf>
    <xf numFmtId="0" fontId="45" fillId="12" borderId="4" xfId="0" applyFont="1" applyFill="1" applyBorder="1" applyAlignment="1">
      <alignment horizontal="left" vertical="center"/>
    </xf>
    <xf numFmtId="178" fontId="5" fillId="0" borderId="0" xfId="0" applyNumberFormat="1" applyFont="1" applyProtection="1">
      <protection locked="0"/>
    </xf>
    <xf numFmtId="0" fontId="58" fillId="0" borderId="0" xfId="0" applyFont="1" applyProtection="1">
      <protection locked="0"/>
    </xf>
    <xf numFmtId="10" fontId="5" fillId="3" borderId="1" xfId="0" applyNumberFormat="1" applyFont="1" applyFill="1" applyBorder="1" applyAlignment="1" applyProtection="1">
      <alignment vertical="center"/>
      <protection locked="0"/>
    </xf>
    <xf numFmtId="0" fontId="9" fillId="0" borderId="0" xfId="14" applyAlignment="1" applyProtection="1"/>
    <xf numFmtId="181" fontId="5" fillId="12" borderId="0" xfId="61" applyNumberFormat="1" applyFont="1" applyFill="1" applyAlignment="1">
      <alignment horizontal="center" vertical="center"/>
    </xf>
    <xf numFmtId="3" fontId="4" fillId="10" borderId="5" xfId="0" applyNumberFormat="1" applyFont="1" applyFill="1" applyBorder="1" applyAlignment="1" applyProtection="1">
      <alignment vertical="center"/>
    </xf>
    <xf numFmtId="172" fontId="3" fillId="12" borderId="9" xfId="0" applyNumberFormat="1" applyFont="1" applyFill="1" applyBorder="1" applyAlignment="1" applyProtection="1">
      <alignment horizontal="center" vertical="center"/>
    </xf>
    <xf numFmtId="172" fontId="3" fillId="12" borderId="6" xfId="0" applyNumberFormat="1" applyFont="1" applyFill="1" applyBorder="1" applyAlignment="1" applyProtection="1">
      <alignment horizontal="center" vertical="center"/>
    </xf>
    <xf numFmtId="172" fontId="3" fillId="14" borderId="15" xfId="0" applyNumberFormat="1" applyFont="1" applyFill="1" applyBorder="1" applyAlignment="1" applyProtection="1">
      <alignment horizontal="center" vertical="center"/>
    </xf>
    <xf numFmtId="172" fontId="3" fillId="14" borderId="6" xfId="0" applyNumberFormat="1" applyFont="1" applyFill="1" applyBorder="1" applyAlignment="1" applyProtection="1">
      <alignment horizontal="center" vertical="center"/>
    </xf>
    <xf numFmtId="0" fontId="5" fillId="12" borderId="7" xfId="0" applyFont="1" applyFill="1" applyBorder="1" applyProtection="1">
      <protection locked="0"/>
    </xf>
    <xf numFmtId="3" fontId="5" fillId="10" borderId="5" xfId="0" applyNumberFormat="1" applyFont="1" applyFill="1" applyBorder="1" applyAlignment="1" applyProtection="1">
      <alignment vertical="center"/>
    </xf>
    <xf numFmtId="172" fontId="5" fillId="12" borderId="0" xfId="0" applyNumberFormat="1" applyFont="1" applyFill="1" applyBorder="1" applyAlignment="1" applyProtection="1">
      <alignment vertical="center"/>
    </xf>
    <xf numFmtId="172" fontId="3" fillId="0" borderId="0" xfId="14" applyNumberFormat="1" applyFont="1" applyFill="1" applyBorder="1" applyAlignment="1" applyProtection="1">
      <alignment horizontal="center" vertical="center"/>
    </xf>
    <xf numFmtId="1" fontId="5" fillId="2" borderId="2" xfId="0" applyNumberFormat="1" applyFont="1" applyFill="1" applyBorder="1" applyAlignment="1" applyProtection="1">
      <alignment horizontal="center" vertical="center"/>
    </xf>
    <xf numFmtId="37" fontId="5" fillId="2" borderId="16" xfId="0" applyNumberFormat="1" applyFont="1" applyFill="1" applyBorder="1" applyAlignment="1" applyProtection="1">
      <alignment horizontal="center" vertical="center"/>
    </xf>
    <xf numFmtId="1" fontId="5" fillId="2" borderId="6" xfId="0" applyNumberFormat="1" applyFont="1" applyFill="1" applyBorder="1" applyAlignment="1" applyProtection="1">
      <alignment horizontal="centerContinuous" vertical="center"/>
    </xf>
    <xf numFmtId="37" fontId="5" fillId="2" borderId="6" xfId="0" applyNumberFormat="1" applyFont="1" applyFill="1" applyBorder="1" applyAlignment="1" applyProtection="1">
      <alignment horizontal="centerContinuous" vertical="center"/>
    </xf>
    <xf numFmtId="0" fontId="5" fillId="2" borderId="8" xfId="0" applyFont="1" applyFill="1" applyBorder="1" applyAlignment="1" applyProtection="1">
      <alignment horizontal="centerContinuous" vertical="center"/>
    </xf>
    <xf numFmtId="166" fontId="5" fillId="2" borderId="1"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vertical="center"/>
    </xf>
    <xf numFmtId="3" fontId="5" fillId="8" borderId="1" xfId="0" applyNumberFormat="1" applyFont="1" applyFill="1" applyBorder="1" applyAlignment="1" applyProtection="1">
      <alignment horizontal="center" vertical="center"/>
    </xf>
    <xf numFmtId="166" fontId="5" fillId="8" borderId="1" xfId="0" applyNumberFormat="1" applyFont="1" applyFill="1" applyBorder="1" applyAlignment="1" applyProtection="1">
      <alignment horizontal="center" vertical="center"/>
    </xf>
    <xf numFmtId="3" fontId="5" fillId="2" borderId="3" xfId="0" applyNumberFormat="1" applyFont="1" applyFill="1" applyBorder="1" applyAlignment="1" applyProtection="1">
      <alignment horizontal="center" vertical="center"/>
    </xf>
    <xf numFmtId="173" fontId="5" fillId="2" borderId="0" xfId="0" applyNumberFormat="1" applyFont="1" applyFill="1" applyBorder="1" applyAlignment="1" applyProtection="1">
      <alignment horizontal="center" vertical="center"/>
    </xf>
    <xf numFmtId="172" fontId="5" fillId="2" borderId="0" xfId="0" applyNumberFormat="1" applyFont="1" applyFill="1" applyBorder="1" applyAlignment="1" applyProtection="1">
      <alignment horizontal="center" vertical="center"/>
    </xf>
    <xf numFmtId="166" fontId="5" fillId="2" borderId="0" xfId="0" applyNumberFormat="1" applyFont="1" applyFill="1" applyBorder="1" applyAlignment="1" applyProtection="1">
      <alignment horizontal="center" vertical="center"/>
    </xf>
    <xf numFmtId="3" fontId="5" fillId="8" borderId="5" xfId="0" applyNumberFormat="1" applyFont="1" applyFill="1" applyBorder="1" applyAlignment="1" applyProtection="1">
      <alignment horizontal="center" vertical="center"/>
    </xf>
    <xf numFmtId="1" fontId="5" fillId="2" borderId="0" xfId="0" applyNumberFormat="1" applyFont="1" applyFill="1" applyAlignment="1" applyProtection="1">
      <alignment horizontal="center" vertical="center"/>
    </xf>
    <xf numFmtId="165" fontId="5" fillId="2" borderId="0" xfId="0" applyNumberFormat="1" applyFont="1" applyFill="1" applyAlignment="1" applyProtection="1">
      <alignment horizontal="center" vertical="center"/>
    </xf>
    <xf numFmtId="3" fontId="5" fillId="2" borderId="3" xfId="0" applyNumberFormat="1" applyFont="1" applyFill="1" applyBorder="1" applyAlignment="1" applyProtection="1">
      <alignment horizontal="fill" vertical="center"/>
    </xf>
    <xf numFmtId="0" fontId="5" fillId="2" borderId="0" xfId="0" applyFont="1" applyFill="1" applyAlignment="1" applyProtection="1">
      <alignment horizontal="center" vertical="center"/>
    </xf>
    <xf numFmtId="0" fontId="5" fillId="12" borderId="0" xfId="0" applyFont="1" applyFill="1" applyAlignment="1" applyProtection="1">
      <alignment horizontal="center" vertical="center"/>
    </xf>
    <xf numFmtId="1" fontId="6" fillId="2" borderId="4" xfId="0"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37" fontId="5" fillId="14" borderId="10" xfId="0" applyNumberFormat="1" applyFont="1" applyFill="1" applyBorder="1" applyAlignment="1" applyProtection="1">
      <alignment horizontal="right" vertical="center"/>
    </xf>
    <xf numFmtId="0" fontId="5" fillId="14" borderId="10" xfId="0" applyFont="1" applyFill="1" applyBorder="1" applyProtection="1">
      <protection locked="0"/>
    </xf>
    <xf numFmtId="0" fontId="5" fillId="12" borderId="7" xfId="0" applyFont="1" applyFill="1" applyBorder="1" applyAlignment="1" applyProtection="1">
      <alignment vertical="center"/>
      <protection locked="0"/>
    </xf>
    <xf numFmtId="0" fontId="3" fillId="2" borderId="7" xfId="14" applyNumberFormat="1" applyFont="1" applyFill="1" applyBorder="1" applyAlignment="1" applyProtection="1">
      <alignment horizontal="center" vertical="center"/>
    </xf>
    <xf numFmtId="0" fontId="5" fillId="0" borderId="0" xfId="99" applyFont="1" applyAlignment="1">
      <alignment vertical="center"/>
    </xf>
    <xf numFmtId="37" fontId="5" fillId="12" borderId="0" xfId="0" applyNumberFormat="1" applyFont="1" applyFill="1" applyAlignment="1" applyProtection="1">
      <alignment horizontal="left" vertical="center"/>
    </xf>
    <xf numFmtId="0" fontId="5" fillId="0" borderId="0" xfId="27" applyFont="1" applyAlignment="1">
      <alignment vertical="center" wrapText="1"/>
    </xf>
    <xf numFmtId="0" fontId="9" fillId="18" borderId="0" xfId="14" applyFill="1" applyAlignment="1" applyProtection="1"/>
    <xf numFmtId="0" fontId="47" fillId="18" borderId="0" xfId="402" applyFill="1"/>
    <xf numFmtId="0" fontId="5" fillId="0" borderId="0" xfId="129" applyFont="1" applyAlignment="1">
      <alignment vertical="center"/>
    </xf>
    <xf numFmtId="3" fontId="5" fillId="2" borderId="0" xfId="0" applyNumberFormat="1" applyFont="1" applyFill="1" applyAlignment="1" applyProtection="1">
      <alignment horizontal="right" vertical="center"/>
    </xf>
    <xf numFmtId="3" fontId="12" fillId="2" borderId="0" xfId="0" applyNumberFormat="1" applyFont="1" applyFill="1" applyBorder="1" applyAlignment="1" applyProtection="1">
      <alignment horizontal="center" vertical="center"/>
    </xf>
    <xf numFmtId="49" fontId="5" fillId="4" borderId="6" xfId="478" applyNumberFormat="1" applyFont="1" applyFill="1" applyBorder="1" applyAlignment="1" applyProtection="1">
      <alignment horizontal="left" vertical="center"/>
      <protection locked="0"/>
    </xf>
    <xf numFmtId="49" fontId="5" fillId="4" borderId="11" xfId="479" applyNumberFormat="1" applyFont="1" applyFill="1" applyBorder="1" applyAlignment="1" applyProtection="1">
      <alignment horizontal="left" vertical="center"/>
      <protection locked="0"/>
    </xf>
    <xf numFmtId="49" fontId="5" fillId="4" borderId="1" xfId="478" applyNumberFormat="1" applyFont="1" applyFill="1" applyBorder="1" applyAlignment="1" applyProtection="1">
      <alignment horizontal="left" vertical="center"/>
      <protection locked="0"/>
    </xf>
    <xf numFmtId="49" fontId="5" fillId="4" borderId="1" xfId="479" applyNumberFormat="1" applyFont="1" applyFill="1" applyBorder="1" applyAlignment="1" applyProtection="1">
      <alignment horizontal="left" vertical="center"/>
      <protection locked="0"/>
    </xf>
    <xf numFmtId="0" fontId="5" fillId="4" borderId="6" xfId="479" applyFont="1" applyFill="1" applyBorder="1" applyAlignment="1" applyProtection="1">
      <alignment horizontal="left" vertical="center"/>
      <protection locked="0"/>
    </xf>
    <xf numFmtId="0" fontId="5" fillId="4" borderId="8" xfId="478" applyFont="1" applyFill="1" applyBorder="1" applyAlignment="1" applyProtection="1">
      <alignment horizontal="left" vertical="center"/>
      <protection locked="0"/>
    </xf>
    <xf numFmtId="0" fontId="29" fillId="4" borderId="11" xfId="478" applyFill="1" applyBorder="1" applyAlignment="1" applyProtection="1">
      <alignment horizontal="left" vertical="center"/>
      <protection locked="0"/>
    </xf>
    <xf numFmtId="37" fontId="5" fillId="4" borderId="6" xfId="61" applyNumberFormat="1" applyFont="1" applyFill="1" applyBorder="1" applyAlignment="1" applyProtection="1">
      <alignment horizontal="left"/>
      <protection locked="0"/>
    </xf>
    <xf numFmtId="0" fontId="5" fillId="4" borderId="11" xfId="0" applyFont="1" applyFill="1" applyBorder="1" applyAlignment="1" applyProtection="1">
      <alignment vertical="center"/>
    </xf>
    <xf numFmtId="0" fontId="4" fillId="2" borderId="0" xfId="0" applyFont="1" applyFill="1" applyAlignment="1" applyProtection="1">
      <alignment horizontal="centerContinuous" vertical="center"/>
    </xf>
    <xf numFmtId="0" fontId="7" fillId="2" borderId="0" xfId="27" applyFont="1" applyFill="1" applyAlignment="1" applyProtection="1">
      <alignment horizontal="center" vertical="center"/>
    </xf>
    <xf numFmtId="3" fontId="5" fillId="2" borderId="0" xfId="27" applyNumberFormat="1" applyFont="1" applyFill="1" applyAlignment="1" applyProtection="1">
      <alignment vertical="center"/>
    </xf>
    <xf numFmtId="3" fontId="5" fillId="2" borderId="4" xfId="27" applyNumberFormat="1" applyFont="1" applyFill="1" applyBorder="1" applyAlignment="1" applyProtection="1">
      <alignment vertical="center"/>
    </xf>
    <xf numFmtId="3" fontId="5" fillId="2" borderId="0" xfId="27" applyNumberFormat="1" applyFont="1" applyFill="1" applyBorder="1" applyAlignment="1" applyProtection="1">
      <alignment vertical="center"/>
    </xf>
    <xf numFmtId="0" fontId="5" fillId="2" borderId="0" xfId="27" applyFont="1" applyFill="1" applyAlignment="1" applyProtection="1">
      <alignment horizontal="left" vertical="center"/>
    </xf>
    <xf numFmtId="0" fontId="5" fillId="12" borderId="0" xfId="27" applyFont="1" applyFill="1" applyAlignment="1" applyProtection="1">
      <alignment vertical="center"/>
    </xf>
    <xf numFmtId="0" fontId="5" fillId="2" borderId="0" xfId="27" quotePrefix="1" applyFont="1" applyFill="1" applyAlignment="1" applyProtection="1">
      <alignment vertical="center"/>
    </xf>
    <xf numFmtId="10" fontId="5" fillId="2" borderId="0" xfId="27" applyNumberFormat="1" applyFont="1" applyFill="1" applyBorder="1" applyAlignment="1" applyProtection="1">
      <alignment vertical="center"/>
    </xf>
    <xf numFmtId="0" fontId="7" fillId="2" borderId="0" xfId="27" applyFont="1" applyFill="1" applyAlignment="1" applyProtection="1">
      <alignment horizontal="left" vertical="center"/>
    </xf>
    <xf numFmtId="0" fontId="5" fillId="0" borderId="0" xfId="0" applyFont="1" applyAlignment="1">
      <alignment vertical="top" wrapText="1"/>
    </xf>
    <xf numFmtId="0" fontId="5" fillId="0" borderId="0" xfId="27" applyFont="1" applyAlignment="1">
      <alignment vertical="center"/>
    </xf>
    <xf numFmtId="179" fontId="42" fillId="12" borderId="0" xfId="0" applyNumberFormat="1" applyFont="1" applyFill="1" applyBorder="1" applyAlignment="1">
      <alignment horizontal="center"/>
    </xf>
    <xf numFmtId="0" fontId="4" fillId="7" borderId="6" xfId="0" applyFont="1" applyFill="1" applyBorder="1" applyAlignment="1">
      <alignment vertical="center"/>
    </xf>
    <xf numFmtId="0" fontId="4" fillId="7" borderId="16" xfId="0" applyFont="1" applyFill="1" applyBorder="1" applyAlignment="1" applyProtection="1">
      <alignment vertical="center"/>
    </xf>
    <xf numFmtId="0" fontId="5" fillId="7" borderId="14" xfId="0" applyFont="1" applyFill="1" applyBorder="1" applyAlignment="1" applyProtection="1">
      <alignment vertical="center"/>
    </xf>
    <xf numFmtId="37" fontId="4" fillId="11" borderId="9" xfId="0" applyNumberFormat="1" applyFont="1" applyFill="1" applyBorder="1" applyAlignment="1" applyProtection="1">
      <alignment horizontal="left" vertical="center"/>
    </xf>
    <xf numFmtId="0" fontId="5" fillId="11" borderId="7" xfId="0" applyFont="1" applyFill="1" applyBorder="1" applyAlignment="1" applyProtection="1">
      <alignment vertical="center"/>
    </xf>
    <xf numFmtId="37" fontId="4" fillId="11" borderId="15" xfId="0" applyNumberFormat="1" applyFont="1" applyFill="1" applyBorder="1" applyAlignment="1" applyProtection="1">
      <alignment horizontal="left" vertical="center"/>
    </xf>
    <xf numFmtId="0" fontId="5" fillId="11" borderId="10" xfId="0" applyFont="1" applyFill="1" applyBorder="1" applyAlignment="1" applyProtection="1">
      <alignment vertical="center"/>
    </xf>
    <xf numFmtId="37" fontId="5" fillId="2" borderId="3" xfId="0" applyNumberFormat="1" applyFont="1" applyFill="1" applyBorder="1" applyAlignment="1" applyProtection="1">
      <alignment vertical="center"/>
    </xf>
    <xf numFmtId="37" fontId="5" fillId="7" borderId="2" xfId="0" applyNumberFormat="1" applyFont="1" applyFill="1" applyBorder="1" applyAlignment="1" applyProtection="1">
      <alignment horizontal="center" vertical="center"/>
    </xf>
    <xf numFmtId="0" fontId="5" fillId="7" borderId="3" xfId="0" applyFont="1" applyFill="1" applyBorder="1" applyAlignment="1">
      <alignment horizontal="center" vertical="center"/>
    </xf>
    <xf numFmtId="37" fontId="5" fillId="7" borderId="6" xfId="0" applyNumberFormat="1" applyFont="1" applyFill="1" applyBorder="1" applyAlignment="1" applyProtection="1">
      <alignment horizontal="left" vertical="center"/>
    </xf>
    <xf numFmtId="0" fontId="5" fillId="7" borderId="11" xfId="0" applyFont="1" applyFill="1" applyBorder="1" applyAlignment="1" applyProtection="1">
      <alignment vertical="center"/>
    </xf>
    <xf numFmtId="37" fontId="5" fillId="7" borderId="15" xfId="0" applyNumberFormat="1" applyFont="1" applyFill="1" applyBorder="1" applyAlignment="1" applyProtection="1">
      <alignment horizontal="left" vertical="center"/>
    </xf>
    <xf numFmtId="0" fontId="5" fillId="7" borderId="16" xfId="0" applyFont="1" applyFill="1" applyBorder="1" applyAlignment="1" applyProtection="1">
      <alignment vertical="center"/>
      <protection locked="0"/>
    </xf>
    <xf numFmtId="0" fontId="5" fillId="7" borderId="14" xfId="0" applyFont="1" applyFill="1" applyBorder="1" applyAlignment="1" applyProtection="1">
      <alignment vertical="center"/>
      <protection locked="0"/>
    </xf>
    <xf numFmtId="0" fontId="5" fillId="7" borderId="15" xfId="0" applyFont="1" applyFill="1" applyBorder="1" applyAlignment="1" applyProtection="1">
      <alignment vertical="center"/>
      <protection locked="0"/>
    </xf>
    <xf numFmtId="0" fontId="5" fillId="7" borderId="10" xfId="0" applyFont="1" applyFill="1" applyBorder="1" applyAlignment="1" applyProtection="1">
      <alignment vertical="center"/>
      <protection locked="0"/>
    </xf>
    <xf numFmtId="0" fontId="5" fillId="7" borderId="6" xfId="0" applyFont="1" applyFill="1" applyBorder="1" applyAlignment="1" applyProtection="1">
      <alignment vertical="center"/>
      <protection locked="0"/>
    </xf>
    <xf numFmtId="0" fontId="5" fillId="7" borderId="11" xfId="0" applyFont="1" applyFill="1" applyBorder="1" applyAlignment="1" applyProtection="1">
      <alignment vertical="center"/>
      <protection locked="0"/>
    </xf>
    <xf numFmtId="37" fontId="4" fillId="11" borderId="6" xfId="0" applyNumberFormat="1" applyFont="1" applyFill="1" applyBorder="1" applyAlignment="1" applyProtection="1">
      <alignment horizontal="left" vertical="center"/>
    </xf>
    <xf numFmtId="0" fontId="5" fillId="11" borderId="11" xfId="0" applyFont="1" applyFill="1" applyBorder="1" applyAlignment="1" applyProtection="1">
      <alignment vertical="center"/>
    </xf>
    <xf numFmtId="37" fontId="4" fillId="7" borderId="6" xfId="0" applyNumberFormat="1" applyFont="1" applyFill="1" applyBorder="1" applyAlignment="1" applyProtection="1">
      <alignment horizontal="left" vertical="center"/>
    </xf>
    <xf numFmtId="3" fontId="5" fillId="7" borderId="11" xfId="0" applyNumberFormat="1" applyFont="1" applyFill="1" applyBorder="1" applyAlignment="1" applyProtection="1">
      <alignment vertical="center"/>
    </xf>
    <xf numFmtId="3" fontId="5" fillId="4" borderId="3" xfId="0" applyNumberFormat="1" applyFont="1" applyFill="1" applyBorder="1" applyAlignment="1" applyProtection="1">
      <alignment vertical="center"/>
      <protection locked="0"/>
    </xf>
    <xf numFmtId="0" fontId="1" fillId="7" borderId="8" xfId="0" applyFont="1" applyFill="1" applyBorder="1" applyAlignment="1">
      <alignment vertical="center"/>
    </xf>
    <xf numFmtId="0" fontId="0" fillId="7" borderId="8" xfId="0" applyFill="1" applyBorder="1" applyAlignment="1" applyProtection="1">
      <alignment vertical="center"/>
      <protection locked="0"/>
    </xf>
    <xf numFmtId="0" fontId="0" fillId="7" borderId="11" xfId="0" applyFill="1" applyBorder="1" applyAlignment="1" applyProtection="1">
      <alignment vertical="center"/>
      <protection locked="0"/>
    </xf>
    <xf numFmtId="0" fontId="5" fillId="0" borderId="0" xfId="27" applyFont="1" applyFill="1" applyAlignment="1" applyProtection="1">
      <alignment vertical="center"/>
    </xf>
    <xf numFmtId="37" fontId="5" fillId="4" borderId="0" xfId="0" applyNumberFormat="1" applyFont="1" applyFill="1" applyAlignment="1" applyProtection="1">
      <alignment horizontal="center" vertical="center"/>
      <protection locked="0"/>
    </xf>
    <xf numFmtId="0" fontId="5" fillId="2" borderId="0" xfId="26" applyFont="1" applyFill="1" applyAlignment="1" applyProtection="1">
      <alignment vertical="center"/>
    </xf>
    <xf numFmtId="0" fontId="5" fillId="4" borderId="0" xfId="0" applyFont="1" applyFill="1" applyAlignment="1" applyProtection="1">
      <alignment horizontal="center" vertical="center"/>
      <protection locked="0"/>
    </xf>
    <xf numFmtId="179" fontId="5" fillId="14" borderId="10" xfId="0" applyNumberFormat="1" applyFont="1" applyFill="1" applyBorder="1" applyAlignment="1" applyProtection="1">
      <alignment horizontal="center"/>
    </xf>
    <xf numFmtId="0" fontId="5" fillId="4" borderId="0" xfId="0" applyFont="1" applyFill="1" applyAlignment="1" applyProtection="1">
      <alignment horizontal="center"/>
      <protection locked="0"/>
    </xf>
    <xf numFmtId="179" fontId="42" fillId="12" borderId="0" xfId="0" applyNumberFormat="1" applyFont="1" applyFill="1" applyAlignment="1">
      <alignment horizontal="center"/>
    </xf>
    <xf numFmtId="179" fontId="42" fillId="12" borderId="4" xfId="0" applyNumberFormat="1" applyFont="1" applyFill="1" applyBorder="1" applyAlignment="1">
      <alignment horizontal="center"/>
    </xf>
    <xf numFmtId="179" fontId="42" fillId="12" borderId="0" xfId="0" applyNumberFormat="1" applyFont="1" applyFill="1"/>
    <xf numFmtId="168" fontId="5" fillId="2" borderId="0" xfId="0" applyNumberFormat="1" applyFont="1" applyFill="1" applyBorder="1" applyAlignment="1" applyProtection="1">
      <alignment vertical="center"/>
    </xf>
    <xf numFmtId="0" fontId="5" fillId="2" borderId="0" xfId="27" applyFont="1" applyFill="1" applyAlignment="1" applyProtection="1">
      <alignment horizontal="centerContinuous" vertical="center" wrapText="1"/>
    </xf>
    <xf numFmtId="0" fontId="39" fillId="12" borderId="16" xfId="180" applyFont="1" applyFill="1" applyBorder="1" applyAlignment="1">
      <alignment horizontal="left" vertical="center"/>
    </xf>
    <xf numFmtId="0" fontId="4" fillId="12" borderId="12" xfId="27" applyFont="1" applyFill="1" applyBorder="1" applyAlignment="1">
      <alignment horizontal="centerContinuous" vertical="center"/>
    </xf>
    <xf numFmtId="0" fontId="4" fillId="12" borderId="12" xfId="0" applyFont="1" applyFill="1" applyBorder="1" applyAlignment="1">
      <alignment horizontal="centerContinuous" vertical="center"/>
    </xf>
    <xf numFmtId="0" fontId="5" fillId="12" borderId="12" xfId="0" applyFont="1" applyFill="1" applyBorder="1" applyProtection="1">
      <protection locked="0"/>
    </xf>
    <xf numFmtId="0" fontId="39" fillId="12" borderId="16" xfId="27" applyFont="1" applyFill="1" applyBorder="1" applyAlignment="1">
      <alignment horizontal="left" vertical="center"/>
    </xf>
    <xf numFmtId="0" fontId="6" fillId="0" borderId="0" xfId="0" applyFont="1"/>
    <xf numFmtId="0" fontId="59" fillId="12" borderId="14" xfId="0" applyFont="1" applyFill="1" applyBorder="1" applyAlignment="1">
      <alignment horizontal="center" vertical="center"/>
    </xf>
    <xf numFmtId="178" fontId="3" fillId="12" borderId="10" xfId="27" applyNumberFormat="1" applyFont="1" applyFill="1" applyBorder="1" applyAlignment="1">
      <alignment vertical="center"/>
    </xf>
    <xf numFmtId="0" fontId="3" fillId="12" borderId="4" xfId="27" applyFont="1" applyFill="1" applyBorder="1" applyAlignment="1">
      <alignment vertical="center"/>
    </xf>
    <xf numFmtId="0" fontId="3" fillId="12" borderId="15" xfId="27" applyFont="1" applyFill="1" applyBorder="1" applyAlignment="1">
      <alignment vertical="center"/>
    </xf>
    <xf numFmtId="178" fontId="3" fillId="12" borderId="7" xfId="27" applyNumberFormat="1" applyFont="1" applyFill="1" applyBorder="1" applyAlignment="1">
      <alignment vertical="center"/>
    </xf>
    <xf numFmtId="0" fontId="3" fillId="12" borderId="0" xfId="27" applyFont="1" applyFill="1" applyBorder="1" applyAlignment="1">
      <alignment vertical="center"/>
    </xf>
    <xf numFmtId="0" fontId="3" fillId="12" borderId="9" xfId="27" applyFont="1" applyFill="1" applyBorder="1" applyAlignment="1">
      <alignment vertical="center"/>
    </xf>
    <xf numFmtId="0" fontId="5" fillId="12" borderId="12" xfId="0" applyFont="1" applyFill="1" applyBorder="1" applyAlignment="1" applyProtection="1">
      <alignment vertical="center"/>
      <protection locked="0"/>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3" fillId="12" borderId="9" xfId="27" applyFont="1" applyFill="1" applyBorder="1" applyAlignment="1">
      <alignment vertical="center"/>
    </xf>
    <xf numFmtId="0" fontId="3" fillId="12" borderId="0" xfId="27" applyFont="1" applyFill="1" applyBorder="1" applyAlignment="1">
      <alignment vertical="center"/>
    </xf>
    <xf numFmtId="178" fontId="3" fillId="12" borderId="7" xfId="27" applyNumberFormat="1" applyFont="1" applyFill="1" applyBorder="1" applyAlignment="1">
      <alignment vertical="center"/>
    </xf>
    <xf numFmtId="0" fontId="3" fillId="12" borderId="15" xfId="27" applyFont="1" applyFill="1" applyBorder="1" applyAlignment="1">
      <alignment vertical="center"/>
    </xf>
    <xf numFmtId="0" fontId="3" fillId="12" borderId="4" xfId="27" applyFont="1" applyFill="1" applyBorder="1" applyAlignment="1">
      <alignment vertical="center"/>
    </xf>
    <xf numFmtId="178" fontId="3" fillId="12" borderId="10" xfId="27" applyNumberFormat="1" applyFont="1" applyFill="1" applyBorder="1" applyAlignment="1">
      <alignment vertical="center"/>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3" fillId="12" borderId="9" xfId="27" applyFont="1" applyFill="1" applyBorder="1" applyAlignment="1">
      <alignment vertical="center"/>
    </xf>
    <xf numFmtId="0" fontId="3" fillId="12" borderId="0" xfId="27" applyFont="1" applyFill="1" applyBorder="1" applyAlignment="1">
      <alignment vertical="center"/>
    </xf>
    <xf numFmtId="178" fontId="3" fillId="12" borderId="7" xfId="27" applyNumberFormat="1" applyFont="1" applyFill="1" applyBorder="1" applyAlignment="1">
      <alignment vertical="center"/>
    </xf>
    <xf numFmtId="0" fontId="3" fillId="12" borderId="15" xfId="27" applyFont="1" applyFill="1" applyBorder="1" applyAlignment="1">
      <alignment vertical="center"/>
    </xf>
    <xf numFmtId="0" fontId="3" fillId="12" borderId="4" xfId="27" applyFont="1" applyFill="1" applyBorder="1" applyAlignment="1">
      <alignment vertical="center"/>
    </xf>
    <xf numFmtId="178" fontId="3" fillId="12" borderId="10" xfId="27" applyNumberFormat="1" applyFont="1" applyFill="1" applyBorder="1" applyAlignment="1">
      <alignment vertical="center"/>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5" fillId="12" borderId="6" xfId="27" applyFont="1" applyFill="1" applyBorder="1" applyAlignment="1" applyProtection="1">
      <alignment vertical="center"/>
    </xf>
    <xf numFmtId="0" fontId="6" fillId="0" borderId="0" xfId="27" applyFont="1"/>
    <xf numFmtId="0" fontId="5" fillId="2" borderId="16" xfId="0" applyFont="1" applyFill="1" applyBorder="1" applyAlignment="1" applyProtection="1">
      <alignment vertical="center"/>
    </xf>
    <xf numFmtId="0" fontId="5" fillId="2" borderId="12" xfId="14" applyNumberFormat="1" applyFont="1" applyFill="1" applyBorder="1" applyAlignment="1" applyProtection="1">
      <alignment horizontal="right" vertical="center"/>
    </xf>
    <xf numFmtId="37" fontId="5" fillId="2" borderId="9" xfId="0" applyNumberFormat="1" applyFont="1" applyFill="1" applyBorder="1" applyAlignment="1" applyProtection="1">
      <alignment horizontal="right" vertical="center"/>
    </xf>
    <xf numFmtId="37" fontId="5" fillId="2" borderId="15" xfId="0" applyNumberFormat="1" applyFont="1" applyFill="1" applyBorder="1" applyAlignment="1" applyProtection="1">
      <alignment horizontal="right" vertical="center"/>
    </xf>
    <xf numFmtId="0" fontId="5" fillId="2" borderId="4" xfId="14" applyNumberFormat="1" applyFont="1" applyFill="1" applyBorder="1" applyAlignment="1" applyProtection="1">
      <alignment horizontal="right" vertical="center"/>
    </xf>
    <xf numFmtId="37" fontId="5" fillId="2" borderId="16" xfId="0" applyNumberFormat="1" applyFont="1" applyFill="1" applyBorder="1" applyAlignment="1" applyProtection="1">
      <alignment horizontal="left" vertical="center"/>
    </xf>
    <xf numFmtId="0" fontId="5" fillId="2" borderId="12" xfId="0" applyNumberFormat="1" applyFont="1" applyFill="1" applyBorder="1" applyAlignment="1" applyProtection="1">
      <alignment horizontal="right" vertical="center"/>
    </xf>
    <xf numFmtId="0" fontId="5" fillId="2" borderId="14" xfId="0" applyNumberFormat="1" applyFont="1" applyFill="1" applyBorder="1" applyAlignment="1" applyProtection="1">
      <alignment horizontal="right" vertical="center"/>
    </xf>
    <xf numFmtId="0" fontId="5" fillId="2" borderId="7" xfId="0" applyNumberFormat="1" applyFont="1" applyFill="1" applyBorder="1" applyAlignment="1" applyProtection="1">
      <alignment horizontal="right" vertical="center"/>
    </xf>
    <xf numFmtId="0" fontId="12" fillId="2" borderId="12" xfId="0" applyFont="1" applyFill="1" applyBorder="1" applyAlignment="1" applyProtection="1">
      <alignment horizontal="center" vertical="center"/>
    </xf>
    <xf numFmtId="3" fontId="12" fillId="2" borderId="14" xfId="0" applyNumberFormat="1" applyFont="1" applyFill="1" applyBorder="1" applyAlignment="1" applyProtection="1">
      <alignment horizontal="center" vertical="center"/>
    </xf>
    <xf numFmtId="0" fontId="5" fillId="2" borderId="9" xfId="0" applyFont="1" applyFill="1" applyBorder="1" applyAlignment="1" applyProtection="1">
      <alignment horizontal="right" vertical="center"/>
    </xf>
    <xf numFmtId="0" fontId="12" fillId="2" borderId="0" xfId="0" applyFont="1" applyFill="1" applyBorder="1" applyAlignment="1" applyProtection="1">
      <alignment horizontal="center" vertical="center"/>
    </xf>
    <xf numFmtId="3" fontId="12" fillId="2" borderId="7" xfId="0" applyNumberFormat="1" applyFont="1" applyFill="1" applyBorder="1" applyAlignment="1" applyProtection="1">
      <alignment horizontal="center" vertical="center"/>
    </xf>
    <xf numFmtId="0" fontId="5" fillId="2" borderId="15" xfId="0" applyFont="1" applyFill="1" applyBorder="1" applyAlignment="1" applyProtection="1">
      <alignment horizontal="right" vertical="center"/>
    </xf>
    <xf numFmtId="0" fontId="12" fillId="2" borderId="4" xfId="0" applyFont="1" applyFill="1" applyBorder="1" applyAlignment="1" applyProtection="1">
      <alignment horizontal="center" vertical="center"/>
    </xf>
    <xf numFmtId="0" fontId="5" fillId="2" borderId="16" xfId="0" applyFont="1" applyFill="1" applyBorder="1" applyAlignment="1" applyProtection="1">
      <alignment horizontal="left" vertical="center"/>
    </xf>
    <xf numFmtId="0" fontId="5" fillId="2" borderId="16" xfId="0" applyFont="1" applyFill="1" applyBorder="1" applyAlignment="1">
      <alignment vertical="center"/>
    </xf>
    <xf numFmtId="3" fontId="5" fillId="2" borderId="12" xfId="0" applyNumberFormat="1" applyFont="1" applyFill="1" applyBorder="1" applyAlignment="1">
      <alignment vertical="center"/>
    </xf>
    <xf numFmtId="0" fontId="5" fillId="2" borderId="12" xfId="0" applyFont="1" applyFill="1" applyBorder="1" applyAlignment="1">
      <alignment vertical="center"/>
    </xf>
    <xf numFmtId="0" fontId="5" fillId="2" borderId="14" xfId="0" applyFont="1" applyFill="1" applyBorder="1" applyAlignment="1">
      <alignment vertical="center"/>
    </xf>
    <xf numFmtId="0" fontId="5" fillId="2" borderId="9" xfId="0" applyFont="1" applyFill="1" applyBorder="1" applyAlignment="1">
      <alignment vertical="center"/>
    </xf>
    <xf numFmtId="3" fontId="5" fillId="2" borderId="0" xfId="0" applyNumberFormat="1" applyFont="1" applyFill="1" applyBorder="1" applyAlignment="1">
      <alignment vertical="center"/>
    </xf>
    <xf numFmtId="0" fontId="5" fillId="2" borderId="0" xfId="0" applyFont="1" applyFill="1" applyBorder="1" applyAlignment="1">
      <alignment vertical="center"/>
    </xf>
    <xf numFmtId="0" fontId="5" fillId="2" borderId="7" xfId="0" applyFont="1" applyFill="1" applyBorder="1" applyAlignment="1">
      <alignment vertical="center"/>
    </xf>
    <xf numFmtId="0" fontId="5" fillId="2" borderId="15" xfId="0" applyFont="1" applyFill="1" applyBorder="1" applyAlignment="1">
      <alignment vertical="center"/>
    </xf>
    <xf numFmtId="3" fontId="5" fillId="2" borderId="4" xfId="0" applyNumberFormat="1" applyFont="1" applyFill="1" applyBorder="1" applyAlignment="1">
      <alignment vertical="center"/>
    </xf>
    <xf numFmtId="0" fontId="5" fillId="2" borderId="10" xfId="0" applyFont="1" applyFill="1" applyBorder="1" applyAlignment="1">
      <alignment vertical="center"/>
    </xf>
    <xf numFmtId="0" fontId="5" fillId="2" borderId="0" xfId="0" quotePrefix="1" applyFont="1" applyFill="1" applyAlignment="1" applyProtection="1">
      <alignment horizontal="left" vertical="center"/>
    </xf>
    <xf numFmtId="0" fontId="5" fillId="2" borderId="0" xfId="0" quotePrefix="1" applyFont="1" applyFill="1" applyAlignment="1" applyProtection="1">
      <alignment horizontal="left" vertical="top"/>
    </xf>
    <xf numFmtId="0" fontId="5" fillId="2" borderId="0" xfId="0" quotePrefix="1" applyFont="1" applyFill="1" applyAlignment="1" applyProtection="1">
      <alignment horizontal="left"/>
    </xf>
    <xf numFmtId="167" fontId="5" fillId="2" borderId="4" xfId="0" applyNumberFormat="1" applyFont="1" applyFill="1" applyBorder="1" applyAlignment="1" applyProtection="1">
      <alignment vertical="center"/>
    </xf>
    <xf numFmtId="0" fontId="5" fillId="2" borderId="0" xfId="27" quotePrefix="1" applyFont="1" applyFill="1" applyAlignment="1" applyProtection="1">
      <alignment horizontal="left"/>
    </xf>
    <xf numFmtId="10" fontId="5" fillId="2" borderId="4" xfId="27" applyNumberFormat="1" applyFont="1" applyFill="1" applyBorder="1" applyAlignment="1" applyProtection="1">
      <alignment vertical="center"/>
    </xf>
    <xf numFmtId="0" fontId="4" fillId="2" borderId="0" xfId="27" quotePrefix="1" applyFont="1" applyFill="1" applyAlignment="1" applyProtection="1">
      <alignment vertical="center"/>
    </xf>
    <xf numFmtId="0" fontId="4" fillId="12" borderId="0" xfId="27" applyFont="1" applyFill="1" applyAlignment="1" applyProtection="1">
      <alignment vertical="center"/>
    </xf>
    <xf numFmtId="3" fontId="4" fillId="12" borderId="8" xfId="27" applyNumberFormat="1" applyFont="1" applyFill="1" applyBorder="1" applyAlignment="1" applyProtection="1">
      <alignment vertical="center"/>
    </xf>
    <xf numFmtId="0" fontId="5" fillId="0" borderId="0" xfId="0" applyFont="1" applyAlignment="1">
      <alignment horizontal="right" vertical="center"/>
    </xf>
    <xf numFmtId="3" fontId="5" fillId="0" borderId="0" xfId="27" applyNumberFormat="1" applyFont="1" applyFill="1" applyBorder="1" applyAlignment="1" applyProtection="1">
      <alignment vertical="center"/>
    </xf>
    <xf numFmtId="0" fontId="7" fillId="0" borderId="0" xfId="27" applyFont="1" applyFill="1" applyAlignment="1" applyProtection="1">
      <alignment horizontal="left" vertical="center"/>
    </xf>
    <xf numFmtId="0" fontId="7" fillId="0" borderId="0" xfId="27" applyFont="1" applyFill="1" applyAlignment="1" applyProtection="1">
      <alignment horizontal="center" vertical="center"/>
    </xf>
    <xf numFmtId="0" fontId="5" fillId="0" borderId="0" xfId="27" applyFont="1" applyFill="1" applyAlignment="1" applyProtection="1">
      <alignment horizontal="left" vertical="center"/>
    </xf>
    <xf numFmtId="0" fontId="5" fillId="0" borderId="0" xfId="27" applyFont="1" applyFill="1" applyAlignment="1" applyProtection="1">
      <alignment horizontal="left" vertical="center" wrapText="1"/>
    </xf>
    <xf numFmtId="0" fontId="5" fillId="0" borderId="0" xfId="27" applyFont="1" applyFill="1" applyAlignment="1" applyProtection="1">
      <alignment horizontal="centerContinuous" vertical="center" wrapText="1"/>
    </xf>
    <xf numFmtId="0" fontId="0" fillId="0" borderId="0" xfId="0" applyAlignment="1">
      <alignment horizontal="left"/>
    </xf>
    <xf numFmtId="0" fontId="0" fillId="0" borderId="0" xfId="0" applyFill="1"/>
    <xf numFmtId="3" fontId="5" fillId="19" borderId="0" xfId="0" applyNumberFormat="1" applyFont="1" applyFill="1" applyBorder="1" applyAlignment="1" applyProtection="1">
      <alignment vertical="center"/>
    </xf>
    <xf numFmtId="3" fontId="5" fillId="19" borderId="4" xfId="0" applyNumberFormat="1" applyFont="1" applyFill="1" applyBorder="1" applyAlignment="1" applyProtection="1">
      <alignment vertical="center"/>
    </xf>
    <xf numFmtId="3" fontId="5" fillId="19" borderId="8" xfId="0" applyNumberFormat="1" applyFont="1" applyFill="1" applyBorder="1" applyAlignment="1" applyProtection="1">
      <alignment vertical="center"/>
    </xf>
    <xf numFmtId="0" fontId="5" fillId="18" borderId="0" xfId="0" applyFont="1" applyFill="1" applyAlignment="1" applyProtection="1">
      <alignment horizontal="left" vertical="center"/>
    </xf>
    <xf numFmtId="0" fontId="5" fillId="18" borderId="0" xfId="0" applyFont="1" applyFill="1" applyAlignment="1" applyProtection="1">
      <alignment vertical="center"/>
    </xf>
    <xf numFmtId="37" fontId="5" fillId="18" borderId="0" xfId="0" applyNumberFormat="1" applyFont="1" applyFill="1" applyAlignment="1" applyProtection="1">
      <alignment vertical="center"/>
    </xf>
    <xf numFmtId="1" fontId="5" fillId="18" borderId="0" xfId="0" applyNumberFormat="1" applyFont="1" applyFill="1" applyBorder="1" applyAlignment="1" applyProtection="1">
      <alignment horizontal="left" vertical="center"/>
    </xf>
    <xf numFmtId="3" fontId="5" fillId="18" borderId="0" xfId="0" applyNumberFormat="1" applyFont="1" applyFill="1" applyAlignment="1" applyProtection="1">
      <alignment vertical="center"/>
    </xf>
    <xf numFmtId="0" fontId="5" fillId="18" borderId="0" xfId="0" quotePrefix="1" applyFont="1" applyFill="1" applyAlignment="1" applyProtection="1">
      <alignment horizontal="left" vertical="center"/>
    </xf>
    <xf numFmtId="3" fontId="5" fillId="18" borderId="0" xfId="0" quotePrefix="1" applyNumberFormat="1" applyFont="1" applyFill="1" applyAlignment="1" applyProtection="1">
      <alignment vertical="center"/>
    </xf>
    <xf numFmtId="3" fontId="5" fillId="18" borderId="0" xfId="0" applyNumberFormat="1" applyFont="1" applyFill="1" applyBorder="1" applyAlignment="1" applyProtection="1">
      <alignment vertical="center"/>
    </xf>
    <xf numFmtId="3" fontId="5" fillId="18" borderId="4" xfId="0" applyNumberFormat="1" applyFont="1" applyFill="1" applyBorder="1" applyAlignment="1" applyProtection="1">
      <alignment vertical="center"/>
    </xf>
    <xf numFmtId="3" fontId="5" fillId="18" borderId="8" xfId="0" applyNumberFormat="1" applyFont="1" applyFill="1" applyBorder="1" applyAlignment="1" applyProtection="1">
      <alignment vertical="center"/>
    </xf>
    <xf numFmtId="0" fontId="5" fillId="18" borderId="0" xfId="0" quotePrefix="1" applyFont="1" applyFill="1" applyAlignment="1" applyProtection="1">
      <alignment vertical="center"/>
    </xf>
    <xf numFmtId="3" fontId="5" fillId="18" borderId="0" xfId="0" quotePrefix="1" applyNumberFormat="1" applyFont="1" applyFill="1" applyBorder="1" applyAlignment="1" applyProtection="1">
      <alignment vertical="center"/>
    </xf>
    <xf numFmtId="0" fontId="5" fillId="18" borderId="0" xfId="0" quotePrefix="1" applyFont="1" applyFill="1" applyBorder="1" applyAlignment="1" applyProtection="1">
      <alignment horizontal="left" vertical="center"/>
    </xf>
    <xf numFmtId="0" fontId="5" fillId="18" borderId="0" xfId="0" applyFont="1" applyFill="1" applyBorder="1" applyAlignment="1" applyProtection="1">
      <alignment vertical="center"/>
    </xf>
    <xf numFmtId="0" fontId="5" fillId="18" borderId="0" xfId="0" quotePrefix="1" applyFont="1" applyFill="1" applyBorder="1" applyAlignment="1" applyProtection="1">
      <alignment vertical="center"/>
    </xf>
    <xf numFmtId="3" fontId="5" fillId="18" borderId="0" xfId="0" applyNumberFormat="1" applyFont="1" applyFill="1" applyBorder="1" applyAlignment="1" applyProtection="1">
      <alignment horizontal="center" vertical="center"/>
    </xf>
    <xf numFmtId="3" fontId="5" fillId="18" borderId="0" xfId="0" applyNumberFormat="1" applyFont="1" applyFill="1" applyBorder="1" applyAlignment="1" applyProtection="1">
      <alignment horizontal="center"/>
    </xf>
    <xf numFmtId="10" fontId="5" fillId="18" borderId="0" xfId="0" applyNumberFormat="1" applyFont="1" applyFill="1" applyBorder="1" applyAlignment="1" applyProtection="1">
      <alignment vertical="center"/>
    </xf>
    <xf numFmtId="168" fontId="5" fillId="18" borderId="0" xfId="0" applyNumberFormat="1" applyFont="1" applyFill="1" applyBorder="1" applyAlignment="1" applyProtection="1">
      <alignment vertical="center"/>
    </xf>
    <xf numFmtId="0" fontId="5" fillId="18" borderId="0" xfId="0" applyFont="1" applyFill="1" applyBorder="1" applyAlignment="1" applyProtection="1">
      <alignment horizontal="left" vertical="center"/>
    </xf>
    <xf numFmtId="3" fontId="5" fillId="18" borderId="0" xfId="0" applyNumberFormat="1" applyFont="1" applyFill="1" applyBorder="1" applyAlignment="1" applyProtection="1">
      <alignment vertical="center"/>
      <protection locked="0"/>
    </xf>
    <xf numFmtId="0" fontId="5" fillId="18" borderId="0" xfId="27" quotePrefix="1" applyFont="1" applyFill="1" applyBorder="1" applyAlignment="1" applyProtection="1">
      <alignment horizontal="left" vertical="center"/>
    </xf>
    <xf numFmtId="0" fontId="5" fillId="18" borderId="0" xfId="27" applyFont="1" applyFill="1" applyBorder="1" applyAlignment="1" applyProtection="1">
      <alignment vertical="center"/>
    </xf>
    <xf numFmtId="10" fontId="5" fillId="18" borderId="0" xfId="27" applyNumberFormat="1" applyFont="1" applyFill="1" applyBorder="1" applyAlignment="1" applyProtection="1">
      <alignment vertical="center"/>
    </xf>
    <xf numFmtId="0" fontId="5" fillId="18" borderId="0" xfId="27" applyFont="1" applyFill="1" applyBorder="1" applyAlignment="1" applyProtection="1">
      <alignment horizontal="left" vertical="center"/>
    </xf>
    <xf numFmtId="3" fontId="5" fillId="18" borderId="0" xfId="27" applyNumberFormat="1" applyFont="1" applyFill="1" applyBorder="1" applyAlignment="1" applyProtection="1">
      <alignment vertical="center"/>
    </xf>
    <xf numFmtId="0" fontId="4" fillId="18" borderId="0" xfId="27" quotePrefix="1" applyFont="1" applyFill="1" applyAlignment="1" applyProtection="1">
      <alignment vertical="center"/>
    </xf>
    <xf numFmtId="0" fontId="4" fillId="18" borderId="0" xfId="27" applyFont="1" applyFill="1" applyAlignment="1" applyProtection="1">
      <alignment vertical="center"/>
    </xf>
    <xf numFmtId="3" fontId="4" fillId="18" borderId="8" xfId="27" applyNumberFormat="1" applyFont="1" applyFill="1" applyBorder="1" applyAlignment="1" applyProtection="1">
      <alignment vertical="center"/>
    </xf>
    <xf numFmtId="0" fontId="7" fillId="18" borderId="0" xfId="27" applyFont="1" applyFill="1" applyBorder="1" applyAlignment="1" applyProtection="1">
      <alignment horizontal="center" vertical="center"/>
    </xf>
    <xf numFmtId="0" fontId="7" fillId="18" borderId="0" xfId="27" applyFont="1" applyFill="1" applyAlignment="1" applyProtection="1">
      <alignment horizontal="left" vertical="center"/>
    </xf>
    <xf numFmtId="0" fontId="7" fillId="18" borderId="0" xfId="27" applyFont="1" applyFill="1" applyAlignment="1" applyProtection="1">
      <alignment horizontal="center" vertical="center"/>
    </xf>
    <xf numFmtId="0" fontId="5" fillId="18" borderId="0" xfId="27" applyFont="1" applyFill="1" applyAlignment="1" applyProtection="1">
      <alignment horizontal="left" vertical="center"/>
    </xf>
    <xf numFmtId="0" fontId="7" fillId="18" borderId="0" xfId="27" applyFont="1" applyFill="1" applyAlignment="1" applyProtection="1">
      <alignment horizontal="right" vertical="center"/>
    </xf>
    <xf numFmtId="0" fontId="5" fillId="18" borderId="0" xfId="27" applyFont="1" applyFill="1" applyAlignment="1" applyProtection="1">
      <alignment horizontal="right" vertical="center"/>
    </xf>
    <xf numFmtId="1" fontId="5" fillId="18" borderId="0" xfId="0" applyNumberFormat="1" applyFont="1" applyFill="1" applyBorder="1" applyAlignment="1" applyProtection="1">
      <alignment horizontal="center" vertical="center"/>
    </xf>
    <xf numFmtId="37" fontId="4" fillId="18" borderId="0" xfId="0" applyNumberFormat="1" applyFont="1" applyFill="1" applyAlignment="1" applyProtection="1">
      <alignment horizontal="center" vertical="center"/>
    </xf>
    <xf numFmtId="0" fontId="4" fillId="18" borderId="0" xfId="0" applyFont="1" applyFill="1" applyAlignment="1" applyProtection="1">
      <alignment horizontal="centerContinuous" vertical="center"/>
    </xf>
    <xf numFmtId="0" fontId="4" fillId="18" borderId="0" xfId="0" applyFont="1" applyFill="1" applyAlignment="1" applyProtection="1">
      <alignment horizontal="center" vertical="center"/>
    </xf>
    <xf numFmtId="0" fontId="5" fillId="18" borderId="0" xfId="0" applyFont="1" applyFill="1" applyBorder="1" applyAlignment="1" applyProtection="1">
      <alignment horizontal="right" vertical="center"/>
    </xf>
    <xf numFmtId="0" fontId="4" fillId="18" borderId="0" xfId="0" applyFont="1" applyFill="1" applyAlignment="1" applyProtection="1">
      <alignment horizontal="left" vertical="center"/>
    </xf>
    <xf numFmtId="0" fontId="5" fillId="18" borderId="0" xfId="0" applyFont="1" applyFill="1" applyBorder="1" applyAlignment="1" applyProtection="1">
      <alignment horizontal="center" vertical="top"/>
    </xf>
    <xf numFmtId="0" fontId="4" fillId="18" borderId="0" xfId="0" applyFont="1" applyFill="1" applyBorder="1" applyAlignment="1" applyProtection="1">
      <alignment horizontal="center" vertical="center"/>
    </xf>
    <xf numFmtId="0" fontId="4" fillId="18" borderId="0" xfId="0" applyFont="1" applyFill="1" applyBorder="1" applyAlignment="1" applyProtection="1">
      <alignment horizontal="center" vertical="center" wrapText="1"/>
    </xf>
    <xf numFmtId="3" fontId="4" fillId="18" borderId="0" xfId="0" applyNumberFormat="1" applyFont="1" applyFill="1" applyBorder="1" applyAlignment="1" applyProtection="1">
      <alignment horizontal="left" vertical="center"/>
    </xf>
    <xf numFmtId="3" fontId="5" fillId="18" borderId="0" xfId="0" applyNumberFormat="1" applyFont="1" applyFill="1" applyBorder="1" applyAlignment="1" applyProtection="1"/>
    <xf numFmtId="0" fontId="4" fillId="18" borderId="0" xfId="0" quotePrefix="1" applyFont="1" applyFill="1" applyBorder="1" applyAlignment="1" applyProtection="1">
      <alignment horizontal="left" vertical="center"/>
    </xf>
    <xf numFmtId="0" fontId="4" fillId="18" borderId="0" xfId="0" applyFont="1" applyFill="1" applyBorder="1" applyAlignment="1" applyProtection="1">
      <alignment vertical="center"/>
    </xf>
    <xf numFmtId="3" fontId="4" fillId="18" borderId="0" xfId="0" quotePrefix="1" applyNumberFormat="1" applyFont="1" applyFill="1" applyBorder="1" applyAlignment="1" applyProtection="1">
      <alignment vertical="center"/>
    </xf>
    <xf numFmtId="3" fontId="4" fillId="18" borderId="0" xfId="0" applyNumberFormat="1" applyFont="1" applyFill="1" applyBorder="1" applyAlignment="1" applyProtection="1">
      <alignment vertical="center"/>
    </xf>
    <xf numFmtId="0" fontId="5" fillId="18" borderId="0" xfId="0" quotePrefix="1" applyFont="1" applyFill="1" applyBorder="1" applyAlignment="1" applyProtection="1">
      <alignment horizontal="right" vertical="center"/>
    </xf>
    <xf numFmtId="3" fontId="4" fillId="18" borderId="8" xfId="0" applyNumberFormat="1" applyFont="1" applyFill="1" applyBorder="1" applyAlignment="1" applyProtection="1">
      <alignment vertical="center"/>
    </xf>
    <xf numFmtId="3" fontId="4" fillId="18" borderId="0" xfId="0" applyNumberFormat="1" applyFont="1" applyFill="1" applyBorder="1" applyAlignment="1" applyProtection="1">
      <alignment horizontal="center" vertical="center"/>
    </xf>
    <xf numFmtId="0" fontId="5" fillId="18" borderId="0" xfId="27" quotePrefix="1" applyFont="1" applyFill="1" applyBorder="1" applyAlignment="1" applyProtection="1">
      <alignment vertical="center"/>
    </xf>
    <xf numFmtId="0" fontId="4" fillId="18" borderId="0" xfId="27" applyFont="1" applyFill="1" applyBorder="1" applyAlignment="1" applyProtection="1">
      <alignment vertical="center"/>
    </xf>
    <xf numFmtId="3" fontId="4" fillId="18" borderId="0" xfId="27" applyNumberFormat="1" applyFont="1" applyFill="1" applyBorder="1" applyAlignment="1" applyProtection="1">
      <alignment vertical="center"/>
    </xf>
    <xf numFmtId="0" fontId="4" fillId="18" borderId="0" xfId="27" quotePrefix="1" applyFont="1" applyFill="1" applyBorder="1" applyAlignment="1" applyProtection="1">
      <alignment vertical="center"/>
    </xf>
    <xf numFmtId="3" fontId="5" fillId="19" borderId="8"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protection locked="0"/>
    </xf>
    <xf numFmtId="10" fontId="4" fillId="4" borderId="1" xfId="0" applyNumberFormat="1" applyFont="1" applyFill="1" applyBorder="1" applyAlignment="1" applyProtection="1">
      <alignment horizontal="center" vertical="center"/>
      <protection locked="0"/>
    </xf>
    <xf numFmtId="37" fontId="5" fillId="2" borderId="0" xfId="0" applyNumberFormat="1" applyFont="1" applyFill="1" applyBorder="1" applyAlignment="1" applyProtection="1">
      <alignment horizontal="center" vertical="center"/>
    </xf>
    <xf numFmtId="0" fontId="5" fillId="2" borderId="0" xfId="0" applyFont="1" applyFill="1" applyBorder="1" applyAlignment="1">
      <alignment horizontal="center" vertical="center"/>
    </xf>
    <xf numFmtId="37" fontId="4" fillId="2" borderId="0" xfId="0" applyNumberFormat="1" applyFont="1" applyFill="1" applyBorder="1" applyAlignment="1" applyProtection="1">
      <alignment horizontal="center" vertical="center"/>
    </xf>
    <xf numFmtId="0" fontId="4" fillId="2" borderId="0" xfId="0" applyFont="1" applyFill="1" applyBorder="1" applyAlignment="1">
      <alignment horizontal="center" vertical="center"/>
    </xf>
    <xf numFmtId="172" fontId="5" fillId="19" borderId="0" xfId="0" applyNumberFormat="1" applyFont="1" applyFill="1" applyBorder="1" applyAlignment="1" applyProtection="1">
      <alignment vertical="center"/>
    </xf>
    <xf numFmtId="3" fontId="4" fillId="2" borderId="0" xfId="0" applyNumberFormat="1" applyFont="1" applyFill="1" applyAlignment="1" applyProtection="1">
      <alignment horizontal="center" vertical="center"/>
    </xf>
    <xf numFmtId="37" fontId="12" fillId="2" borderId="0" xfId="0" applyNumberFormat="1" applyFont="1" applyFill="1" applyAlignment="1" applyProtection="1">
      <alignment horizontal="center" vertical="center"/>
    </xf>
    <xf numFmtId="0" fontId="13" fillId="0" borderId="0" xfId="0" applyFont="1" applyAlignment="1">
      <alignment horizontal="center" vertical="center"/>
    </xf>
    <xf numFmtId="37" fontId="11" fillId="2" borderId="0" xfId="0" applyNumberFormat="1" applyFont="1" applyFill="1" applyAlignment="1" applyProtection="1">
      <alignment horizontal="center" vertical="center"/>
    </xf>
    <xf numFmtId="0" fontId="0" fillId="0" borderId="0" xfId="0" applyAlignment="1">
      <alignment horizontal="center" vertical="center"/>
    </xf>
    <xf numFmtId="37" fontId="4" fillId="2" borderId="0" xfId="27" applyNumberFormat="1" applyFont="1" applyFill="1" applyAlignment="1" applyProtection="1">
      <alignment vertical="center" wrapText="1"/>
    </xf>
    <xf numFmtId="0" fontId="5" fillId="2" borderId="16" xfId="27" applyFont="1" applyFill="1" applyBorder="1" applyAlignment="1" applyProtection="1">
      <alignment vertical="center" wrapText="1"/>
    </xf>
    <xf numFmtId="0" fontId="2" fillId="0" borderId="14" xfId="27" applyBorder="1" applyAlignment="1">
      <alignment vertical="center" wrapText="1"/>
    </xf>
    <xf numFmtId="0" fontId="2" fillId="0" borderId="9" xfId="27" applyBorder="1" applyAlignment="1">
      <alignment vertical="center" wrapText="1"/>
    </xf>
    <xf numFmtId="0" fontId="2" fillId="0" borderId="7" xfId="27" applyBorder="1" applyAlignment="1">
      <alignment vertical="center" wrapText="1"/>
    </xf>
    <xf numFmtId="0" fontId="2" fillId="0" borderId="15" xfId="27" applyBorder="1" applyAlignment="1">
      <alignment vertical="center" wrapText="1"/>
    </xf>
    <xf numFmtId="0" fontId="2" fillId="0" borderId="10" xfId="27" applyBorder="1" applyAlignment="1">
      <alignment vertical="center" wrapText="1"/>
    </xf>
    <xf numFmtId="0" fontId="15" fillId="2" borderId="0" xfId="0" applyFont="1" applyFill="1" applyBorder="1" applyAlignment="1">
      <alignment vertical="center"/>
    </xf>
    <xf numFmtId="0" fontId="17" fillId="0" borderId="0" xfId="0" applyFont="1" applyAlignment="1">
      <alignment vertical="center"/>
    </xf>
    <xf numFmtId="37" fontId="11" fillId="2" borderId="0" xfId="0" applyNumberFormat="1" applyFont="1" applyFill="1" applyBorder="1" applyAlignment="1" applyProtection="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6" xfId="0" applyFont="1" applyFill="1" applyBorder="1" applyAlignment="1">
      <alignment horizontal="center" vertical="center"/>
    </xf>
    <xf numFmtId="0" fontId="1" fillId="5" borderId="11" xfId="0" applyFont="1" applyFill="1" applyBorder="1" applyAlignment="1">
      <alignment horizontal="center" vertical="center"/>
    </xf>
    <xf numFmtId="0" fontId="5" fillId="0" borderId="0" xfId="478" applyFont="1" applyAlignment="1">
      <alignment horizontal="left" vertical="center" wrapText="1"/>
    </xf>
    <xf numFmtId="0" fontId="29" fillId="0" borderId="0" xfId="478" applyAlignment="1">
      <alignment horizontal="left" vertical="center" wrapText="1"/>
    </xf>
    <xf numFmtId="0" fontId="11" fillId="0" borderId="0" xfId="478" applyFont="1" applyAlignment="1">
      <alignment horizontal="left" vertical="center"/>
    </xf>
    <xf numFmtId="37" fontId="5" fillId="2" borderId="0" xfId="0" applyNumberFormat="1" applyFont="1" applyFill="1" applyAlignment="1" applyProtection="1">
      <alignment horizontal="center" vertical="center"/>
    </xf>
    <xf numFmtId="1" fontId="5" fillId="2"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4" fillId="18" borderId="0" xfId="0" applyFont="1" applyFill="1" applyAlignment="1" applyProtection="1">
      <alignment horizontal="center" vertical="center"/>
    </xf>
    <xf numFmtId="0" fontId="5" fillId="2" borderId="0" xfId="28" applyFont="1" applyFill="1" applyAlignment="1">
      <alignment horizontal="center" vertical="center"/>
    </xf>
    <xf numFmtId="0" fontId="5" fillId="2" borderId="0" xfId="27" applyFont="1" applyFill="1" applyAlignment="1" applyProtection="1">
      <alignment horizontal="center" vertical="center"/>
    </xf>
    <xf numFmtId="0" fontId="5" fillId="18" borderId="0" xfId="27" applyFont="1" applyFill="1" applyAlignment="1" applyProtection="1">
      <alignment horizontal="center" vertical="center"/>
    </xf>
    <xf numFmtId="0" fontId="4" fillId="18" borderId="0" xfId="0" applyFont="1" applyFill="1" applyBorder="1" applyAlignment="1" applyProtection="1">
      <alignment horizontal="center" vertical="center"/>
    </xf>
    <xf numFmtId="0" fontId="0" fillId="18" borderId="0" xfId="0" applyFill="1" applyBorder="1" applyAlignment="1">
      <alignment horizontal="center" vertical="center"/>
    </xf>
    <xf numFmtId="0" fontId="5" fillId="0" borderId="0" xfId="27" applyFont="1" applyFill="1" applyAlignment="1" applyProtection="1">
      <alignment horizontal="center" vertical="center"/>
    </xf>
    <xf numFmtId="0" fontId="5" fillId="0" borderId="0" xfId="28" applyFont="1" applyFill="1" applyAlignment="1">
      <alignment horizontal="center" vertical="center"/>
    </xf>
    <xf numFmtId="37" fontId="5" fillId="2"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37" fontId="4" fillId="18" borderId="0" xfId="0" applyNumberFormat="1" applyFont="1" applyFill="1" applyAlignment="1" applyProtection="1">
      <alignment horizontal="center" vertical="center"/>
    </xf>
    <xf numFmtId="37" fontId="4" fillId="0" borderId="0" xfId="0" applyNumberFormat="1"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0" fillId="0" borderId="10" xfId="0" applyBorder="1" applyAlignment="1" applyProtection="1">
      <alignment vertical="center"/>
    </xf>
    <xf numFmtId="1" fontId="5" fillId="2"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1" fillId="12" borderId="0" xfId="499" applyFont="1" applyFill="1" applyAlignment="1">
      <alignment horizontal="center"/>
    </xf>
    <xf numFmtId="0" fontId="2" fillId="12" borderId="0" xfId="37" applyFill="1" applyAlignment="1">
      <alignment horizontal="center"/>
    </xf>
    <xf numFmtId="0" fontId="4" fillId="12" borderId="0" xfId="37" applyFont="1" applyFill="1" applyAlignment="1">
      <alignment horizontal="center" vertical="center"/>
    </xf>
    <xf numFmtId="0" fontId="11" fillId="12" borderId="0" xfId="37" applyFont="1" applyFill="1" applyAlignment="1">
      <alignment horizontal="center" vertical="center"/>
    </xf>
    <xf numFmtId="0" fontId="5" fillId="12" borderId="0" xfId="37" applyFont="1" applyFill="1" applyAlignment="1">
      <alignment vertical="center" wrapText="1"/>
    </xf>
    <xf numFmtId="0" fontId="38" fillId="12" borderId="16"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2" borderId="0" xfId="14" applyNumberFormat="1" applyFont="1" applyFill="1" applyBorder="1" applyAlignment="1" applyProtection="1">
      <alignment horizontal="right" vertical="center"/>
    </xf>
    <xf numFmtId="0" fontId="5" fillId="0" borderId="0" xfId="14" applyFont="1" applyAlignment="1" applyProtection="1">
      <alignment horizontal="right" vertical="center"/>
    </xf>
    <xf numFmtId="0" fontId="38" fillId="0" borderId="0" xfId="0" applyFont="1" applyFill="1" applyBorder="1" applyAlignment="1" applyProtection="1">
      <alignment horizontal="center" vertical="center"/>
    </xf>
    <xf numFmtId="0" fontId="0" fillId="0" borderId="0" xfId="0" applyFill="1" applyBorder="1" applyAlignment="1" applyProtection="1">
      <alignment vertical="center"/>
    </xf>
    <xf numFmtId="3" fontId="5" fillId="2" borderId="12" xfId="61" applyNumberFormat="1" applyFont="1" applyFill="1" applyBorder="1" applyAlignment="1" applyProtection="1">
      <alignment horizontal="right" vertical="center"/>
    </xf>
    <xf numFmtId="0" fontId="2" fillId="0" borderId="14" xfId="61" applyBorder="1" applyAlignment="1">
      <alignment horizontal="right" vertical="center"/>
    </xf>
    <xf numFmtId="0" fontId="5" fillId="2" borderId="0" xfId="61" applyFont="1" applyFill="1" applyAlignment="1" applyProtection="1">
      <alignment horizontal="right" vertical="center"/>
    </xf>
    <xf numFmtId="0" fontId="5" fillId="0" borderId="7" xfId="61" applyFont="1" applyBorder="1" applyAlignment="1">
      <alignment horizontal="right" vertical="center"/>
    </xf>
    <xf numFmtId="172" fontId="38" fillId="12" borderId="16" xfId="0" applyNumberFormat="1" applyFont="1" applyFill="1" applyBorder="1" applyAlignment="1" applyProtection="1">
      <alignment horizontal="center"/>
    </xf>
    <xf numFmtId="0" fontId="13" fillId="0" borderId="12" xfId="0" applyFont="1" applyBorder="1" applyAlignment="1"/>
    <xf numFmtId="0" fontId="13"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45" fillId="0" borderId="12" xfId="0" applyFont="1" applyBorder="1" applyAlignment="1">
      <alignment horizontal="center" vertical="center"/>
    </xf>
    <xf numFmtId="0" fontId="5" fillId="2" borderId="12" xfId="14" applyNumberFormat="1" applyFont="1" applyFill="1" applyBorder="1" applyAlignment="1" applyProtection="1">
      <alignment horizontal="right" vertical="center"/>
    </xf>
    <xf numFmtId="0" fontId="5" fillId="0" borderId="14" xfId="14" applyFont="1" applyBorder="1" applyAlignment="1" applyProtection="1">
      <alignment horizontal="right" vertical="center"/>
    </xf>
    <xf numFmtId="0" fontId="5" fillId="0" borderId="7" xfId="14" applyFont="1" applyBorder="1" applyAlignment="1" applyProtection="1">
      <alignment horizontal="right" vertical="center"/>
    </xf>
    <xf numFmtId="0" fontId="5" fillId="2" borderId="4" xfId="14" applyNumberFormat="1" applyFont="1" applyFill="1" applyBorder="1" applyAlignment="1" applyProtection="1">
      <alignment horizontal="right" vertical="center"/>
    </xf>
    <xf numFmtId="0" fontId="5" fillId="0" borderId="10" xfId="14" applyFont="1" applyBorder="1" applyAlignment="1" applyProtection="1">
      <alignment horizontal="right" vertical="center"/>
    </xf>
    <xf numFmtId="0" fontId="5" fillId="0" borderId="4" xfId="14" applyFont="1" applyBorder="1" applyAlignment="1" applyProtection="1">
      <alignment horizontal="right" vertical="center"/>
    </xf>
    <xf numFmtId="0" fontId="5" fillId="2" borderId="0" xfId="0" applyNumberFormat="1" applyFont="1" applyFill="1" applyBorder="1" applyAlignment="1" applyProtection="1">
      <alignment horizontal="right" vertical="center"/>
    </xf>
    <xf numFmtId="0" fontId="0" fillId="0" borderId="0" xfId="0" applyAlignment="1">
      <alignment vertical="center"/>
    </xf>
    <xf numFmtId="0" fontId="4" fillId="2" borderId="6" xfId="0" applyFont="1" applyFill="1" applyBorder="1" applyAlignment="1">
      <alignment vertical="center"/>
    </xf>
    <xf numFmtId="0" fontId="4" fillId="2" borderId="11" xfId="0" applyFont="1" applyFill="1" applyBorder="1" applyAlignment="1">
      <alignment vertical="center"/>
    </xf>
    <xf numFmtId="37" fontId="5" fillId="2" borderId="0" xfId="0" applyNumberFormat="1" applyFont="1" applyFill="1" applyAlignment="1" applyProtection="1">
      <alignment horizontal="center"/>
    </xf>
    <xf numFmtId="37" fontId="4" fillId="2" borderId="0" xfId="0" applyNumberFormat="1" applyFont="1" applyFill="1" applyAlignment="1" applyProtection="1">
      <alignment horizontal="center"/>
    </xf>
    <xf numFmtId="37" fontId="11" fillId="2" borderId="0" xfId="0" applyNumberFormat="1" applyFont="1" applyFill="1" applyAlignment="1" applyProtection="1">
      <alignment horizontal="center"/>
    </xf>
    <xf numFmtId="49" fontId="5" fillId="2" borderId="0" xfId="0" applyNumberFormat="1" applyFont="1" applyFill="1" applyAlignment="1" applyProtection="1">
      <alignment horizontal="center"/>
    </xf>
    <xf numFmtId="0" fontId="11" fillId="12" borderId="16"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1" fillId="12" borderId="12" xfId="0" applyFont="1" applyFill="1" applyBorder="1" applyAlignment="1" applyProtection="1">
      <alignment horizontal="center"/>
    </xf>
    <xf numFmtId="0" fontId="11" fillId="12"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2"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 fillId="2" borderId="0" xfId="0" applyFont="1" applyFill="1" applyAlignment="1" applyProtection="1">
      <alignment horizontal="center"/>
    </xf>
    <xf numFmtId="0" fontId="0" fillId="0" borderId="0" xfId="0" applyAlignment="1" applyProtection="1"/>
    <xf numFmtId="0" fontId="0" fillId="0" borderId="0" xfId="0" applyAlignment="1"/>
    <xf numFmtId="0" fontId="5" fillId="2" borderId="0" xfId="0" applyFont="1" applyFill="1" applyAlignment="1">
      <alignment horizontal="right"/>
    </xf>
    <xf numFmtId="0" fontId="0" fillId="0" borderId="0" xfId="0" applyAlignment="1">
      <alignment horizontal="right"/>
    </xf>
    <xf numFmtId="0" fontId="5" fillId="2" borderId="0" xfId="0" applyFont="1" applyFill="1" applyAlignment="1" applyProtection="1">
      <alignment horizontal="right"/>
    </xf>
    <xf numFmtId="178" fontId="42" fillId="13" borderId="4" xfId="0" applyNumberFormat="1" applyFont="1" applyFill="1" applyBorder="1" applyAlignment="1" applyProtection="1">
      <alignment horizontal="center"/>
      <protection locked="0"/>
    </xf>
    <xf numFmtId="5" fontId="42" fillId="12" borderId="4" xfId="0" applyNumberFormat="1" applyFont="1" applyFill="1" applyBorder="1" applyAlignment="1">
      <alignment horizontal="center"/>
    </xf>
    <xf numFmtId="0" fontId="50" fillId="12" borderId="0" xfId="0" applyFont="1" applyFill="1" applyAlignment="1">
      <alignment horizontal="center" wrapText="1"/>
    </xf>
    <xf numFmtId="0" fontId="42" fillId="12" borderId="0" xfId="0" applyFont="1" applyFill="1" applyAlignment="1">
      <alignment wrapText="1"/>
    </xf>
    <xf numFmtId="0" fontId="50" fillId="12" borderId="19" xfId="0" applyFont="1" applyFill="1" applyBorder="1" applyAlignment="1">
      <alignment horizontal="center" vertical="center"/>
    </xf>
    <xf numFmtId="0" fontId="42" fillId="0" borderId="0" xfId="0" applyFont="1" applyAlignment="1">
      <alignment wrapText="1"/>
    </xf>
    <xf numFmtId="0" fontId="50" fillId="12" borderId="0" xfId="0" applyFont="1" applyFill="1" applyAlignment="1">
      <alignment horizontal="center"/>
    </xf>
    <xf numFmtId="0" fontId="42" fillId="0" borderId="0" xfId="0" applyFont="1" applyAlignment="1">
      <alignment horizontal="center" wrapText="1"/>
    </xf>
    <xf numFmtId="0" fontId="50" fillId="12" borderId="0" xfId="0" applyFont="1" applyFill="1" applyAlignment="1">
      <alignment horizontal="center" vertical="center"/>
    </xf>
    <xf numFmtId="0" fontId="50" fillId="0" borderId="0" xfId="0" applyFont="1" applyAlignment="1">
      <alignment horizontal="center" vertical="center"/>
    </xf>
    <xf numFmtId="178" fontId="42" fillId="12" borderId="0" xfId="0" applyNumberFormat="1" applyFont="1" applyFill="1" applyAlignment="1"/>
    <xf numFmtId="178" fontId="42" fillId="12" borderId="0" xfId="0" applyNumberFormat="1" applyFont="1" applyFill="1" applyAlignment="1">
      <alignment horizontal="center"/>
    </xf>
    <xf numFmtId="178" fontId="42" fillId="13" borderId="21" xfId="0" applyNumberFormat="1" applyFont="1" applyFill="1" applyBorder="1" applyAlignment="1" applyProtection="1">
      <alignment horizontal="center"/>
      <protection locked="0"/>
    </xf>
    <xf numFmtId="0" fontId="42" fillId="12" borderId="0" xfId="0" applyFont="1" applyFill="1" applyBorder="1" applyAlignment="1"/>
    <xf numFmtId="0" fontId="42" fillId="0" borderId="0" xfId="0" applyFont="1" applyBorder="1" applyAlignment="1"/>
    <xf numFmtId="0" fontId="42" fillId="12" borderId="24" xfId="0" applyFont="1" applyFill="1" applyBorder="1" applyAlignment="1"/>
    <xf numFmtId="0" fontId="42" fillId="12" borderId="25" xfId="0" applyFont="1" applyFill="1" applyBorder="1" applyAlignment="1"/>
    <xf numFmtId="0" fontId="42" fillId="0" borderId="19" xfId="0" applyFont="1" applyBorder="1" applyAlignment="1">
      <alignment horizontal="center" vertical="center"/>
    </xf>
    <xf numFmtId="0" fontId="42" fillId="12" borderId="26" xfId="0" applyFont="1" applyFill="1" applyBorder="1" applyAlignment="1">
      <alignment vertical="top" wrapText="1"/>
    </xf>
    <xf numFmtId="0" fontId="42" fillId="0" borderId="0" xfId="0" applyFont="1" applyAlignment="1">
      <alignment vertical="top" wrapText="1"/>
    </xf>
    <xf numFmtId="0" fontId="42" fillId="0" borderId="22" xfId="0" applyFont="1" applyBorder="1" applyAlignment="1">
      <alignment vertical="top" wrapText="1"/>
    </xf>
    <xf numFmtId="0" fontId="50" fillId="12" borderId="0" xfId="0" applyFont="1" applyFill="1" applyBorder="1" applyAlignment="1">
      <alignment horizontal="center" wrapText="1"/>
    </xf>
    <xf numFmtId="0" fontId="42" fillId="12" borderId="12" xfId="0" applyFont="1" applyFill="1" applyBorder="1" applyAlignment="1">
      <alignment horizontal="center"/>
    </xf>
    <xf numFmtId="0" fontId="50" fillId="0" borderId="0" xfId="0" applyFont="1" applyAlignment="1">
      <alignment horizontal="center" wrapText="1"/>
    </xf>
    <xf numFmtId="166" fontId="42" fillId="13" borderId="4" xfId="0" applyNumberFormat="1" applyFont="1" applyFill="1" applyBorder="1" applyAlignment="1" applyProtection="1">
      <alignment horizontal="center"/>
      <protection locked="0"/>
    </xf>
    <xf numFmtId="179" fontId="42" fillId="12" borderId="0" xfId="0" applyNumberFormat="1" applyFont="1" applyFill="1" applyBorder="1" applyAlignment="1">
      <alignment horizontal="center"/>
    </xf>
    <xf numFmtId="179" fontId="42" fillId="0" borderId="22" xfId="0" applyNumberFormat="1" applyFont="1" applyBorder="1" applyAlignment="1">
      <alignment horizontal="center"/>
    </xf>
    <xf numFmtId="0" fontId="42" fillId="12" borderId="0" xfId="0" applyFont="1" applyFill="1" applyBorder="1" applyAlignment="1">
      <alignment horizontal="center"/>
    </xf>
    <xf numFmtId="178" fontId="42" fillId="12" borderId="0" xfId="0" applyNumberFormat="1" applyFont="1" applyFill="1" applyBorder="1" applyAlignment="1">
      <alignment horizontal="center"/>
    </xf>
    <xf numFmtId="0" fontId="42" fillId="12" borderId="0" xfId="0" applyFont="1" applyFill="1" applyBorder="1" applyAlignment="1">
      <alignment wrapText="1"/>
    </xf>
    <xf numFmtId="0" fontId="42" fillId="0" borderId="22" xfId="0" applyFont="1" applyBorder="1" applyAlignment="1">
      <alignment horizontal="center"/>
    </xf>
  </cellXfs>
  <cellStyles count="515">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2" xfId="11" xr:uid="{00000000-0005-0000-0000-00000A000000}"/>
    <cellStyle name="Comma 7 2" xfId="12" xr:uid="{00000000-0005-0000-0000-00000B000000}"/>
    <cellStyle name="Comma 7 3" xfId="13" xr:uid="{00000000-0005-0000-0000-00000C000000}"/>
    <cellStyle name="Hyperlink" xfId="14" builtinId="8"/>
    <cellStyle name="Hyperlink 16" xfId="15" xr:uid="{00000000-0005-0000-0000-00000E000000}"/>
    <cellStyle name="Hyperlink 2 2" xfId="16" xr:uid="{00000000-0005-0000-0000-00000F000000}"/>
    <cellStyle name="Hyperlink 2 3" xfId="17" xr:uid="{00000000-0005-0000-0000-000010000000}"/>
    <cellStyle name="Hyperlink 3 2" xfId="18" xr:uid="{00000000-0005-0000-0000-000011000000}"/>
    <cellStyle name="Hyperlink 3 3" xfId="19" xr:uid="{00000000-0005-0000-0000-000012000000}"/>
    <cellStyle name="Hyperlink 3 4" xfId="20" xr:uid="{00000000-0005-0000-0000-000013000000}"/>
    <cellStyle name="Hyperlink 4 2" xfId="21" xr:uid="{00000000-0005-0000-0000-000014000000}"/>
    <cellStyle name="Hyperlink 7 2" xfId="22" xr:uid="{00000000-0005-0000-0000-000015000000}"/>
    <cellStyle name="Hyperlink 7 3" xfId="23" xr:uid="{00000000-0005-0000-0000-000016000000}"/>
    <cellStyle name="Hyperlink 8 2" xfId="24" xr:uid="{00000000-0005-0000-0000-000017000000}"/>
    <cellStyle name="Normal" xfId="0" builtinId="0"/>
    <cellStyle name="Normal 10" xfId="25" xr:uid="{00000000-0005-0000-0000-000019000000}"/>
    <cellStyle name="Normal 10 2" xfId="26" xr:uid="{00000000-0005-0000-0000-00001A000000}"/>
    <cellStyle name="Normal 10 2 2" xfId="27" xr:uid="{00000000-0005-0000-0000-00001B000000}"/>
    <cellStyle name="Normal 10 2 2 2" xfId="28" xr:uid="{00000000-0005-0000-0000-00001C000000}"/>
    <cellStyle name="Normal 10 2 2 3" xfId="29" xr:uid="{00000000-0005-0000-0000-00001D000000}"/>
    <cellStyle name="Normal 10 2 3" xfId="30" xr:uid="{00000000-0005-0000-0000-00001E000000}"/>
    <cellStyle name="Normal 10 3" xfId="31" xr:uid="{00000000-0005-0000-0000-00001F000000}"/>
    <cellStyle name="Normal 10 3 2" xfId="32" xr:uid="{00000000-0005-0000-0000-000020000000}"/>
    <cellStyle name="Normal 10 3 3" xfId="33" xr:uid="{00000000-0005-0000-0000-000021000000}"/>
    <cellStyle name="Normal 10 4" xfId="34" xr:uid="{00000000-0005-0000-0000-000022000000}"/>
    <cellStyle name="Normal 10 4 2" xfId="35" xr:uid="{00000000-0005-0000-0000-000023000000}"/>
    <cellStyle name="Normal 10 4 3" xfId="36" xr:uid="{00000000-0005-0000-0000-000024000000}"/>
    <cellStyle name="Normal 10 5" xfId="37" xr:uid="{00000000-0005-0000-0000-000025000000}"/>
    <cellStyle name="Normal 10 5 2" xfId="38" xr:uid="{00000000-0005-0000-0000-000026000000}"/>
    <cellStyle name="Normal 10 5 3" xfId="39" xr:uid="{00000000-0005-0000-0000-000027000000}"/>
    <cellStyle name="Normal 10 6" xfId="40" xr:uid="{00000000-0005-0000-0000-000028000000}"/>
    <cellStyle name="Normal 10 6 2" xfId="41" xr:uid="{00000000-0005-0000-0000-000029000000}"/>
    <cellStyle name="Normal 10 6 3" xfId="42" xr:uid="{00000000-0005-0000-0000-00002A000000}"/>
    <cellStyle name="Normal 10 7" xfId="43" xr:uid="{00000000-0005-0000-0000-00002B000000}"/>
    <cellStyle name="Normal 10 7 2" xfId="44" xr:uid="{00000000-0005-0000-0000-00002C000000}"/>
    <cellStyle name="Normal 10 7 3" xfId="45" xr:uid="{00000000-0005-0000-0000-00002D000000}"/>
    <cellStyle name="Normal 11" xfId="46" xr:uid="{00000000-0005-0000-0000-00002E000000}"/>
    <cellStyle name="Normal 11 2" xfId="47" xr:uid="{00000000-0005-0000-0000-00002F000000}"/>
    <cellStyle name="Normal 11 2 2" xfId="48" xr:uid="{00000000-0005-0000-0000-000030000000}"/>
    <cellStyle name="Normal 11 2 3" xfId="49" xr:uid="{00000000-0005-0000-0000-000031000000}"/>
    <cellStyle name="Normal 11 3" xfId="50" xr:uid="{00000000-0005-0000-0000-000032000000}"/>
    <cellStyle name="Normal 11 4" xfId="51" xr:uid="{00000000-0005-0000-0000-000033000000}"/>
    <cellStyle name="Normal 11 5" xfId="52" xr:uid="{00000000-0005-0000-0000-000034000000}"/>
    <cellStyle name="Normal 11 5 2" xfId="53" xr:uid="{00000000-0005-0000-0000-000035000000}"/>
    <cellStyle name="Normal 11 5 3" xfId="54" xr:uid="{00000000-0005-0000-0000-000036000000}"/>
    <cellStyle name="Normal 11 6" xfId="55" xr:uid="{00000000-0005-0000-0000-000037000000}"/>
    <cellStyle name="Normal 12" xfId="56" xr:uid="{00000000-0005-0000-0000-000038000000}"/>
    <cellStyle name="Normal 12 10" xfId="57" xr:uid="{00000000-0005-0000-0000-000039000000}"/>
    <cellStyle name="Normal 12 11" xfId="58" xr:uid="{00000000-0005-0000-0000-00003A000000}"/>
    <cellStyle name="Normal 12 12" xfId="59" xr:uid="{00000000-0005-0000-0000-00003B000000}"/>
    <cellStyle name="Normal 12 13" xfId="60" xr:uid="{00000000-0005-0000-0000-00003C000000}"/>
    <cellStyle name="Normal 12 2" xfId="61" xr:uid="{00000000-0005-0000-0000-00003D000000}"/>
    <cellStyle name="Normal 12 2 2" xfId="62" xr:uid="{00000000-0005-0000-0000-00003E000000}"/>
    <cellStyle name="Normal 12 3" xfId="63" xr:uid="{00000000-0005-0000-0000-00003F000000}"/>
    <cellStyle name="Normal 12 4" xfId="64" xr:uid="{00000000-0005-0000-0000-000040000000}"/>
    <cellStyle name="Normal 12 5" xfId="65" xr:uid="{00000000-0005-0000-0000-000041000000}"/>
    <cellStyle name="Normal 12 6" xfId="66" xr:uid="{00000000-0005-0000-0000-000042000000}"/>
    <cellStyle name="Normal 12 7" xfId="67" xr:uid="{00000000-0005-0000-0000-000043000000}"/>
    <cellStyle name="Normal 12 8" xfId="68" xr:uid="{00000000-0005-0000-0000-000044000000}"/>
    <cellStyle name="Normal 12 9" xfId="69" xr:uid="{00000000-0005-0000-0000-000045000000}"/>
    <cellStyle name="Normal 13" xfId="70" xr:uid="{00000000-0005-0000-0000-000046000000}"/>
    <cellStyle name="Normal 13 10" xfId="71" xr:uid="{00000000-0005-0000-0000-000047000000}"/>
    <cellStyle name="Normal 13 11" xfId="72" xr:uid="{00000000-0005-0000-0000-000048000000}"/>
    <cellStyle name="Normal 13 12" xfId="73" xr:uid="{00000000-0005-0000-0000-000049000000}"/>
    <cellStyle name="Normal 13 13" xfId="74" xr:uid="{00000000-0005-0000-0000-00004A000000}"/>
    <cellStyle name="Normal 13 2" xfId="75" xr:uid="{00000000-0005-0000-0000-00004B000000}"/>
    <cellStyle name="Normal 13 2 2" xfId="76" xr:uid="{00000000-0005-0000-0000-00004C000000}"/>
    <cellStyle name="Normal 13 3" xfId="77" xr:uid="{00000000-0005-0000-0000-00004D000000}"/>
    <cellStyle name="Normal 13 4" xfId="78" xr:uid="{00000000-0005-0000-0000-00004E000000}"/>
    <cellStyle name="Normal 13 5" xfId="79" xr:uid="{00000000-0005-0000-0000-00004F000000}"/>
    <cellStyle name="Normal 13 6" xfId="80" xr:uid="{00000000-0005-0000-0000-000050000000}"/>
    <cellStyle name="Normal 13 7" xfId="81" xr:uid="{00000000-0005-0000-0000-000051000000}"/>
    <cellStyle name="Normal 13 8" xfId="82" xr:uid="{00000000-0005-0000-0000-000052000000}"/>
    <cellStyle name="Normal 13 9" xfId="83" xr:uid="{00000000-0005-0000-0000-000053000000}"/>
    <cellStyle name="Normal 14" xfId="84" xr:uid="{00000000-0005-0000-0000-000054000000}"/>
    <cellStyle name="Normal 14 2" xfId="85" xr:uid="{00000000-0005-0000-0000-000055000000}"/>
    <cellStyle name="Normal 14 3" xfId="86" xr:uid="{00000000-0005-0000-0000-000056000000}"/>
    <cellStyle name="Normal 14 4" xfId="87" xr:uid="{00000000-0005-0000-0000-000057000000}"/>
    <cellStyle name="Normal 14 5" xfId="88" xr:uid="{00000000-0005-0000-0000-000058000000}"/>
    <cellStyle name="Normal 14 6" xfId="89" xr:uid="{00000000-0005-0000-0000-000059000000}"/>
    <cellStyle name="Normal 14 7" xfId="90" xr:uid="{00000000-0005-0000-0000-00005A000000}"/>
    <cellStyle name="Normal 14 7 2" xfId="91" xr:uid="{00000000-0005-0000-0000-00005B000000}"/>
    <cellStyle name="Normal 14 7 3" xfId="92" xr:uid="{00000000-0005-0000-0000-00005C000000}"/>
    <cellStyle name="Normal 15" xfId="93" xr:uid="{00000000-0005-0000-0000-00005D000000}"/>
    <cellStyle name="Normal 15 2" xfId="94" xr:uid="{00000000-0005-0000-0000-00005E000000}"/>
    <cellStyle name="Normal 15 3" xfId="95" xr:uid="{00000000-0005-0000-0000-00005F000000}"/>
    <cellStyle name="Normal 15 4" xfId="96" xr:uid="{00000000-0005-0000-0000-000060000000}"/>
    <cellStyle name="Normal 15 5" xfId="97" xr:uid="{00000000-0005-0000-0000-000061000000}"/>
    <cellStyle name="Normal 16" xfId="98" xr:uid="{00000000-0005-0000-0000-000062000000}"/>
    <cellStyle name="Normal 16 2" xfId="99" xr:uid="{00000000-0005-0000-0000-000063000000}"/>
    <cellStyle name="Normal 16 3" xfId="100" xr:uid="{00000000-0005-0000-0000-000064000000}"/>
    <cellStyle name="Normal 16 4" xfId="101" xr:uid="{00000000-0005-0000-0000-000065000000}"/>
    <cellStyle name="Normal 16 5" xfId="102" xr:uid="{00000000-0005-0000-0000-000066000000}"/>
    <cellStyle name="Normal 17" xfId="103" xr:uid="{00000000-0005-0000-0000-000067000000}"/>
    <cellStyle name="Normal 17 2" xfId="104" xr:uid="{00000000-0005-0000-0000-000068000000}"/>
    <cellStyle name="Normal 17 3" xfId="105" xr:uid="{00000000-0005-0000-0000-000069000000}"/>
    <cellStyle name="Normal 17 4" xfId="106" xr:uid="{00000000-0005-0000-0000-00006A000000}"/>
    <cellStyle name="Normal 17 5" xfId="107" xr:uid="{00000000-0005-0000-0000-00006B000000}"/>
    <cellStyle name="Normal 18 2" xfId="108" xr:uid="{00000000-0005-0000-0000-00006C000000}"/>
    <cellStyle name="Normal 18 2 2" xfId="109" xr:uid="{00000000-0005-0000-0000-00006D000000}"/>
    <cellStyle name="Normal 18 2 3" xfId="110" xr:uid="{00000000-0005-0000-0000-00006E000000}"/>
    <cellStyle name="Normal 18 3" xfId="111" xr:uid="{00000000-0005-0000-0000-00006F000000}"/>
    <cellStyle name="Normal 18 4" xfId="112" xr:uid="{00000000-0005-0000-0000-000070000000}"/>
    <cellStyle name="Normal 18 5" xfId="113" xr:uid="{00000000-0005-0000-0000-000071000000}"/>
    <cellStyle name="Normal 18 6" xfId="114" xr:uid="{00000000-0005-0000-0000-000072000000}"/>
    <cellStyle name="Normal 18 7" xfId="115" xr:uid="{00000000-0005-0000-0000-000073000000}"/>
    <cellStyle name="Normal 18 8" xfId="116" xr:uid="{00000000-0005-0000-0000-000074000000}"/>
    <cellStyle name="Normal 18 9" xfId="117" xr:uid="{00000000-0005-0000-0000-000075000000}"/>
    <cellStyle name="Normal 19" xfId="118" xr:uid="{00000000-0005-0000-0000-000076000000}"/>
    <cellStyle name="Normal 19 2" xfId="119" xr:uid="{00000000-0005-0000-0000-000077000000}"/>
    <cellStyle name="Normal 19 2 2" xfId="120" xr:uid="{00000000-0005-0000-0000-000078000000}"/>
    <cellStyle name="Normal 19 2 3" xfId="121" xr:uid="{00000000-0005-0000-0000-000079000000}"/>
    <cellStyle name="Normal 19 3" xfId="122" xr:uid="{00000000-0005-0000-0000-00007A000000}"/>
    <cellStyle name="Normal 19 4" xfId="123" xr:uid="{00000000-0005-0000-0000-00007B000000}"/>
    <cellStyle name="Normal 19 5" xfId="124" xr:uid="{00000000-0005-0000-0000-00007C000000}"/>
    <cellStyle name="Normal 19 6" xfId="125" xr:uid="{00000000-0005-0000-0000-00007D000000}"/>
    <cellStyle name="Normal 19 7" xfId="126" xr:uid="{00000000-0005-0000-0000-00007E000000}"/>
    <cellStyle name="Normal 19 8" xfId="127" xr:uid="{00000000-0005-0000-0000-00007F000000}"/>
    <cellStyle name="Normal 2" xfId="128" xr:uid="{00000000-0005-0000-0000-000080000000}"/>
    <cellStyle name="Normal 2 10" xfId="129" xr:uid="{00000000-0005-0000-0000-000081000000}"/>
    <cellStyle name="Normal 2 10 10" xfId="130" xr:uid="{00000000-0005-0000-0000-000082000000}"/>
    <cellStyle name="Normal 2 10 11" xfId="131" xr:uid="{00000000-0005-0000-0000-000083000000}"/>
    <cellStyle name="Normal 2 10 11 2" xfId="132" xr:uid="{00000000-0005-0000-0000-000084000000}"/>
    <cellStyle name="Normal 2 10 11 2 2" xfId="133" xr:uid="{00000000-0005-0000-0000-000085000000}"/>
    <cellStyle name="Normal 2 10 11 2 2 2" xfId="134" xr:uid="{00000000-0005-0000-0000-000086000000}"/>
    <cellStyle name="Normal 2 10 11 2 2 3" xfId="135" xr:uid="{00000000-0005-0000-0000-000087000000}"/>
    <cellStyle name="Normal 2 10 11 3" xfId="136" xr:uid="{00000000-0005-0000-0000-000088000000}"/>
    <cellStyle name="Normal 2 10 11 4" xfId="137" xr:uid="{00000000-0005-0000-0000-000089000000}"/>
    <cellStyle name="Normal 2 10 11 5" xfId="138" xr:uid="{00000000-0005-0000-0000-00008A000000}"/>
    <cellStyle name="Normal 2 10 12" xfId="139" xr:uid="{00000000-0005-0000-0000-00008B000000}"/>
    <cellStyle name="Normal 2 10 2" xfId="140" xr:uid="{00000000-0005-0000-0000-00008C000000}"/>
    <cellStyle name="Normal 2 10 2 2" xfId="141" xr:uid="{00000000-0005-0000-0000-00008D000000}"/>
    <cellStyle name="Normal 2 10 3" xfId="142" xr:uid="{00000000-0005-0000-0000-00008E000000}"/>
    <cellStyle name="Normal 2 10 3 2" xfId="143" xr:uid="{00000000-0005-0000-0000-00008F000000}"/>
    <cellStyle name="Normal 2 10 4" xfId="144" xr:uid="{00000000-0005-0000-0000-000090000000}"/>
    <cellStyle name="Normal 2 10 4 2" xfId="145" xr:uid="{00000000-0005-0000-0000-000091000000}"/>
    <cellStyle name="Normal 2 10 5" xfId="146" xr:uid="{00000000-0005-0000-0000-000092000000}"/>
    <cellStyle name="Normal 2 10 5 2" xfId="147" xr:uid="{00000000-0005-0000-0000-000093000000}"/>
    <cellStyle name="Normal 2 10 6" xfId="148" xr:uid="{00000000-0005-0000-0000-000094000000}"/>
    <cellStyle name="Normal 2 10 6 2" xfId="149" xr:uid="{00000000-0005-0000-0000-000095000000}"/>
    <cellStyle name="Normal 2 10 7" xfId="150" xr:uid="{00000000-0005-0000-0000-000096000000}"/>
    <cellStyle name="Normal 2 10 7 2" xfId="151" xr:uid="{00000000-0005-0000-0000-000097000000}"/>
    <cellStyle name="Normal 2 10 8" xfId="152" xr:uid="{00000000-0005-0000-0000-000098000000}"/>
    <cellStyle name="Normal 2 10 8 2" xfId="153" xr:uid="{00000000-0005-0000-0000-000099000000}"/>
    <cellStyle name="Normal 2 10 9" xfId="154" xr:uid="{00000000-0005-0000-0000-00009A000000}"/>
    <cellStyle name="Normal 2 11" xfId="155" xr:uid="{00000000-0005-0000-0000-00009B000000}"/>
    <cellStyle name="Normal 2 11 10" xfId="156" xr:uid="{00000000-0005-0000-0000-00009C000000}"/>
    <cellStyle name="Normal 2 11 11" xfId="157" xr:uid="{00000000-0005-0000-0000-00009D000000}"/>
    <cellStyle name="Normal 2 11 2" xfId="158" xr:uid="{00000000-0005-0000-0000-00009E000000}"/>
    <cellStyle name="Normal 2 11 2 2" xfId="159" xr:uid="{00000000-0005-0000-0000-00009F000000}"/>
    <cellStyle name="Normal 2 11 3" xfId="160" xr:uid="{00000000-0005-0000-0000-0000A0000000}"/>
    <cellStyle name="Normal 2 11 3 2" xfId="161" xr:uid="{00000000-0005-0000-0000-0000A1000000}"/>
    <cellStyle name="Normal 2 11 4" xfId="162" xr:uid="{00000000-0005-0000-0000-0000A2000000}"/>
    <cellStyle name="Normal 2 11 4 2" xfId="163" xr:uid="{00000000-0005-0000-0000-0000A3000000}"/>
    <cellStyle name="Normal 2 11 5" xfId="164" xr:uid="{00000000-0005-0000-0000-0000A4000000}"/>
    <cellStyle name="Normal 2 11 5 2" xfId="165" xr:uid="{00000000-0005-0000-0000-0000A5000000}"/>
    <cellStyle name="Normal 2 11 6" xfId="166" xr:uid="{00000000-0005-0000-0000-0000A6000000}"/>
    <cellStyle name="Normal 2 11 6 2" xfId="167" xr:uid="{00000000-0005-0000-0000-0000A7000000}"/>
    <cellStyle name="Normal 2 11 7" xfId="168" xr:uid="{00000000-0005-0000-0000-0000A8000000}"/>
    <cellStyle name="Normal 2 11 7 2" xfId="169" xr:uid="{00000000-0005-0000-0000-0000A9000000}"/>
    <cellStyle name="Normal 2 11 8" xfId="170" xr:uid="{00000000-0005-0000-0000-0000AA000000}"/>
    <cellStyle name="Normal 2 11 8 2" xfId="171" xr:uid="{00000000-0005-0000-0000-0000AB000000}"/>
    <cellStyle name="Normal 2 11 9" xfId="172" xr:uid="{00000000-0005-0000-0000-0000AC000000}"/>
    <cellStyle name="Normal 2 12" xfId="173" xr:uid="{00000000-0005-0000-0000-0000AD000000}"/>
    <cellStyle name="Normal 2 13" xfId="174" xr:uid="{00000000-0005-0000-0000-0000AE000000}"/>
    <cellStyle name="Normal 2 14" xfId="175" xr:uid="{00000000-0005-0000-0000-0000AF000000}"/>
    <cellStyle name="Normal 2 15" xfId="176" xr:uid="{00000000-0005-0000-0000-0000B0000000}"/>
    <cellStyle name="Normal 2 16" xfId="177" xr:uid="{00000000-0005-0000-0000-0000B1000000}"/>
    <cellStyle name="Normal 2 17" xfId="178" xr:uid="{00000000-0005-0000-0000-0000B2000000}"/>
    <cellStyle name="Normal 2 17 2" xfId="179" xr:uid="{00000000-0005-0000-0000-0000B3000000}"/>
    <cellStyle name="Normal 2 17 3" xfId="180" xr:uid="{00000000-0005-0000-0000-0000B4000000}"/>
    <cellStyle name="Normal 2 2" xfId="181" xr:uid="{00000000-0005-0000-0000-0000B5000000}"/>
    <cellStyle name="Normal 2 2 10" xfId="182" xr:uid="{00000000-0005-0000-0000-0000B6000000}"/>
    <cellStyle name="Normal 2 2 10 2" xfId="183" xr:uid="{00000000-0005-0000-0000-0000B7000000}"/>
    <cellStyle name="Normal 2 2 11" xfId="184" xr:uid="{00000000-0005-0000-0000-0000B8000000}"/>
    <cellStyle name="Normal 2 2 11 2" xfId="185" xr:uid="{00000000-0005-0000-0000-0000B9000000}"/>
    <cellStyle name="Normal 2 2 12" xfId="186" xr:uid="{00000000-0005-0000-0000-0000BA000000}"/>
    <cellStyle name="Normal 2 2 12 2" xfId="187" xr:uid="{00000000-0005-0000-0000-0000BB000000}"/>
    <cellStyle name="Normal 2 2 12 2 2" xfId="188" xr:uid="{00000000-0005-0000-0000-0000BC000000}"/>
    <cellStyle name="Normal 2 2 12 2 3" xfId="189" xr:uid="{00000000-0005-0000-0000-0000BD000000}"/>
    <cellStyle name="Normal 2 2 12 2 4" xfId="190" xr:uid="{00000000-0005-0000-0000-0000BE000000}"/>
    <cellStyle name="Normal 2 2 12 3" xfId="191" xr:uid="{00000000-0005-0000-0000-0000BF000000}"/>
    <cellStyle name="Normal 2 2 12 4" xfId="192" xr:uid="{00000000-0005-0000-0000-0000C0000000}"/>
    <cellStyle name="Normal 2 2 13" xfId="193" xr:uid="{00000000-0005-0000-0000-0000C1000000}"/>
    <cellStyle name="Normal 2 2 13 2" xfId="194" xr:uid="{00000000-0005-0000-0000-0000C2000000}"/>
    <cellStyle name="Normal 2 2 13 2 2" xfId="195" xr:uid="{00000000-0005-0000-0000-0000C3000000}"/>
    <cellStyle name="Normal 2 2 13 2 3" xfId="196" xr:uid="{00000000-0005-0000-0000-0000C4000000}"/>
    <cellStyle name="Normal 2 2 13 2 4" xfId="197" xr:uid="{00000000-0005-0000-0000-0000C5000000}"/>
    <cellStyle name="Normal 2 2 13 3" xfId="198" xr:uid="{00000000-0005-0000-0000-0000C6000000}"/>
    <cellStyle name="Normal 2 2 13 4" xfId="199" xr:uid="{00000000-0005-0000-0000-0000C7000000}"/>
    <cellStyle name="Normal 2 2 14" xfId="200" xr:uid="{00000000-0005-0000-0000-0000C8000000}"/>
    <cellStyle name="Normal 2 2 14 2" xfId="201" xr:uid="{00000000-0005-0000-0000-0000C9000000}"/>
    <cellStyle name="Normal 2 2 15" xfId="202" xr:uid="{00000000-0005-0000-0000-0000CA000000}"/>
    <cellStyle name="Normal 2 2 15 2" xfId="203" xr:uid="{00000000-0005-0000-0000-0000CB000000}"/>
    <cellStyle name="Normal 2 2 16" xfId="204" xr:uid="{00000000-0005-0000-0000-0000CC000000}"/>
    <cellStyle name="Normal 2 2 16 2" xfId="205" xr:uid="{00000000-0005-0000-0000-0000CD000000}"/>
    <cellStyle name="Normal 2 2 16 3" xfId="206" xr:uid="{00000000-0005-0000-0000-0000CE000000}"/>
    <cellStyle name="Normal 2 2 17" xfId="207" xr:uid="{00000000-0005-0000-0000-0000CF000000}"/>
    <cellStyle name="Normal 2 2 18" xfId="208" xr:uid="{00000000-0005-0000-0000-0000D0000000}"/>
    <cellStyle name="Normal 2 2 19" xfId="209" xr:uid="{00000000-0005-0000-0000-0000D1000000}"/>
    <cellStyle name="Normal 2 2 2" xfId="210" xr:uid="{00000000-0005-0000-0000-0000D2000000}"/>
    <cellStyle name="Normal 2 2 2 2" xfId="211" xr:uid="{00000000-0005-0000-0000-0000D3000000}"/>
    <cellStyle name="Normal 2 2 2 2 2" xfId="212" xr:uid="{00000000-0005-0000-0000-0000D4000000}"/>
    <cellStyle name="Normal 2 2 2 2 3" xfId="213" xr:uid="{00000000-0005-0000-0000-0000D5000000}"/>
    <cellStyle name="Normal 2 2 2 2 3 2" xfId="214" xr:uid="{00000000-0005-0000-0000-0000D6000000}"/>
    <cellStyle name="Normal 2 2 2 2 3 3" xfId="215" xr:uid="{00000000-0005-0000-0000-0000D7000000}"/>
    <cellStyle name="Normal 2 2 2 3" xfId="216" xr:uid="{00000000-0005-0000-0000-0000D8000000}"/>
    <cellStyle name="Normal 2 2 2 3 2" xfId="217" xr:uid="{00000000-0005-0000-0000-0000D9000000}"/>
    <cellStyle name="Normal 2 2 2 3 3" xfId="218" xr:uid="{00000000-0005-0000-0000-0000DA000000}"/>
    <cellStyle name="Normal 2 2 2 3 4" xfId="219" xr:uid="{00000000-0005-0000-0000-0000DB000000}"/>
    <cellStyle name="Normal 2 2 2 4" xfId="220" xr:uid="{00000000-0005-0000-0000-0000DC000000}"/>
    <cellStyle name="Normal 2 2 2 4 2" xfId="221" xr:uid="{00000000-0005-0000-0000-0000DD000000}"/>
    <cellStyle name="Normal 2 2 2 5" xfId="222" xr:uid="{00000000-0005-0000-0000-0000DE000000}"/>
    <cellStyle name="Normal 2 2 2 5 2" xfId="223" xr:uid="{00000000-0005-0000-0000-0000DF000000}"/>
    <cellStyle name="Normal 2 2 2 5 3" xfId="224" xr:uid="{00000000-0005-0000-0000-0000E0000000}"/>
    <cellStyle name="Normal 2 2 2 5 4" xfId="225" xr:uid="{00000000-0005-0000-0000-0000E1000000}"/>
    <cellStyle name="Normal 2 2 2 6" xfId="226" xr:uid="{00000000-0005-0000-0000-0000E2000000}"/>
    <cellStyle name="Normal 2 2 2 6 2" xfId="227" xr:uid="{00000000-0005-0000-0000-0000E3000000}"/>
    <cellStyle name="Normal 2 2 2 7" xfId="228" xr:uid="{00000000-0005-0000-0000-0000E4000000}"/>
    <cellStyle name="Normal 2 2 2 7 2" xfId="229" xr:uid="{00000000-0005-0000-0000-0000E5000000}"/>
    <cellStyle name="Normal 2 2 2 7 3" xfId="230" xr:uid="{00000000-0005-0000-0000-0000E6000000}"/>
    <cellStyle name="Normal 2 2 2 8" xfId="231" xr:uid="{00000000-0005-0000-0000-0000E7000000}"/>
    <cellStyle name="Normal 2 2 20" xfId="232" xr:uid="{00000000-0005-0000-0000-0000E8000000}"/>
    <cellStyle name="Normal 2 2 21" xfId="233" xr:uid="{00000000-0005-0000-0000-0000E9000000}"/>
    <cellStyle name="Normal 2 2 22" xfId="234" xr:uid="{00000000-0005-0000-0000-0000EA000000}"/>
    <cellStyle name="Normal 2 2 3" xfId="235" xr:uid="{00000000-0005-0000-0000-0000EB000000}"/>
    <cellStyle name="Normal 2 2 3 2" xfId="236" xr:uid="{00000000-0005-0000-0000-0000EC000000}"/>
    <cellStyle name="Normal 2 2 4" xfId="237" xr:uid="{00000000-0005-0000-0000-0000ED000000}"/>
    <cellStyle name="Normal 2 2 4 2" xfId="238" xr:uid="{00000000-0005-0000-0000-0000EE000000}"/>
    <cellStyle name="Normal 2 2 5" xfId="239" xr:uid="{00000000-0005-0000-0000-0000EF000000}"/>
    <cellStyle name="Normal 2 2 5 2" xfId="240" xr:uid="{00000000-0005-0000-0000-0000F0000000}"/>
    <cellStyle name="Normal 2 2 6" xfId="241" xr:uid="{00000000-0005-0000-0000-0000F1000000}"/>
    <cellStyle name="Normal 2 2 6 2" xfId="242" xr:uid="{00000000-0005-0000-0000-0000F2000000}"/>
    <cellStyle name="Normal 2 2 7" xfId="243" xr:uid="{00000000-0005-0000-0000-0000F3000000}"/>
    <cellStyle name="Normal 2 2 7 2" xfId="244" xr:uid="{00000000-0005-0000-0000-0000F4000000}"/>
    <cellStyle name="Normal 2 2 8" xfId="245" xr:uid="{00000000-0005-0000-0000-0000F5000000}"/>
    <cellStyle name="Normal 2 2 8 2" xfId="246" xr:uid="{00000000-0005-0000-0000-0000F6000000}"/>
    <cellStyle name="Normal 2 2 9" xfId="247" xr:uid="{00000000-0005-0000-0000-0000F7000000}"/>
    <cellStyle name="Normal 2 2 9 2" xfId="248" xr:uid="{00000000-0005-0000-0000-0000F8000000}"/>
    <cellStyle name="Normal 2 3" xfId="249" xr:uid="{00000000-0005-0000-0000-0000F9000000}"/>
    <cellStyle name="Normal 2 3 10" xfId="250" xr:uid="{00000000-0005-0000-0000-0000FA000000}"/>
    <cellStyle name="Normal 2 3 11" xfId="251" xr:uid="{00000000-0005-0000-0000-0000FB000000}"/>
    <cellStyle name="Normal 2 3 12" xfId="252" xr:uid="{00000000-0005-0000-0000-0000FC000000}"/>
    <cellStyle name="Normal 2 3 13" xfId="253" xr:uid="{00000000-0005-0000-0000-0000FD000000}"/>
    <cellStyle name="Normal 2 3 14" xfId="254" xr:uid="{00000000-0005-0000-0000-0000FE000000}"/>
    <cellStyle name="Normal 2 3 15" xfId="255" xr:uid="{00000000-0005-0000-0000-0000FF000000}"/>
    <cellStyle name="Normal 2 3 2" xfId="256" xr:uid="{00000000-0005-0000-0000-000000010000}"/>
    <cellStyle name="Normal 2 3 2 2" xfId="257" xr:uid="{00000000-0005-0000-0000-000001010000}"/>
    <cellStyle name="Normal 2 3 2 2 2" xfId="258" xr:uid="{00000000-0005-0000-0000-000002010000}"/>
    <cellStyle name="Normal 2 3 2 2 3" xfId="259" xr:uid="{00000000-0005-0000-0000-000003010000}"/>
    <cellStyle name="Normal 2 3 2 3" xfId="260" xr:uid="{00000000-0005-0000-0000-000004010000}"/>
    <cellStyle name="Normal 2 3 2 4" xfId="261" xr:uid="{00000000-0005-0000-0000-000005010000}"/>
    <cellStyle name="Normal 2 3 2 5" xfId="262" xr:uid="{00000000-0005-0000-0000-000006010000}"/>
    <cellStyle name="Normal 2 3 3" xfId="263" xr:uid="{00000000-0005-0000-0000-000007010000}"/>
    <cellStyle name="Normal 2 3 3 2" xfId="264" xr:uid="{00000000-0005-0000-0000-000008010000}"/>
    <cellStyle name="Normal 2 3 3 3" xfId="265" xr:uid="{00000000-0005-0000-0000-000009010000}"/>
    <cellStyle name="Normal 2 3 4" xfId="266" xr:uid="{00000000-0005-0000-0000-00000A010000}"/>
    <cellStyle name="Normal 2 3 5" xfId="267" xr:uid="{00000000-0005-0000-0000-00000B010000}"/>
    <cellStyle name="Normal 2 3 6" xfId="268" xr:uid="{00000000-0005-0000-0000-00000C010000}"/>
    <cellStyle name="Normal 2 3 7" xfId="269" xr:uid="{00000000-0005-0000-0000-00000D010000}"/>
    <cellStyle name="Normal 2 3 8" xfId="270" xr:uid="{00000000-0005-0000-0000-00000E010000}"/>
    <cellStyle name="Normal 2 3 9" xfId="271" xr:uid="{00000000-0005-0000-0000-00000F010000}"/>
    <cellStyle name="Normal 2 4" xfId="272" xr:uid="{00000000-0005-0000-0000-000010010000}"/>
    <cellStyle name="Normal 2 4 10" xfId="273" xr:uid="{00000000-0005-0000-0000-000011010000}"/>
    <cellStyle name="Normal 2 4 11" xfId="274" xr:uid="{00000000-0005-0000-0000-000012010000}"/>
    <cellStyle name="Normal 2 4 12" xfId="275" xr:uid="{00000000-0005-0000-0000-000013010000}"/>
    <cellStyle name="Normal 2 4 12 2" xfId="276" xr:uid="{00000000-0005-0000-0000-000014010000}"/>
    <cellStyle name="Normal 2 4 12 3" xfId="277" xr:uid="{00000000-0005-0000-0000-000015010000}"/>
    <cellStyle name="Normal 2 4 13" xfId="278" xr:uid="{00000000-0005-0000-0000-000016010000}"/>
    <cellStyle name="Normal 2 4 13 2" xfId="279" xr:uid="{00000000-0005-0000-0000-000017010000}"/>
    <cellStyle name="Normal 2 4 13 3" xfId="280" xr:uid="{00000000-0005-0000-0000-000018010000}"/>
    <cellStyle name="Normal 2 4 2" xfId="281" xr:uid="{00000000-0005-0000-0000-000019010000}"/>
    <cellStyle name="Normal 2 4 2 2" xfId="282" xr:uid="{00000000-0005-0000-0000-00001A010000}"/>
    <cellStyle name="Normal 2 4 2 2 2" xfId="283" xr:uid="{00000000-0005-0000-0000-00001B010000}"/>
    <cellStyle name="Normal 2 4 2 2 3" xfId="284" xr:uid="{00000000-0005-0000-0000-00001C010000}"/>
    <cellStyle name="Normal 2 4 2 3" xfId="285" xr:uid="{00000000-0005-0000-0000-00001D010000}"/>
    <cellStyle name="Normal 2 4 2 4" xfId="286" xr:uid="{00000000-0005-0000-0000-00001E010000}"/>
    <cellStyle name="Normal 2 4 2 5" xfId="287" xr:uid="{00000000-0005-0000-0000-00001F010000}"/>
    <cellStyle name="Normal 2 4 3" xfId="288" xr:uid="{00000000-0005-0000-0000-000020010000}"/>
    <cellStyle name="Normal 2 4 3 2" xfId="289" xr:uid="{00000000-0005-0000-0000-000021010000}"/>
    <cellStyle name="Normal 2 4 3 3" xfId="290" xr:uid="{00000000-0005-0000-0000-000022010000}"/>
    <cellStyle name="Normal 2 4 4" xfId="291" xr:uid="{00000000-0005-0000-0000-000023010000}"/>
    <cellStyle name="Normal 2 4 5" xfId="292" xr:uid="{00000000-0005-0000-0000-000024010000}"/>
    <cellStyle name="Normal 2 4 6" xfId="293" xr:uid="{00000000-0005-0000-0000-000025010000}"/>
    <cellStyle name="Normal 2 4 7" xfId="294" xr:uid="{00000000-0005-0000-0000-000026010000}"/>
    <cellStyle name="Normal 2 4 8" xfId="295" xr:uid="{00000000-0005-0000-0000-000027010000}"/>
    <cellStyle name="Normal 2 4 9" xfId="296" xr:uid="{00000000-0005-0000-0000-000028010000}"/>
    <cellStyle name="Normal 2 5" xfId="297" xr:uid="{00000000-0005-0000-0000-000029010000}"/>
    <cellStyle name="Normal 2 5 10" xfId="298" xr:uid="{00000000-0005-0000-0000-00002A010000}"/>
    <cellStyle name="Normal 2 5 11" xfId="299" xr:uid="{00000000-0005-0000-0000-00002B010000}"/>
    <cellStyle name="Normal 2 5 12" xfId="300" xr:uid="{00000000-0005-0000-0000-00002C010000}"/>
    <cellStyle name="Normal 2 5 12 2" xfId="301" xr:uid="{00000000-0005-0000-0000-00002D010000}"/>
    <cellStyle name="Normal 2 5 12 3" xfId="302" xr:uid="{00000000-0005-0000-0000-00002E010000}"/>
    <cellStyle name="Normal 2 5 2" xfId="303" xr:uid="{00000000-0005-0000-0000-00002F010000}"/>
    <cellStyle name="Normal 2 5 2 2" xfId="304" xr:uid="{00000000-0005-0000-0000-000030010000}"/>
    <cellStyle name="Normal 2 5 3" xfId="305" xr:uid="{00000000-0005-0000-0000-000031010000}"/>
    <cellStyle name="Normal 2 5 3 2" xfId="306" xr:uid="{00000000-0005-0000-0000-000032010000}"/>
    <cellStyle name="Normal 2 5 4" xfId="307" xr:uid="{00000000-0005-0000-0000-000033010000}"/>
    <cellStyle name="Normal 2 5 5" xfId="308" xr:uid="{00000000-0005-0000-0000-000034010000}"/>
    <cellStyle name="Normal 2 5 6" xfId="309" xr:uid="{00000000-0005-0000-0000-000035010000}"/>
    <cellStyle name="Normal 2 5 7" xfId="310" xr:uid="{00000000-0005-0000-0000-000036010000}"/>
    <cellStyle name="Normal 2 5 8" xfId="311" xr:uid="{00000000-0005-0000-0000-000037010000}"/>
    <cellStyle name="Normal 2 5 9" xfId="312" xr:uid="{00000000-0005-0000-0000-000038010000}"/>
    <cellStyle name="Normal 2 6" xfId="313" xr:uid="{00000000-0005-0000-0000-000039010000}"/>
    <cellStyle name="Normal 2 6 10" xfId="314" xr:uid="{00000000-0005-0000-0000-00003A010000}"/>
    <cellStyle name="Normal 2 6 11" xfId="315" xr:uid="{00000000-0005-0000-0000-00003B010000}"/>
    <cellStyle name="Normal 2 6 12" xfId="316" xr:uid="{00000000-0005-0000-0000-00003C010000}"/>
    <cellStyle name="Normal 2 6 2" xfId="317" xr:uid="{00000000-0005-0000-0000-00003D010000}"/>
    <cellStyle name="Normal 2 6 2 2" xfId="318" xr:uid="{00000000-0005-0000-0000-00003E010000}"/>
    <cellStyle name="Normal 2 6 3" xfId="319" xr:uid="{00000000-0005-0000-0000-00003F010000}"/>
    <cellStyle name="Normal 2 6 3 2" xfId="320" xr:uid="{00000000-0005-0000-0000-000040010000}"/>
    <cellStyle name="Normal 2 6 4" xfId="321" xr:uid="{00000000-0005-0000-0000-000041010000}"/>
    <cellStyle name="Normal 2 6 5" xfId="322" xr:uid="{00000000-0005-0000-0000-000042010000}"/>
    <cellStyle name="Normal 2 6 6" xfId="323" xr:uid="{00000000-0005-0000-0000-000043010000}"/>
    <cellStyle name="Normal 2 6 7" xfId="324" xr:uid="{00000000-0005-0000-0000-000044010000}"/>
    <cellStyle name="Normal 2 6 8" xfId="325" xr:uid="{00000000-0005-0000-0000-000045010000}"/>
    <cellStyle name="Normal 2 6 9" xfId="326" xr:uid="{00000000-0005-0000-0000-000046010000}"/>
    <cellStyle name="Normal 2 7" xfId="327" xr:uid="{00000000-0005-0000-0000-000047010000}"/>
    <cellStyle name="Normal 2 7 10" xfId="328" xr:uid="{00000000-0005-0000-0000-000048010000}"/>
    <cellStyle name="Normal 2 7 11" xfId="329" xr:uid="{00000000-0005-0000-0000-000049010000}"/>
    <cellStyle name="Normal 2 7 2" xfId="330" xr:uid="{00000000-0005-0000-0000-00004A010000}"/>
    <cellStyle name="Normal 2 7 2 2" xfId="331" xr:uid="{00000000-0005-0000-0000-00004B010000}"/>
    <cellStyle name="Normal 2 7 2 3" xfId="332" xr:uid="{00000000-0005-0000-0000-00004C010000}"/>
    <cellStyle name="Normal 2 7 3" xfId="333" xr:uid="{00000000-0005-0000-0000-00004D010000}"/>
    <cellStyle name="Normal 2 7 3 2" xfId="334" xr:uid="{00000000-0005-0000-0000-00004E010000}"/>
    <cellStyle name="Normal 2 7 4" xfId="335" xr:uid="{00000000-0005-0000-0000-00004F010000}"/>
    <cellStyle name="Normal 2 7 4 2" xfId="336" xr:uid="{00000000-0005-0000-0000-000050010000}"/>
    <cellStyle name="Normal 2 7 5" xfId="337" xr:uid="{00000000-0005-0000-0000-000051010000}"/>
    <cellStyle name="Normal 2 7 5 2" xfId="338" xr:uid="{00000000-0005-0000-0000-000052010000}"/>
    <cellStyle name="Normal 2 7 6" xfId="339" xr:uid="{00000000-0005-0000-0000-000053010000}"/>
    <cellStyle name="Normal 2 7 6 2" xfId="340" xr:uid="{00000000-0005-0000-0000-000054010000}"/>
    <cellStyle name="Normal 2 7 7" xfId="341" xr:uid="{00000000-0005-0000-0000-000055010000}"/>
    <cellStyle name="Normal 2 7 7 2" xfId="342" xr:uid="{00000000-0005-0000-0000-000056010000}"/>
    <cellStyle name="Normal 2 7 8" xfId="343" xr:uid="{00000000-0005-0000-0000-000057010000}"/>
    <cellStyle name="Normal 2 7 8 2" xfId="344" xr:uid="{00000000-0005-0000-0000-000058010000}"/>
    <cellStyle name="Normal 2 7 9" xfId="345" xr:uid="{00000000-0005-0000-0000-000059010000}"/>
    <cellStyle name="Normal 2 8" xfId="346" xr:uid="{00000000-0005-0000-0000-00005A010000}"/>
    <cellStyle name="Normal 2 8 10" xfId="347" xr:uid="{00000000-0005-0000-0000-00005B010000}"/>
    <cellStyle name="Normal 2 8 11" xfId="348" xr:uid="{00000000-0005-0000-0000-00005C010000}"/>
    <cellStyle name="Normal 2 8 2" xfId="349" xr:uid="{00000000-0005-0000-0000-00005D010000}"/>
    <cellStyle name="Normal 2 8 2 2" xfId="350" xr:uid="{00000000-0005-0000-0000-00005E010000}"/>
    <cellStyle name="Normal 2 8 3" xfId="351" xr:uid="{00000000-0005-0000-0000-00005F010000}"/>
    <cellStyle name="Normal 2 8 3 2" xfId="352" xr:uid="{00000000-0005-0000-0000-000060010000}"/>
    <cellStyle name="Normal 2 8 4" xfId="353" xr:uid="{00000000-0005-0000-0000-000061010000}"/>
    <cellStyle name="Normal 2 8 4 2" xfId="354" xr:uid="{00000000-0005-0000-0000-000062010000}"/>
    <cellStyle name="Normal 2 8 5" xfId="355" xr:uid="{00000000-0005-0000-0000-000063010000}"/>
    <cellStyle name="Normal 2 8 5 2" xfId="356" xr:uid="{00000000-0005-0000-0000-000064010000}"/>
    <cellStyle name="Normal 2 8 6" xfId="357" xr:uid="{00000000-0005-0000-0000-000065010000}"/>
    <cellStyle name="Normal 2 8 6 2" xfId="358" xr:uid="{00000000-0005-0000-0000-000066010000}"/>
    <cellStyle name="Normal 2 8 7" xfId="359" xr:uid="{00000000-0005-0000-0000-000067010000}"/>
    <cellStyle name="Normal 2 8 7 2" xfId="360" xr:uid="{00000000-0005-0000-0000-000068010000}"/>
    <cellStyle name="Normal 2 8 8" xfId="361" xr:uid="{00000000-0005-0000-0000-000069010000}"/>
    <cellStyle name="Normal 2 8 8 2" xfId="362" xr:uid="{00000000-0005-0000-0000-00006A010000}"/>
    <cellStyle name="Normal 2 8 9" xfId="363" xr:uid="{00000000-0005-0000-0000-00006B010000}"/>
    <cellStyle name="Normal 2 9" xfId="364" xr:uid="{00000000-0005-0000-0000-00006C010000}"/>
    <cellStyle name="Normal 2 9 10" xfId="365" xr:uid="{00000000-0005-0000-0000-00006D010000}"/>
    <cellStyle name="Normal 2 9 11" xfId="366" xr:uid="{00000000-0005-0000-0000-00006E010000}"/>
    <cellStyle name="Normal 2 9 2" xfId="367" xr:uid="{00000000-0005-0000-0000-00006F010000}"/>
    <cellStyle name="Normal 2 9 2 2" xfId="368" xr:uid="{00000000-0005-0000-0000-000070010000}"/>
    <cellStyle name="Normal 2 9 3" xfId="369" xr:uid="{00000000-0005-0000-0000-000071010000}"/>
    <cellStyle name="Normal 2 9 3 2" xfId="370" xr:uid="{00000000-0005-0000-0000-000072010000}"/>
    <cellStyle name="Normal 2 9 4" xfId="371" xr:uid="{00000000-0005-0000-0000-000073010000}"/>
    <cellStyle name="Normal 2 9 4 2" xfId="372" xr:uid="{00000000-0005-0000-0000-000074010000}"/>
    <cellStyle name="Normal 2 9 5" xfId="373" xr:uid="{00000000-0005-0000-0000-000075010000}"/>
    <cellStyle name="Normal 2 9 5 2" xfId="374" xr:uid="{00000000-0005-0000-0000-000076010000}"/>
    <cellStyle name="Normal 2 9 6" xfId="375" xr:uid="{00000000-0005-0000-0000-000077010000}"/>
    <cellStyle name="Normal 2 9 6 2" xfId="376" xr:uid="{00000000-0005-0000-0000-000078010000}"/>
    <cellStyle name="Normal 2 9 7" xfId="377" xr:uid="{00000000-0005-0000-0000-000079010000}"/>
    <cellStyle name="Normal 2 9 7 2" xfId="378" xr:uid="{00000000-0005-0000-0000-00007A010000}"/>
    <cellStyle name="Normal 2 9 8" xfId="379" xr:uid="{00000000-0005-0000-0000-00007B010000}"/>
    <cellStyle name="Normal 2 9 8 2" xfId="380" xr:uid="{00000000-0005-0000-0000-00007C010000}"/>
    <cellStyle name="Normal 2 9 9" xfId="381" xr:uid="{00000000-0005-0000-0000-00007D010000}"/>
    <cellStyle name="Normal 20 2" xfId="382" xr:uid="{00000000-0005-0000-0000-00007E010000}"/>
    <cellStyle name="Normal 20 3" xfId="383" xr:uid="{00000000-0005-0000-0000-00007F010000}"/>
    <cellStyle name="Normal 21 2" xfId="384" xr:uid="{00000000-0005-0000-0000-000080010000}"/>
    <cellStyle name="Normal 21 2 2" xfId="385" xr:uid="{00000000-0005-0000-0000-000081010000}"/>
    <cellStyle name="Normal 21 2 3" xfId="386" xr:uid="{00000000-0005-0000-0000-000082010000}"/>
    <cellStyle name="Normal 21 3" xfId="387" xr:uid="{00000000-0005-0000-0000-000083010000}"/>
    <cellStyle name="Normal 21 4" xfId="388" xr:uid="{00000000-0005-0000-0000-000084010000}"/>
    <cellStyle name="Normal 21 5" xfId="389" xr:uid="{00000000-0005-0000-0000-000085010000}"/>
    <cellStyle name="Normal 22" xfId="390" xr:uid="{00000000-0005-0000-0000-000086010000}"/>
    <cellStyle name="Normal 22 2" xfId="391" xr:uid="{00000000-0005-0000-0000-000087010000}"/>
    <cellStyle name="Normal 22 3" xfId="392" xr:uid="{00000000-0005-0000-0000-000088010000}"/>
    <cellStyle name="Normal 23" xfId="393" xr:uid="{00000000-0005-0000-0000-000089010000}"/>
    <cellStyle name="Normal 23 2" xfId="394" xr:uid="{00000000-0005-0000-0000-00008A010000}"/>
    <cellStyle name="Normal 23 3" xfId="395" xr:uid="{00000000-0005-0000-0000-00008B010000}"/>
    <cellStyle name="Normal 24" xfId="396" xr:uid="{00000000-0005-0000-0000-00008C010000}"/>
    <cellStyle name="Normal 24 2" xfId="397" xr:uid="{00000000-0005-0000-0000-00008D010000}"/>
    <cellStyle name="Normal 24 3" xfId="398" xr:uid="{00000000-0005-0000-0000-00008E010000}"/>
    <cellStyle name="Normal 25" xfId="399" xr:uid="{00000000-0005-0000-0000-00008F010000}"/>
    <cellStyle name="Normal 25 2" xfId="400" xr:uid="{00000000-0005-0000-0000-000090010000}"/>
    <cellStyle name="Normal 25 3" xfId="401" xr:uid="{00000000-0005-0000-0000-000091010000}"/>
    <cellStyle name="Normal 26" xfId="402" xr:uid="{00000000-0005-0000-0000-000092010000}"/>
    <cellStyle name="Normal 27" xfId="403" xr:uid="{00000000-0005-0000-0000-000093010000}"/>
    <cellStyle name="Normal 27 2" xfId="404" xr:uid="{00000000-0005-0000-0000-000094010000}"/>
    <cellStyle name="Normal 3" xfId="405" xr:uid="{00000000-0005-0000-0000-000095010000}"/>
    <cellStyle name="Normal 3 10" xfId="406" xr:uid="{00000000-0005-0000-0000-000096010000}"/>
    <cellStyle name="Normal 3 10 2" xfId="407" xr:uid="{00000000-0005-0000-0000-000097010000}"/>
    <cellStyle name="Normal 3 11" xfId="408" xr:uid="{00000000-0005-0000-0000-000098010000}"/>
    <cellStyle name="Normal 3 12" xfId="409" xr:uid="{00000000-0005-0000-0000-000099010000}"/>
    <cellStyle name="Normal 3 13" xfId="410" xr:uid="{00000000-0005-0000-0000-00009A010000}"/>
    <cellStyle name="Normal 3 14" xfId="411" xr:uid="{00000000-0005-0000-0000-00009B010000}"/>
    <cellStyle name="Normal 3 15" xfId="412" xr:uid="{00000000-0005-0000-0000-00009C010000}"/>
    <cellStyle name="Normal 3 2" xfId="413" xr:uid="{00000000-0005-0000-0000-00009D010000}"/>
    <cellStyle name="Normal 3 2 2" xfId="414" xr:uid="{00000000-0005-0000-0000-00009E010000}"/>
    <cellStyle name="Normal 3 2 2 2" xfId="415" xr:uid="{00000000-0005-0000-0000-00009F010000}"/>
    <cellStyle name="Normal 3 2 2 3" xfId="416" xr:uid="{00000000-0005-0000-0000-0000A0010000}"/>
    <cellStyle name="Normal 3 2 3" xfId="417" xr:uid="{00000000-0005-0000-0000-0000A1010000}"/>
    <cellStyle name="Normal 3 2 4" xfId="418" xr:uid="{00000000-0005-0000-0000-0000A2010000}"/>
    <cellStyle name="Normal 3 2 5" xfId="419" xr:uid="{00000000-0005-0000-0000-0000A3010000}"/>
    <cellStyle name="Normal 3 3" xfId="420" xr:uid="{00000000-0005-0000-0000-0000A4010000}"/>
    <cellStyle name="Normal 3 3 2" xfId="421" xr:uid="{00000000-0005-0000-0000-0000A5010000}"/>
    <cellStyle name="Normal 3 3 2 2" xfId="422" xr:uid="{00000000-0005-0000-0000-0000A6010000}"/>
    <cellStyle name="Normal 3 3 2 3" xfId="423" xr:uid="{00000000-0005-0000-0000-0000A7010000}"/>
    <cellStyle name="Normal 3 3 3" xfId="424" xr:uid="{00000000-0005-0000-0000-0000A8010000}"/>
    <cellStyle name="Normal 3 3 4" xfId="425" xr:uid="{00000000-0005-0000-0000-0000A9010000}"/>
    <cellStyle name="Normal 3 4" xfId="426" xr:uid="{00000000-0005-0000-0000-0000AA010000}"/>
    <cellStyle name="Normal 3 5" xfId="427" xr:uid="{00000000-0005-0000-0000-0000AB010000}"/>
    <cellStyle name="Normal 3 6" xfId="428" xr:uid="{00000000-0005-0000-0000-0000AC010000}"/>
    <cellStyle name="Normal 3 7" xfId="429" xr:uid="{00000000-0005-0000-0000-0000AD010000}"/>
    <cellStyle name="Normal 3 7 2" xfId="430" xr:uid="{00000000-0005-0000-0000-0000AE010000}"/>
    <cellStyle name="Normal 3 7 3" xfId="431" xr:uid="{00000000-0005-0000-0000-0000AF010000}"/>
    <cellStyle name="Normal 3 8" xfId="432" xr:uid="{00000000-0005-0000-0000-0000B0010000}"/>
    <cellStyle name="Normal 3 8 2" xfId="433" xr:uid="{00000000-0005-0000-0000-0000B1010000}"/>
    <cellStyle name="Normal 3 8 3" xfId="434" xr:uid="{00000000-0005-0000-0000-0000B2010000}"/>
    <cellStyle name="Normal 3 9" xfId="435" xr:uid="{00000000-0005-0000-0000-0000B3010000}"/>
    <cellStyle name="Normal 3 9 2" xfId="436" xr:uid="{00000000-0005-0000-0000-0000B4010000}"/>
    <cellStyle name="Normal 3 9 3" xfId="437" xr:uid="{00000000-0005-0000-0000-0000B5010000}"/>
    <cellStyle name="Normal 4" xfId="438" xr:uid="{00000000-0005-0000-0000-0000B6010000}"/>
    <cellStyle name="Normal 4 10" xfId="439" xr:uid="{00000000-0005-0000-0000-0000B7010000}"/>
    <cellStyle name="Normal 4 11" xfId="440" xr:uid="{00000000-0005-0000-0000-0000B8010000}"/>
    <cellStyle name="Normal 4 12" xfId="441" xr:uid="{00000000-0005-0000-0000-0000B9010000}"/>
    <cellStyle name="Normal 4 13" xfId="442" xr:uid="{00000000-0005-0000-0000-0000BA010000}"/>
    <cellStyle name="Normal 4 2" xfId="443" xr:uid="{00000000-0005-0000-0000-0000BB010000}"/>
    <cellStyle name="Normal 4 2 2" xfId="444" xr:uid="{00000000-0005-0000-0000-0000BC010000}"/>
    <cellStyle name="Normal 4 2 2 2" xfId="445" xr:uid="{00000000-0005-0000-0000-0000BD010000}"/>
    <cellStyle name="Normal 4 2 2 3" xfId="446" xr:uid="{00000000-0005-0000-0000-0000BE010000}"/>
    <cellStyle name="Normal 4 2 2 3 2" xfId="447" xr:uid="{00000000-0005-0000-0000-0000BF010000}"/>
    <cellStyle name="Normal 4 2 3" xfId="448" xr:uid="{00000000-0005-0000-0000-0000C0010000}"/>
    <cellStyle name="Normal 4 2 4" xfId="449" xr:uid="{00000000-0005-0000-0000-0000C1010000}"/>
    <cellStyle name="Normal 4 2 5" xfId="450" xr:uid="{00000000-0005-0000-0000-0000C2010000}"/>
    <cellStyle name="Normal 4 3" xfId="451" xr:uid="{00000000-0005-0000-0000-0000C3010000}"/>
    <cellStyle name="Normal 4 3 2" xfId="452" xr:uid="{00000000-0005-0000-0000-0000C4010000}"/>
    <cellStyle name="Normal 4 3 3" xfId="453" xr:uid="{00000000-0005-0000-0000-0000C5010000}"/>
    <cellStyle name="Normal 4 4" xfId="454" xr:uid="{00000000-0005-0000-0000-0000C6010000}"/>
    <cellStyle name="Normal 4 5" xfId="455" xr:uid="{00000000-0005-0000-0000-0000C7010000}"/>
    <cellStyle name="Normal 4 5 2" xfId="456" xr:uid="{00000000-0005-0000-0000-0000C8010000}"/>
    <cellStyle name="Normal 4 5 3" xfId="457" xr:uid="{00000000-0005-0000-0000-0000C9010000}"/>
    <cellStyle name="Normal 4 6" xfId="458" xr:uid="{00000000-0005-0000-0000-0000CA010000}"/>
    <cellStyle name="Normal 4 6 2" xfId="459" xr:uid="{00000000-0005-0000-0000-0000CB010000}"/>
    <cellStyle name="Normal 4 6 3" xfId="460" xr:uid="{00000000-0005-0000-0000-0000CC010000}"/>
    <cellStyle name="Normal 4 7" xfId="461" xr:uid="{00000000-0005-0000-0000-0000CD010000}"/>
    <cellStyle name="Normal 4 8" xfId="462" xr:uid="{00000000-0005-0000-0000-0000CE010000}"/>
    <cellStyle name="Normal 4 9" xfId="463" xr:uid="{00000000-0005-0000-0000-0000CF010000}"/>
    <cellStyle name="Normal 5 2" xfId="464" xr:uid="{00000000-0005-0000-0000-0000D0010000}"/>
    <cellStyle name="Normal 5 3" xfId="465" xr:uid="{00000000-0005-0000-0000-0000D1010000}"/>
    <cellStyle name="Normal 5 3 2" xfId="466" xr:uid="{00000000-0005-0000-0000-0000D2010000}"/>
    <cellStyle name="Normal 5 3 3" xfId="467" xr:uid="{00000000-0005-0000-0000-0000D3010000}"/>
    <cellStyle name="Normal 5 4" xfId="468" xr:uid="{00000000-0005-0000-0000-0000D4010000}"/>
    <cellStyle name="Normal 5 5" xfId="469" xr:uid="{00000000-0005-0000-0000-0000D5010000}"/>
    <cellStyle name="Normal 5 5 2" xfId="470" xr:uid="{00000000-0005-0000-0000-0000D6010000}"/>
    <cellStyle name="Normal 5 5 3" xfId="471" xr:uid="{00000000-0005-0000-0000-0000D7010000}"/>
    <cellStyle name="Normal 5 6" xfId="472" xr:uid="{00000000-0005-0000-0000-0000D8010000}"/>
    <cellStyle name="Normal 6" xfId="473" xr:uid="{00000000-0005-0000-0000-0000D9010000}"/>
    <cellStyle name="Normal 6 2" xfId="474" xr:uid="{00000000-0005-0000-0000-0000DA010000}"/>
    <cellStyle name="Normal 6 3" xfId="475" xr:uid="{00000000-0005-0000-0000-0000DB010000}"/>
    <cellStyle name="Normal 6 4" xfId="476" xr:uid="{00000000-0005-0000-0000-0000DC010000}"/>
    <cellStyle name="Normal 6 5" xfId="477" xr:uid="{00000000-0005-0000-0000-0000DD010000}"/>
    <cellStyle name="Normal 7" xfId="478" xr:uid="{00000000-0005-0000-0000-0000DE010000}"/>
    <cellStyle name="Normal 7 2" xfId="479" xr:uid="{00000000-0005-0000-0000-0000DF010000}"/>
    <cellStyle name="Normal 7 2 2" xfId="480" xr:uid="{00000000-0005-0000-0000-0000E0010000}"/>
    <cellStyle name="Normal 7 2 2 2" xfId="481" xr:uid="{00000000-0005-0000-0000-0000E1010000}"/>
    <cellStyle name="Normal 7 2 2 3" xfId="482" xr:uid="{00000000-0005-0000-0000-0000E2010000}"/>
    <cellStyle name="Normal 7 2 3" xfId="483" xr:uid="{00000000-0005-0000-0000-0000E3010000}"/>
    <cellStyle name="Normal 7 2 4" xfId="484" xr:uid="{00000000-0005-0000-0000-0000E4010000}"/>
    <cellStyle name="Normal 7 2 4 2" xfId="485" xr:uid="{00000000-0005-0000-0000-0000E5010000}"/>
    <cellStyle name="Normal 7 2 4 3" xfId="486" xr:uid="{00000000-0005-0000-0000-0000E6010000}"/>
    <cellStyle name="Normal 7 2 5" xfId="487" xr:uid="{00000000-0005-0000-0000-0000E7010000}"/>
    <cellStyle name="Normal 7 3" xfId="488" xr:uid="{00000000-0005-0000-0000-0000E8010000}"/>
    <cellStyle name="Normal 7 4" xfId="489" xr:uid="{00000000-0005-0000-0000-0000E9010000}"/>
    <cellStyle name="Normal 7 4 2" xfId="490" xr:uid="{00000000-0005-0000-0000-0000EA010000}"/>
    <cellStyle name="Normal 7 4 3" xfId="491" xr:uid="{00000000-0005-0000-0000-0000EB010000}"/>
    <cellStyle name="Normal 7 5" xfId="492" xr:uid="{00000000-0005-0000-0000-0000EC010000}"/>
    <cellStyle name="Normal 7 5 2" xfId="493" xr:uid="{00000000-0005-0000-0000-0000ED010000}"/>
    <cellStyle name="Normal 7 5 3" xfId="494" xr:uid="{00000000-0005-0000-0000-0000EE010000}"/>
    <cellStyle name="Normal 7 5 4" xfId="495" xr:uid="{00000000-0005-0000-0000-0000EF010000}"/>
    <cellStyle name="Normal 7 5 5" xfId="496" xr:uid="{00000000-0005-0000-0000-0000F0010000}"/>
    <cellStyle name="Normal 7 6" xfId="497" xr:uid="{00000000-0005-0000-0000-0000F1010000}"/>
    <cellStyle name="Normal 7 7" xfId="498" xr:uid="{00000000-0005-0000-0000-0000F2010000}"/>
    <cellStyle name="Normal 8 2" xfId="499" xr:uid="{00000000-0005-0000-0000-0000F3010000}"/>
    <cellStyle name="Normal 8 3" xfId="500" xr:uid="{00000000-0005-0000-0000-0000F4010000}"/>
    <cellStyle name="Normal 9" xfId="501" xr:uid="{00000000-0005-0000-0000-0000F5010000}"/>
    <cellStyle name="Normal 9 2" xfId="502" xr:uid="{00000000-0005-0000-0000-0000F6010000}"/>
    <cellStyle name="Normal 9 2 2" xfId="503" xr:uid="{00000000-0005-0000-0000-0000F7010000}"/>
    <cellStyle name="Normal 9 2 3" xfId="504" xr:uid="{00000000-0005-0000-0000-0000F8010000}"/>
    <cellStyle name="Normal 9 3" xfId="505" xr:uid="{00000000-0005-0000-0000-0000F9010000}"/>
    <cellStyle name="Normal 9 4" xfId="506" xr:uid="{00000000-0005-0000-0000-0000FA010000}"/>
    <cellStyle name="Normal 9 5" xfId="507" xr:uid="{00000000-0005-0000-0000-0000FB010000}"/>
    <cellStyle name="Normal 9 5 2" xfId="508" xr:uid="{00000000-0005-0000-0000-0000FC010000}"/>
    <cellStyle name="Normal 9 5 3" xfId="509" xr:uid="{00000000-0005-0000-0000-0000FD010000}"/>
    <cellStyle name="Normal 9 6" xfId="510" xr:uid="{00000000-0005-0000-0000-0000FE010000}"/>
    <cellStyle name="Normal 9 6 2" xfId="511" xr:uid="{00000000-0005-0000-0000-0000FF010000}"/>
    <cellStyle name="Normal 9 6 3" xfId="512" xr:uid="{00000000-0005-0000-0000-000000020000}"/>
    <cellStyle name="Normal_debt" xfId="513" xr:uid="{00000000-0005-0000-0000-000001020000}"/>
    <cellStyle name="Normal_lpform" xfId="514" xr:uid="{00000000-0005-0000-0000-000002020000}"/>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megan.schulz@ks.gov"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5.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7"/>
  <sheetViews>
    <sheetView topLeftCell="A74" zoomScale="85" zoomScaleNormal="85" workbookViewId="0">
      <selection activeCell="T27" sqref="T27"/>
    </sheetView>
  </sheetViews>
  <sheetFormatPr defaultColWidth="8.88671875" defaultRowHeight="15.75" x14ac:dyDescent="0.2"/>
  <cols>
    <col min="1" max="1" width="76.44140625" style="43" customWidth="1"/>
    <col min="2" max="16384" width="8.88671875" style="43"/>
  </cols>
  <sheetData>
    <row r="1" spans="1:1" x14ac:dyDescent="0.2">
      <c r="A1" s="42" t="s">
        <v>967</v>
      </c>
    </row>
    <row r="3" spans="1:1" ht="34.5" customHeight="1" x14ac:dyDescent="0.25">
      <c r="A3" s="531" t="s">
        <v>1071</v>
      </c>
    </row>
    <row r="4" spans="1:1" x14ac:dyDescent="0.2">
      <c r="A4" s="44"/>
    </row>
    <row r="5" spans="1:1" ht="85.5" customHeight="1" x14ac:dyDescent="0.2">
      <c r="A5" s="45" t="s">
        <v>44</v>
      </c>
    </row>
    <row r="6" spans="1:1" x14ac:dyDescent="0.2">
      <c r="A6" s="45"/>
    </row>
    <row r="7" spans="1:1" ht="53.25" customHeight="1" x14ac:dyDescent="0.2">
      <c r="A7" s="45" t="s">
        <v>905</v>
      </c>
    </row>
    <row r="9" spans="1:1" x14ac:dyDescent="0.2">
      <c r="A9" s="42" t="s">
        <v>58</v>
      </c>
    </row>
    <row r="10" spans="1:1" x14ac:dyDescent="0.2">
      <c r="A10" s="42"/>
    </row>
    <row r="11" spans="1:1" ht="27" customHeight="1" x14ac:dyDescent="0.2">
      <c r="A11" s="44" t="s">
        <v>59</v>
      </c>
    </row>
    <row r="12" spans="1:1" ht="51.75" hidden="1" customHeight="1" x14ac:dyDescent="0.2"/>
    <row r="13" spans="1:1" ht="12" customHeight="1" x14ac:dyDescent="0.2"/>
    <row r="14" spans="1:1" ht="42.75" customHeight="1" x14ac:dyDescent="0.2">
      <c r="A14" s="46" t="s">
        <v>617</v>
      </c>
    </row>
    <row r="15" spans="1:1" ht="14.25" customHeight="1" x14ac:dyDescent="0.2">
      <c r="A15" s="46"/>
    </row>
    <row r="18" spans="1:1" x14ac:dyDescent="0.2">
      <c r="A18" s="42" t="s">
        <v>115</v>
      </c>
    </row>
    <row r="20" spans="1:1" ht="34.5" customHeight="1" x14ac:dyDescent="0.2">
      <c r="A20" s="45" t="s">
        <v>10</v>
      </c>
    </row>
    <row r="21" spans="1:1" ht="18" customHeight="1" x14ac:dyDescent="0.2">
      <c r="A21" s="45"/>
    </row>
    <row r="22" spans="1:1" ht="23.25" customHeight="1" x14ac:dyDescent="0.2">
      <c r="A22" s="47" t="s">
        <v>11</v>
      </c>
    </row>
    <row r="23" spans="1:1" ht="23.25" customHeight="1" x14ac:dyDescent="0.2">
      <c r="A23" s="48"/>
    </row>
    <row r="24" spans="1:1" x14ac:dyDescent="0.2">
      <c r="A24" s="49" t="s">
        <v>15</v>
      </c>
    </row>
    <row r="25" spans="1:1" x14ac:dyDescent="0.2">
      <c r="A25" s="50"/>
    </row>
    <row r="26" spans="1:1" ht="85.5" customHeight="1" x14ac:dyDescent="0.2">
      <c r="A26" s="51" t="s">
        <v>35</v>
      </c>
    </row>
    <row r="27" spans="1:1" ht="19.5" customHeight="1" x14ac:dyDescent="0.2">
      <c r="A27" s="45"/>
    </row>
    <row r="28" spans="1:1" ht="19.5" customHeight="1" x14ac:dyDescent="0.2">
      <c r="A28" s="52" t="s">
        <v>16</v>
      </c>
    </row>
    <row r="30" spans="1:1" x14ac:dyDescent="0.2">
      <c r="A30" s="53" t="s">
        <v>60</v>
      </c>
    </row>
    <row r="32" spans="1:1" x14ac:dyDescent="0.2">
      <c r="A32" s="45" t="s">
        <v>61</v>
      </c>
    </row>
    <row r="34" spans="1:1" x14ac:dyDescent="0.2">
      <c r="A34" s="42" t="s">
        <v>116</v>
      </c>
    </row>
    <row r="36" spans="1:1" ht="81" customHeight="1" x14ac:dyDescent="0.2">
      <c r="A36" s="45" t="s">
        <v>707</v>
      </c>
    </row>
    <row r="37" spans="1:1" ht="38.25" customHeight="1" x14ac:dyDescent="0.2">
      <c r="A37" s="45" t="s">
        <v>36</v>
      </c>
    </row>
    <row r="38" spans="1:1" ht="57" customHeight="1" x14ac:dyDescent="0.2">
      <c r="A38" s="54" t="s">
        <v>12</v>
      </c>
    </row>
    <row r="39" spans="1:1" ht="114.75" customHeight="1" x14ac:dyDescent="0.2">
      <c r="A39" s="54" t="s">
        <v>862</v>
      </c>
    </row>
    <row r="40" spans="1:1" ht="11.25" customHeight="1" x14ac:dyDescent="0.2"/>
    <row r="41" spans="1:1" ht="81" customHeight="1" x14ac:dyDescent="0.2">
      <c r="A41" s="45" t="s">
        <v>616</v>
      </c>
    </row>
    <row r="42" spans="1:1" ht="66" customHeight="1" x14ac:dyDescent="0.2">
      <c r="A42" s="45" t="s">
        <v>90</v>
      </c>
    </row>
    <row r="43" spans="1:1" ht="105" customHeight="1" x14ac:dyDescent="0.2">
      <c r="A43" s="45" t="s">
        <v>94</v>
      </c>
    </row>
    <row r="44" spans="1:1" ht="12.75" customHeight="1" x14ac:dyDescent="0.2"/>
    <row r="45" spans="1:1" ht="74.099999999999994" customHeight="1" x14ac:dyDescent="0.2">
      <c r="A45" s="354" t="s">
        <v>845</v>
      </c>
    </row>
    <row r="46" spans="1:1" ht="69.95" customHeight="1" x14ac:dyDescent="0.2">
      <c r="A46" s="355" t="s">
        <v>576</v>
      </c>
    </row>
    <row r="47" spans="1:1" ht="69.95" customHeight="1" x14ac:dyDescent="0.2">
      <c r="A47" s="355" t="s">
        <v>846</v>
      </c>
    </row>
    <row r="48" spans="1:1" ht="12.75" customHeight="1" x14ac:dyDescent="0.2"/>
    <row r="49" spans="1:1" ht="67.5" customHeight="1" x14ac:dyDescent="0.2">
      <c r="A49" s="45" t="s">
        <v>577</v>
      </c>
    </row>
    <row r="50" spans="1:1" ht="37.5" customHeight="1" x14ac:dyDescent="0.2">
      <c r="A50" s="45" t="s">
        <v>578</v>
      </c>
    </row>
    <row r="51" spans="1:1" ht="13.5" customHeight="1" x14ac:dyDescent="0.2">
      <c r="A51" s="45"/>
    </row>
    <row r="52" spans="1:1" ht="90" customHeight="1" x14ac:dyDescent="0.2">
      <c r="A52" s="45" t="s">
        <v>962</v>
      </c>
    </row>
    <row r="53" spans="1:1" ht="103.5" customHeight="1" x14ac:dyDescent="0.2">
      <c r="A53" s="45" t="s">
        <v>917</v>
      </c>
    </row>
    <row r="54" spans="1:1" ht="13.5" customHeight="1" x14ac:dyDescent="0.2">
      <c r="A54" s="45"/>
    </row>
    <row r="55" spans="1:1" ht="73.5" customHeight="1" x14ac:dyDescent="0.2">
      <c r="A55" s="45" t="s">
        <v>959</v>
      </c>
    </row>
    <row r="56" spans="1:1" ht="150.75" customHeight="1" x14ac:dyDescent="0.2">
      <c r="A56" s="45" t="s">
        <v>960</v>
      </c>
    </row>
    <row r="57" spans="1:1" ht="45" customHeight="1" x14ac:dyDescent="0.2">
      <c r="A57" s="45" t="s">
        <v>961</v>
      </c>
    </row>
    <row r="58" spans="1:1" x14ac:dyDescent="0.2">
      <c r="A58" s="45"/>
    </row>
    <row r="59" spans="1:1" ht="82.5" customHeight="1" x14ac:dyDescent="0.2">
      <c r="A59" s="45" t="s">
        <v>835</v>
      </c>
    </row>
    <row r="61" spans="1:1" ht="64.5" customHeight="1" x14ac:dyDescent="0.2">
      <c r="A61" s="45" t="s">
        <v>579</v>
      </c>
    </row>
    <row r="62" spans="1:1" ht="42.75" customHeight="1" x14ac:dyDescent="0.2">
      <c r="A62" s="45" t="s">
        <v>596</v>
      </c>
    </row>
    <row r="63" spans="1:1" ht="88.5" customHeight="1" x14ac:dyDescent="0.2">
      <c r="A63" s="45" t="s">
        <v>618</v>
      </c>
    </row>
    <row r="64" spans="1:1" ht="39" customHeight="1" x14ac:dyDescent="0.2">
      <c r="A64" s="322" t="s">
        <v>597</v>
      </c>
    </row>
    <row r="66" spans="1:1" s="45" customFormat="1" ht="58.5" customHeight="1" x14ac:dyDescent="0.2">
      <c r="A66" s="45" t="s">
        <v>580</v>
      </c>
    </row>
    <row r="68" spans="1:1" ht="69" customHeight="1" x14ac:dyDescent="0.2">
      <c r="A68" s="45" t="s">
        <v>581</v>
      </c>
    </row>
    <row r="69" spans="1:1" ht="11.25" customHeight="1" x14ac:dyDescent="0.2"/>
    <row r="70" spans="1:1" ht="147" customHeight="1" x14ac:dyDescent="0.2">
      <c r="A70" s="45" t="s">
        <v>894</v>
      </c>
    </row>
    <row r="71" spans="1:1" ht="11.25" customHeight="1" x14ac:dyDescent="0.2"/>
    <row r="72" spans="1:1" ht="85.5" customHeight="1" x14ac:dyDescent="0.2">
      <c r="A72" s="45" t="s">
        <v>906</v>
      </c>
    </row>
    <row r="73" spans="1:1" ht="85.5" customHeight="1" x14ac:dyDescent="0.2">
      <c r="A73" s="45" t="s">
        <v>847</v>
      </c>
    </row>
    <row r="74" spans="1:1" ht="104.25" customHeight="1" x14ac:dyDescent="0.2">
      <c r="A74" s="446" t="s">
        <v>893</v>
      </c>
    </row>
    <row r="75" spans="1:1" ht="73.5" customHeight="1" x14ac:dyDescent="0.2">
      <c r="A75" s="446" t="s">
        <v>892</v>
      </c>
    </row>
    <row r="76" spans="1:1" ht="73.5" customHeight="1" x14ac:dyDescent="0.2">
      <c r="A76" s="446" t="s">
        <v>898</v>
      </c>
    </row>
    <row r="77" spans="1:1" ht="136.5" customHeight="1" x14ac:dyDescent="0.2">
      <c r="A77" s="45" t="s">
        <v>848</v>
      </c>
    </row>
    <row r="78" spans="1:1" ht="85.5" customHeight="1" x14ac:dyDescent="0.2">
      <c r="A78" s="45" t="s">
        <v>849</v>
      </c>
    </row>
    <row r="79" spans="1:1" ht="116.25" customHeight="1" x14ac:dyDescent="0.2">
      <c r="A79" s="45" t="s">
        <v>850</v>
      </c>
    </row>
    <row r="80" spans="1:1" ht="140.25" customHeight="1" x14ac:dyDescent="0.2">
      <c r="A80" s="45" t="s">
        <v>907</v>
      </c>
    </row>
    <row r="81" spans="1:1" ht="63" customHeight="1" x14ac:dyDescent="0.2">
      <c r="A81" s="45" t="s">
        <v>851</v>
      </c>
    </row>
    <row r="82" spans="1:1" ht="128.25" customHeight="1" x14ac:dyDescent="0.2">
      <c r="A82" s="45" t="s">
        <v>852</v>
      </c>
    </row>
    <row r="83" spans="1:1" ht="52.5" customHeight="1" x14ac:dyDescent="0.2">
      <c r="A83" s="45" t="s">
        <v>853</v>
      </c>
    </row>
    <row r="84" spans="1:1" ht="81" customHeight="1" x14ac:dyDescent="0.2">
      <c r="A84" s="45" t="s">
        <v>854</v>
      </c>
    </row>
    <row r="85" spans="1:1" ht="129" customHeight="1" x14ac:dyDescent="0.2">
      <c r="A85" s="323" t="s">
        <v>855</v>
      </c>
    </row>
    <row r="86" spans="1:1" ht="130.5" customHeight="1" x14ac:dyDescent="0.2">
      <c r="A86" s="324" t="s">
        <v>856</v>
      </c>
    </row>
    <row r="87" spans="1:1" ht="70.5" customHeight="1" x14ac:dyDescent="0.2">
      <c r="A87" s="325" t="s">
        <v>857</v>
      </c>
    </row>
    <row r="88" spans="1:1" ht="12" customHeight="1" x14ac:dyDescent="0.2"/>
    <row r="89" spans="1:1" ht="54" customHeight="1" x14ac:dyDescent="0.2">
      <c r="A89" s="45" t="s">
        <v>836</v>
      </c>
    </row>
    <row r="90" spans="1:1" ht="72" customHeight="1" x14ac:dyDescent="0.2">
      <c r="A90" s="689" t="s">
        <v>910</v>
      </c>
    </row>
    <row r="91" spans="1:1" ht="38.25" customHeight="1" x14ac:dyDescent="0.2">
      <c r="A91" s="356" t="s">
        <v>911</v>
      </c>
    </row>
    <row r="92" spans="1:1" ht="36.75" customHeight="1" x14ac:dyDescent="0.2">
      <c r="A92" s="446" t="s">
        <v>912</v>
      </c>
    </row>
    <row r="93" spans="1:1" ht="131.25" customHeight="1" x14ac:dyDescent="0.2">
      <c r="A93" s="446" t="s">
        <v>913</v>
      </c>
    </row>
    <row r="94" spans="1:1" ht="153.75" customHeight="1" x14ac:dyDescent="0.2">
      <c r="A94" s="446" t="s">
        <v>914</v>
      </c>
    </row>
    <row r="95" spans="1:1" ht="92.25" customHeight="1" x14ac:dyDescent="0.2">
      <c r="A95" s="357" t="s">
        <v>915</v>
      </c>
    </row>
    <row r="96" spans="1:1" ht="89.25" customHeight="1" x14ac:dyDescent="0.2">
      <c r="A96" s="358" t="s">
        <v>916</v>
      </c>
    </row>
    <row r="97" spans="1:1" ht="12" customHeight="1" x14ac:dyDescent="0.2"/>
    <row r="98" spans="1:1" ht="127.5" customHeight="1" x14ac:dyDescent="0.2">
      <c r="A98" s="45" t="s">
        <v>837</v>
      </c>
    </row>
    <row r="99" spans="1:1" ht="117" customHeight="1" x14ac:dyDescent="0.2">
      <c r="A99" s="45" t="s">
        <v>838</v>
      </c>
    </row>
    <row r="100" spans="1:1" ht="56.25" customHeight="1" x14ac:dyDescent="0.2">
      <c r="A100" s="45" t="s">
        <v>839</v>
      </c>
    </row>
    <row r="101" spans="1:1" ht="26.25" customHeight="1" x14ac:dyDescent="0.2">
      <c r="A101" s="45" t="s">
        <v>840</v>
      </c>
    </row>
    <row r="102" spans="1:1" ht="14.25" customHeight="1" x14ac:dyDescent="0.2">
      <c r="A102" s="45"/>
    </row>
    <row r="103" spans="1:1" ht="68.25" customHeight="1" x14ac:dyDescent="0.2">
      <c r="A103" s="45" t="s">
        <v>841</v>
      </c>
    </row>
    <row r="105" spans="1:1" ht="63.75" customHeight="1" x14ac:dyDescent="0.2">
      <c r="A105" s="446" t="s">
        <v>842</v>
      </c>
    </row>
    <row r="106" spans="1:1" ht="105.75" customHeight="1" x14ac:dyDescent="0.2">
      <c r="A106" s="446" t="s">
        <v>843</v>
      </c>
    </row>
    <row r="107" spans="1:1" ht="130.5" customHeight="1" x14ac:dyDescent="0.2">
      <c r="A107" s="446" t="s">
        <v>844</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V51"/>
  <sheetViews>
    <sheetView topLeftCell="A18" workbookViewId="0">
      <selection activeCell="Q90" sqref="Q90"/>
    </sheetView>
  </sheetViews>
  <sheetFormatPr defaultColWidth="8.88671875" defaultRowHeight="15" customHeight="1" x14ac:dyDescent="0.2"/>
  <cols>
    <col min="1" max="1" width="10.77734375" style="57" customWidth="1"/>
    <col min="2" max="3" width="17.44140625" style="57" customWidth="1"/>
    <col min="4" max="4" width="10.77734375" style="57" customWidth="1"/>
    <col min="5" max="5" width="11" style="57" customWidth="1"/>
    <col min="6" max="9" width="10.77734375" style="57" customWidth="1"/>
    <col min="10" max="16384" width="8.88671875" style="57"/>
  </cols>
  <sheetData>
    <row r="1" spans="1:22" ht="15" customHeight="1" x14ac:dyDescent="0.2">
      <c r="A1" s="56"/>
      <c r="B1" s="56"/>
      <c r="C1" s="56"/>
      <c r="D1" s="56"/>
      <c r="E1" s="56"/>
      <c r="F1" s="56"/>
      <c r="G1" s="56"/>
      <c r="H1" s="56"/>
      <c r="I1" s="56"/>
    </row>
    <row r="2" spans="1:22" ht="15" customHeight="1" x14ac:dyDescent="0.2">
      <c r="A2" s="56"/>
      <c r="B2" s="173" t="str">
        <f>inputPrYr!D3</f>
        <v>City of Strong City</v>
      </c>
      <c r="C2" s="56"/>
      <c r="D2" s="56"/>
      <c r="E2" s="56"/>
      <c r="F2" s="185"/>
      <c r="G2" s="185"/>
      <c r="H2" s="185"/>
      <c r="I2" s="135"/>
    </row>
    <row r="3" spans="1:22" ht="15" customHeight="1" x14ac:dyDescent="0.2">
      <c r="A3" s="56"/>
      <c r="B3" s="56"/>
      <c r="C3" s="56"/>
      <c r="D3" s="56"/>
      <c r="E3" s="56"/>
      <c r="F3" s="56"/>
      <c r="G3" s="56"/>
      <c r="H3" s="56"/>
      <c r="I3" s="135">
        <f>inputPrYr!$C$6</f>
        <v>2020</v>
      </c>
    </row>
    <row r="4" spans="1:22" ht="20.25" customHeight="1" x14ac:dyDescent="0.2">
      <c r="A4" s="948" t="s">
        <v>995</v>
      </c>
      <c r="B4" s="948"/>
      <c r="C4" s="948"/>
      <c r="D4" s="948"/>
      <c r="E4" s="948"/>
      <c r="F4" s="948"/>
      <c r="G4" s="948"/>
      <c r="H4" s="948"/>
      <c r="I4" s="948"/>
      <c r="N4" s="949"/>
      <c r="O4" s="949"/>
      <c r="P4" s="949"/>
      <c r="Q4" s="949"/>
      <c r="R4" s="949"/>
      <c r="S4" s="949"/>
      <c r="T4" s="949"/>
      <c r="U4" s="949"/>
      <c r="V4" s="949"/>
    </row>
    <row r="5" spans="1:22" ht="15" customHeight="1" x14ac:dyDescent="0.2">
      <c r="A5" s="56"/>
      <c r="B5" s="64"/>
      <c r="C5" s="63"/>
      <c r="D5" s="63"/>
      <c r="E5" s="63"/>
      <c r="F5" s="56"/>
      <c r="G5" s="56"/>
      <c r="H5" s="56"/>
      <c r="I5" s="56"/>
    </row>
    <row r="6" spans="1:22" ht="15" customHeight="1" x14ac:dyDescent="0.2">
      <c r="A6" s="56"/>
      <c r="B6" s="56"/>
      <c r="C6" s="56"/>
      <c r="D6" s="56"/>
      <c r="E6" s="56"/>
      <c r="F6" s="56"/>
      <c r="G6" s="56"/>
      <c r="H6" s="56"/>
      <c r="I6" s="56"/>
    </row>
    <row r="7" spans="1:22" ht="15.95" customHeight="1" x14ac:dyDescent="0.2">
      <c r="A7" s="56"/>
      <c r="B7" s="186" t="s">
        <v>770</v>
      </c>
      <c r="C7" s="663" t="s">
        <v>994</v>
      </c>
      <c r="D7" s="945" t="str">
        <f>CONCATENATE("Allocation for Proposed Year ",I3,"")</f>
        <v>Allocation for Proposed Year 2020</v>
      </c>
      <c r="E7" s="946"/>
      <c r="F7" s="946"/>
      <c r="G7" s="946"/>
      <c r="H7" s="947"/>
      <c r="I7" s="56"/>
    </row>
    <row r="8" spans="1:22" ht="23.25" customHeight="1" x14ac:dyDescent="0.2">
      <c r="A8" s="56"/>
      <c r="B8" s="187" t="str">
        <f>CONCATENATE("for ",I3-1,"")</f>
        <v>for 2019</v>
      </c>
      <c r="C8" s="187" t="str">
        <f>CONCATENATE("Tax Year ",I3-2,"")</f>
        <v>Tax Year 2018</v>
      </c>
      <c r="D8" s="151" t="s">
        <v>217</v>
      </c>
      <c r="E8" s="151" t="s">
        <v>216</v>
      </c>
      <c r="F8" s="151" t="s">
        <v>215</v>
      </c>
      <c r="G8" s="151" t="s">
        <v>990</v>
      </c>
      <c r="H8" s="151" t="s">
        <v>991</v>
      </c>
      <c r="I8" s="591"/>
    </row>
    <row r="9" spans="1:22" ht="15" customHeight="1" x14ac:dyDescent="0.2">
      <c r="A9" s="56"/>
      <c r="B9" s="71" t="s">
        <v>119</v>
      </c>
      <c r="C9" s="188">
        <f>IF((inputPrYr!E22)&gt;0,(inputPrYr!E22),"  ")</f>
        <v>110544</v>
      </c>
      <c r="D9" s="188">
        <f>IF(inputPrYr!E22&gt;0,D18-SUM(D10:D15),0)</f>
        <v>16244</v>
      </c>
      <c r="E9" s="188">
        <f>IF(inputPrYr!E22=0,0,E20-SUM(E10:E15))</f>
        <v>324</v>
      </c>
      <c r="F9" s="188">
        <f>IF(inputPrYr!E22=0,0,F22-SUM(F10:F15))</f>
        <v>76</v>
      </c>
      <c r="G9" s="188">
        <f>IF(inputPrYr!E22=0,0,G24-SUM(G10:G15))</f>
        <v>1536</v>
      </c>
      <c r="H9" s="188">
        <f>IF(inputPrYr!E22=0,0,H26-SUM(H10:H15))</f>
        <v>51</v>
      </c>
      <c r="I9" s="592"/>
    </row>
    <row r="10" spans="1:22" ht="15" customHeight="1" x14ac:dyDescent="0.2">
      <c r="A10" s="56"/>
      <c r="B10" s="71" t="str">
        <f>IF(inputPrYr!B23&gt;" ",inputPrYr!B23," ")</f>
        <v>Debt Service</v>
      </c>
      <c r="C10" s="188" t="str">
        <f>IF((inputPrYr!E23)&gt;0,(inputPrYr!E23),"  ")</f>
        <v xml:space="preserve">  </v>
      </c>
      <c r="D10" s="188" t="str">
        <f>IF(inputPrYr!$E23&gt;0,ROUND(C10*D$30,0),"  ")</f>
        <v xml:space="preserve">  </v>
      </c>
      <c r="E10" s="188" t="str">
        <f>IF(inputPrYr!$E23&gt;0,ROUND(+C10*E$32,0),"  ")</f>
        <v xml:space="preserve">  </v>
      </c>
      <c r="F10" s="188" t="str">
        <f>IF(inputPrYr!E23&gt;0,ROUND(C10*F$34,0),"  ")</f>
        <v xml:space="preserve">  </v>
      </c>
      <c r="G10" s="188" t="str">
        <f>IF(inputPrYr!E23&gt;0,ROUND(C10*G$36,0),"  ")</f>
        <v xml:space="preserve">  </v>
      </c>
      <c r="H10" s="188" t="str">
        <f>IF(inputPrYr!E23&gt;0,ROUND(C10*H$38,0),"  ")</f>
        <v xml:space="preserve">  </v>
      </c>
      <c r="I10" s="592"/>
    </row>
    <row r="11" spans="1:22" ht="15" customHeight="1" x14ac:dyDescent="0.2">
      <c r="A11" s="56"/>
      <c r="B11" s="92" t="str">
        <f>IF((inputPrYr!$B24&gt;"  "),(inputPrYr!$B24),"  ")</f>
        <v>Library</v>
      </c>
      <c r="C11" s="188" t="str">
        <f>IF((inputPrYr!E24)&gt;0,(inputPrYr!E24),"  ")</f>
        <v xml:space="preserve">  </v>
      </c>
      <c r="D11" s="188" t="str">
        <f>IF(inputPrYr!$E24&gt;0,ROUND(C11*D$30,0),"  ")</f>
        <v xml:space="preserve">  </v>
      </c>
      <c r="E11" s="188" t="str">
        <f>IF(inputPrYr!$E24&gt;0,ROUND(+C11*E$32,0),"  ")</f>
        <v xml:space="preserve">  </v>
      </c>
      <c r="F11" s="188" t="str">
        <f>IF(inputPrYr!E24&gt;0,ROUND(C11*F$34,0),"  ")</f>
        <v xml:space="preserve">  </v>
      </c>
      <c r="G11" s="188" t="str">
        <f>IF(inputPrYr!E24&gt;0,ROUND(C11*G$36,0),"  ")</f>
        <v xml:space="preserve">  </v>
      </c>
      <c r="H11" s="188" t="str">
        <f>IF(inputPrYr!E24&gt;0,ROUND(C11*H$38,0),"  ")</f>
        <v xml:space="preserve">  </v>
      </c>
      <c r="I11" s="592"/>
    </row>
    <row r="12" spans="1:22" ht="15" customHeight="1" x14ac:dyDescent="0.2">
      <c r="A12" s="56"/>
      <c r="B12" s="92" t="str">
        <f>IF((inputPrYr!$B26&gt;"  "),(inputPrYr!$B26),"  ")</f>
        <v xml:space="preserve">  </v>
      </c>
      <c r="C12" s="188" t="str">
        <f>IF((inputPrYr!E26)&gt;0,(inputPrYr!E26),"  ")</f>
        <v xml:space="preserve">  </v>
      </c>
      <c r="D12" s="188" t="str">
        <f>IF(inputPrYr!$E26&gt;0,ROUND(C12*D$30,0),"  ")</f>
        <v xml:space="preserve">  </v>
      </c>
      <c r="E12" s="188" t="str">
        <f>IF(inputPrYr!$E26&gt;0,ROUND(+C12*E$32,0),"  ")</f>
        <v xml:space="preserve">  </v>
      </c>
      <c r="F12" s="188" t="str">
        <f>IF(inputPrYr!E26&gt;0,ROUND(C12*F$34,0),"  ")</f>
        <v xml:space="preserve">  </v>
      </c>
      <c r="G12" s="188" t="str">
        <f>IF(inputPrYr!E26&gt;0,ROUND(C12*G$36,0),"  ")</f>
        <v xml:space="preserve">  </v>
      </c>
      <c r="H12" s="188" t="str">
        <f>IF(inputPrYr!E26&gt;0,ROUND(C12*H$38,0),"  ")</f>
        <v xml:space="preserve">  </v>
      </c>
      <c r="I12" s="592"/>
    </row>
    <row r="13" spans="1:22" ht="15" customHeight="1" x14ac:dyDescent="0.2">
      <c r="A13" s="56"/>
      <c r="B13" s="92" t="str">
        <f>IF((inputPrYr!$B27&gt;"  "),(inputPrYr!$B27),"  ")</f>
        <v xml:space="preserve">  </v>
      </c>
      <c r="C13" s="188" t="str">
        <f>IF((inputPrYr!E27)&gt;0,(inputPrYr!E27),"  ")</f>
        <v xml:space="preserve">  </v>
      </c>
      <c r="D13" s="188" t="str">
        <f>IF(inputPrYr!$E27&gt;0,ROUND(C13*D$30,0),"  ")</f>
        <v xml:space="preserve">  </v>
      </c>
      <c r="E13" s="188" t="str">
        <f>IF(inputPrYr!$E27&gt;0,ROUND(+C13*E$32,0),"  ")</f>
        <v xml:space="preserve">  </v>
      </c>
      <c r="F13" s="188" t="str">
        <f>IF(inputPrYr!E27&gt;0,ROUND(C13*F$34,0),"  ")</f>
        <v xml:space="preserve">  </v>
      </c>
      <c r="G13" s="188" t="str">
        <f>IF(inputPrYr!E27&gt;0,ROUND(C13*G$36,0),"  ")</f>
        <v xml:space="preserve">  </v>
      </c>
      <c r="H13" s="188" t="str">
        <f>IF(inputPrYr!E27&gt;0,ROUND(C13*H$3385,0),"  ")</f>
        <v xml:space="preserve">  </v>
      </c>
      <c r="I13" s="592"/>
    </row>
    <row r="14" spans="1:22" ht="15" customHeight="1" x14ac:dyDescent="0.2">
      <c r="A14" s="56"/>
      <c r="B14" s="92" t="str">
        <f>IF((inputPrYr!$B28&gt;"  "),(inputPrYr!$B28),"  ")</f>
        <v xml:space="preserve">  </v>
      </c>
      <c r="C14" s="188" t="str">
        <f>IF((inputPrYr!E28)&gt;0,(inputPrYr!E28),"  ")</f>
        <v xml:space="preserve">  </v>
      </c>
      <c r="D14" s="188" t="str">
        <f>IF(inputPrYr!$E28&gt;0,ROUND(C14*D$30,0),"  ")</f>
        <v xml:space="preserve">  </v>
      </c>
      <c r="E14" s="188" t="str">
        <f>IF(inputPrYr!$E28&gt;0,ROUND(+C14*E$32,0),"  ")</f>
        <v xml:space="preserve">  </v>
      </c>
      <c r="F14" s="188" t="str">
        <f>IF(inputPrYr!E28&gt;0,ROUND(C14*F$34,0),"  ")</f>
        <v xml:space="preserve">  </v>
      </c>
      <c r="G14" s="188" t="str">
        <f>IF(inputPrYr!E28&gt;0,ROUND(C14*G$36,0),"  ")</f>
        <v xml:space="preserve">  </v>
      </c>
      <c r="H14" s="188" t="str">
        <f>IF(inputPrYr!E28&gt;0,ROUND(C14*H$38,0),"  ")</f>
        <v xml:space="preserve">  </v>
      </c>
      <c r="I14" s="592"/>
    </row>
    <row r="15" spans="1:22" ht="15" customHeight="1" x14ac:dyDescent="0.2">
      <c r="A15" s="56"/>
      <c r="B15" s="92" t="str">
        <f>IF((inputPrYr!$B29&gt;"  "),(inputPrYr!$B29),"  ")</f>
        <v xml:space="preserve">  </v>
      </c>
      <c r="C15" s="188" t="str">
        <f>IF((inputPrYr!E29)&gt;0,(inputPrYr!E29),"  ")</f>
        <v xml:space="preserve">  </v>
      </c>
      <c r="D15" s="188" t="str">
        <f>IF(inputPrYr!$E29&gt;0,ROUND(C15*D$30,0),"  ")</f>
        <v xml:space="preserve">  </v>
      </c>
      <c r="E15" s="188" t="str">
        <f>IF(inputPrYr!$E29&gt;0,ROUND(+C15*E$32,0),"  ")</f>
        <v xml:space="preserve">  </v>
      </c>
      <c r="F15" s="188" t="str">
        <f>IF(inputPrYr!E29&gt;0,ROUND(C15*F$34,0),"  ")</f>
        <v xml:space="preserve">  </v>
      </c>
      <c r="G15" s="188" t="str">
        <f>IF(inputPrYr!E29&gt;0,ROUND(C15*G$36,0),"  ")</f>
        <v xml:space="preserve">  </v>
      </c>
      <c r="H15" s="188" t="str">
        <f>IF(inputPrYr!E29&gt;0,ROUND(C15*H$38,0),"  ")</f>
        <v xml:space="preserve">  </v>
      </c>
      <c r="I15" s="592"/>
    </row>
    <row r="16" spans="1:22" ht="16.5" customHeight="1" thickBot="1" x14ac:dyDescent="0.25">
      <c r="A16" s="56"/>
      <c r="B16" s="72" t="s">
        <v>146</v>
      </c>
      <c r="C16" s="189">
        <f t="shared" ref="C16:H16" si="0">SUM(C9:C15)</f>
        <v>110544</v>
      </c>
      <c r="D16" s="189">
        <f t="shared" si="0"/>
        <v>16244</v>
      </c>
      <c r="E16" s="189">
        <f t="shared" si="0"/>
        <v>324</v>
      </c>
      <c r="F16" s="189">
        <f t="shared" si="0"/>
        <v>76</v>
      </c>
      <c r="G16" s="189">
        <f t="shared" si="0"/>
        <v>1536</v>
      </c>
      <c r="H16" s="189">
        <f t="shared" si="0"/>
        <v>51</v>
      </c>
      <c r="I16" s="592"/>
    </row>
    <row r="17" spans="1:9" ht="15" customHeight="1" thickTop="1" x14ac:dyDescent="0.2">
      <c r="A17" s="56"/>
      <c r="B17" s="56"/>
      <c r="C17" s="56"/>
      <c r="D17" s="56"/>
      <c r="E17" s="56"/>
      <c r="F17" s="56"/>
      <c r="G17" s="56"/>
      <c r="H17" s="56"/>
      <c r="I17" s="56"/>
    </row>
    <row r="18" spans="1:9" ht="15" customHeight="1" x14ac:dyDescent="0.2">
      <c r="A18" s="56"/>
      <c r="B18" s="59" t="s">
        <v>147</v>
      </c>
      <c r="C18" s="190"/>
      <c r="D18" s="178">
        <f>(inputOth!E34)</f>
        <v>16244</v>
      </c>
      <c r="E18" s="190"/>
      <c r="F18" s="56"/>
      <c r="G18" s="56"/>
      <c r="H18" s="56"/>
      <c r="I18" s="56"/>
    </row>
    <row r="19" spans="1:9" ht="15" customHeight="1" x14ac:dyDescent="0.2">
      <c r="A19" s="56"/>
      <c r="B19" s="56"/>
      <c r="C19" s="56"/>
      <c r="D19" s="56"/>
      <c r="E19" s="56"/>
      <c r="F19" s="56"/>
      <c r="G19" s="56"/>
      <c r="H19" s="56"/>
      <c r="I19" s="56"/>
    </row>
    <row r="20" spans="1:9" ht="15" customHeight="1" x14ac:dyDescent="0.2">
      <c r="A20" s="56"/>
      <c r="B20" s="59" t="s">
        <v>982</v>
      </c>
      <c r="C20" s="56"/>
      <c r="D20" s="56"/>
      <c r="E20" s="178">
        <f>(inputOth!E35)</f>
        <v>324</v>
      </c>
      <c r="F20" s="56"/>
      <c r="G20" s="56"/>
      <c r="H20" s="56"/>
      <c r="I20" s="56"/>
    </row>
    <row r="21" spans="1:9" ht="15" customHeight="1" x14ac:dyDescent="0.2">
      <c r="A21" s="56"/>
      <c r="B21" s="56"/>
      <c r="C21" s="56"/>
      <c r="D21" s="56"/>
      <c r="E21" s="56"/>
      <c r="F21" s="56"/>
      <c r="G21" s="56"/>
      <c r="H21" s="56"/>
      <c r="I21" s="56"/>
    </row>
    <row r="22" spans="1:9" ht="15.6" customHeight="1" x14ac:dyDescent="0.2">
      <c r="A22" s="56"/>
      <c r="B22" s="59" t="s">
        <v>983</v>
      </c>
      <c r="C22" s="56"/>
      <c r="D22" s="56"/>
      <c r="E22" s="56"/>
      <c r="F22" s="178">
        <f>inputOth!E36</f>
        <v>76</v>
      </c>
      <c r="G22" s="179"/>
      <c r="H22" s="179"/>
      <c r="I22" s="56"/>
    </row>
    <row r="23" spans="1:9" ht="15" customHeight="1" x14ac:dyDescent="0.2">
      <c r="A23" s="56"/>
      <c r="B23" s="56"/>
      <c r="C23" s="56"/>
      <c r="D23" s="56"/>
      <c r="E23" s="56"/>
      <c r="F23" s="56"/>
      <c r="G23" s="56"/>
      <c r="H23" s="56"/>
      <c r="I23" s="56"/>
    </row>
    <row r="24" spans="1:9" ht="15" customHeight="1" x14ac:dyDescent="0.2">
      <c r="A24" s="56"/>
      <c r="B24" s="56" t="s">
        <v>984</v>
      </c>
      <c r="C24" s="56"/>
      <c r="D24" s="56"/>
      <c r="E24" s="56"/>
      <c r="F24" s="56"/>
      <c r="G24" s="178">
        <f>inputOth!E37</f>
        <v>1536</v>
      </c>
      <c r="H24" s="179"/>
      <c r="I24" s="179"/>
    </row>
    <row r="25" spans="1:9" ht="15" customHeight="1" x14ac:dyDescent="0.2">
      <c r="A25" s="56"/>
      <c r="B25" s="56"/>
      <c r="C25" s="56"/>
      <c r="D25" s="56"/>
      <c r="E25" s="56"/>
      <c r="F25" s="56"/>
      <c r="G25" s="56"/>
      <c r="H25" s="56"/>
      <c r="I25" s="179"/>
    </row>
    <row r="26" spans="1:9" ht="15" customHeight="1" x14ac:dyDescent="0.2">
      <c r="A26" s="56"/>
      <c r="B26" s="56" t="s">
        <v>985</v>
      </c>
      <c r="C26" s="56"/>
      <c r="D26" s="56"/>
      <c r="E26" s="56"/>
      <c r="F26" s="56"/>
      <c r="G26" s="56"/>
      <c r="H26" s="178">
        <f>inputOth!E38</f>
        <v>51</v>
      </c>
      <c r="I26" s="179"/>
    </row>
    <row r="27" spans="1:9" ht="15" customHeight="1" x14ac:dyDescent="0.2">
      <c r="A27" s="56"/>
      <c r="B27" s="56"/>
      <c r="C27" s="56"/>
      <c r="D27" s="56"/>
      <c r="E27" s="56"/>
      <c r="F27" s="56"/>
      <c r="G27" s="56"/>
      <c r="H27" s="56"/>
      <c r="I27" s="179"/>
    </row>
    <row r="28" spans="1:9" ht="15" customHeight="1" x14ac:dyDescent="0.2">
      <c r="A28" s="56"/>
      <c r="B28" s="56"/>
      <c r="C28" s="56"/>
      <c r="D28" s="56"/>
      <c r="E28" s="56"/>
      <c r="F28" s="56"/>
      <c r="G28" s="56"/>
      <c r="H28" s="56"/>
      <c r="I28" s="179"/>
    </row>
    <row r="29" spans="1:9" ht="15" customHeight="1" x14ac:dyDescent="0.2">
      <c r="A29" s="56"/>
      <c r="B29" s="56"/>
      <c r="C29" s="56"/>
      <c r="D29" s="56"/>
      <c r="E29" s="56"/>
      <c r="F29" s="56"/>
      <c r="G29" s="56"/>
      <c r="H29" s="56"/>
      <c r="I29" s="56"/>
    </row>
    <row r="30" spans="1:9" ht="15" customHeight="1" x14ac:dyDescent="0.2">
      <c r="A30" s="56"/>
      <c r="B30" s="59" t="s">
        <v>148</v>
      </c>
      <c r="C30" s="56"/>
      <c r="D30" s="182">
        <f>IF(C16=0,0,D18/C16)</f>
        <v>0.14694601244753219</v>
      </c>
      <c r="E30" s="56"/>
      <c r="F30" s="56"/>
      <c r="G30" s="56"/>
      <c r="H30" s="56"/>
      <c r="I30" s="56"/>
    </row>
    <row r="31" spans="1:9" ht="15" customHeight="1" x14ac:dyDescent="0.2">
      <c r="A31" s="56"/>
      <c r="B31" s="56"/>
      <c r="C31" s="56"/>
      <c r="D31" s="56"/>
      <c r="E31" s="56"/>
      <c r="F31" s="56"/>
      <c r="G31" s="56"/>
      <c r="H31" s="56"/>
      <c r="I31" s="56"/>
    </row>
    <row r="32" spans="1:9" ht="15" customHeight="1" x14ac:dyDescent="0.2">
      <c r="A32" s="56"/>
      <c r="B32" s="59"/>
      <c r="C32" s="59" t="s">
        <v>149</v>
      </c>
      <c r="D32" s="56"/>
      <c r="E32" s="182">
        <f>IF(C16=0,0,E20/C16)</f>
        <v>2.9309596178897089E-3</v>
      </c>
      <c r="F32" s="56"/>
      <c r="G32" s="56"/>
      <c r="H32" s="56"/>
      <c r="I32" s="56"/>
    </row>
    <row r="33" spans="1:9" ht="15" customHeight="1" x14ac:dyDescent="0.2">
      <c r="A33" s="56"/>
      <c r="B33" s="56"/>
      <c r="C33" s="56"/>
      <c r="D33" s="56"/>
      <c r="E33" s="56"/>
      <c r="F33" s="56"/>
      <c r="G33" s="56"/>
      <c r="H33" s="56"/>
      <c r="I33" s="56"/>
    </row>
    <row r="34" spans="1:9" ht="15" customHeight="1" x14ac:dyDescent="0.2">
      <c r="A34" s="56"/>
      <c r="B34" s="56"/>
      <c r="C34" s="56"/>
      <c r="D34" s="56" t="s">
        <v>214</v>
      </c>
      <c r="E34" s="56"/>
      <c r="F34" s="182">
        <f>IF(C16=0,0,F22/C16)</f>
        <v>6.8750904617166013E-4</v>
      </c>
      <c r="G34" s="753"/>
      <c r="H34" s="753"/>
      <c r="I34" s="56"/>
    </row>
    <row r="35" spans="1:9" ht="15" customHeight="1" x14ac:dyDescent="0.2">
      <c r="A35" s="56"/>
      <c r="B35" s="99"/>
      <c r="C35" s="99"/>
      <c r="D35" s="99"/>
      <c r="E35" s="99"/>
      <c r="F35" s="99"/>
      <c r="G35" s="99"/>
      <c r="H35" s="99"/>
      <c r="I35" s="99"/>
    </row>
    <row r="36" spans="1:9" ht="15" customHeight="1" x14ac:dyDescent="0.2">
      <c r="A36" s="56"/>
      <c r="B36" s="99"/>
      <c r="C36" s="99"/>
      <c r="D36" s="99"/>
      <c r="E36" s="99" t="s">
        <v>986</v>
      </c>
      <c r="F36" s="99"/>
      <c r="G36" s="182">
        <f>IF(C16=0,0,G24/C16)</f>
        <v>1.3894919669995658E-2</v>
      </c>
      <c r="H36" s="99"/>
      <c r="I36" s="99"/>
    </row>
    <row r="37" spans="1:9" ht="15" customHeight="1" x14ac:dyDescent="0.2">
      <c r="A37" s="56"/>
      <c r="B37" s="99"/>
      <c r="C37" s="99"/>
      <c r="D37" s="99"/>
      <c r="E37" s="99"/>
      <c r="F37" s="99"/>
      <c r="G37" s="99"/>
      <c r="H37" s="99"/>
      <c r="I37" s="99"/>
    </row>
    <row r="38" spans="1:9" ht="15" customHeight="1" x14ac:dyDescent="0.2">
      <c r="A38" s="56"/>
      <c r="B38" s="99"/>
      <c r="C38" s="99"/>
      <c r="D38" s="99"/>
      <c r="E38" s="99"/>
      <c r="F38" s="99" t="s">
        <v>987</v>
      </c>
      <c r="G38" s="99"/>
      <c r="H38" s="182">
        <f>IF(C16=0,0,H26/C16)</f>
        <v>4.6135475466782457E-4</v>
      </c>
      <c r="I38" s="99"/>
    </row>
    <row r="39" spans="1:9" ht="15" customHeight="1" x14ac:dyDescent="0.2">
      <c r="A39" s="56"/>
      <c r="B39" s="99"/>
      <c r="C39" s="99"/>
      <c r="D39" s="99"/>
      <c r="E39" s="99"/>
      <c r="F39" s="99"/>
      <c r="G39" s="99"/>
      <c r="H39" s="753"/>
      <c r="I39" s="99"/>
    </row>
    <row r="40" spans="1:9" ht="15" customHeight="1" x14ac:dyDescent="0.2">
      <c r="A40" s="56"/>
      <c r="B40" s="99"/>
      <c r="C40" s="99"/>
      <c r="D40" s="99"/>
      <c r="E40" s="99"/>
      <c r="F40" s="99"/>
      <c r="G40" s="99"/>
      <c r="H40" s="99"/>
      <c r="I40" s="99"/>
    </row>
    <row r="42" spans="1:9" ht="16.5" customHeight="1" x14ac:dyDescent="0.2"/>
    <row r="43" spans="1:9" ht="15.95" customHeight="1" x14ac:dyDescent="0.2"/>
    <row r="44" spans="1:9" s="191" customFormat="1" ht="15.95" customHeight="1" x14ac:dyDescent="0.2">
      <c r="A44" s="57"/>
      <c r="B44" s="57"/>
      <c r="C44" s="57"/>
      <c r="D44" s="57"/>
      <c r="E44" s="57"/>
      <c r="F44" s="57"/>
      <c r="G44" s="57"/>
      <c r="H44" s="57"/>
      <c r="I44" s="57"/>
    </row>
    <row r="45" spans="1:9" ht="18.75" customHeight="1" x14ac:dyDescent="0.2"/>
    <row r="46" spans="1:9" ht="15" customHeight="1" x14ac:dyDescent="0.2">
      <c r="A46" s="191"/>
      <c r="B46" s="191"/>
      <c r="C46" s="191"/>
      <c r="D46" s="191"/>
      <c r="E46" s="191"/>
      <c r="F46" s="191"/>
      <c r="G46" s="191"/>
      <c r="H46" s="191"/>
      <c r="I46" s="191"/>
    </row>
    <row r="51" ht="17.25" customHeight="1" x14ac:dyDescent="0.2"/>
  </sheetData>
  <sheetProtection sheet="1"/>
  <mergeCells count="3">
    <mergeCell ref="D7:H7"/>
    <mergeCell ref="A4:I4"/>
    <mergeCell ref="N4:V4"/>
  </mergeCells>
  <phoneticPr fontId="0" type="noConversion"/>
  <pageMargins left="0.7" right="0.7" top="0.75" bottom="0.75" header="0.3" footer="0.3"/>
  <pageSetup scale="82" fitToWidth="0" orientation="landscape" blackAndWhite="1" horizontalDpi="120" verticalDpi="144" r:id="rId1"/>
  <headerFooter alignWithMargins="0">
    <oddHeader xml:space="preserve">&amp;RState of Kansas
City
</oddHeader>
    <oddFooter>&amp;CPage No.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1:F20"/>
  <sheetViews>
    <sheetView workbookViewId="0">
      <selection activeCell="F10" sqref="F10"/>
    </sheetView>
  </sheetViews>
  <sheetFormatPr defaultColWidth="8.88671875" defaultRowHeight="15" x14ac:dyDescent="0.2"/>
  <cols>
    <col min="1" max="2" width="17.77734375" style="105" customWidth="1"/>
    <col min="3" max="6" width="12.77734375" style="105" customWidth="1"/>
    <col min="7" max="16384" width="8.88671875" style="105"/>
  </cols>
  <sheetData>
    <row r="1" spans="1:6" ht="15.75" x14ac:dyDescent="0.2">
      <c r="A1" s="173" t="str">
        <f>inputPrYr!D3</f>
        <v>City of Strong City</v>
      </c>
      <c r="B1" s="56"/>
      <c r="C1" s="56"/>
      <c r="D1" s="56"/>
      <c r="E1" s="56"/>
      <c r="F1" s="56">
        <f>inputPrYr!C6</f>
        <v>2020</v>
      </c>
    </row>
    <row r="2" spans="1:6" ht="15.75" x14ac:dyDescent="0.2">
      <c r="A2" s="56"/>
      <c r="B2" s="56"/>
      <c r="C2" s="56"/>
      <c r="D2" s="56"/>
      <c r="E2" s="56"/>
      <c r="F2" s="56"/>
    </row>
    <row r="3" spans="1:6" ht="15.75" x14ac:dyDescent="0.2">
      <c r="A3" s="937" t="s">
        <v>262</v>
      </c>
      <c r="B3" s="937"/>
      <c r="C3" s="937"/>
      <c r="D3" s="937"/>
      <c r="E3" s="937"/>
      <c r="F3" s="937"/>
    </row>
    <row r="4" spans="1:6" ht="15.75" x14ac:dyDescent="0.2">
      <c r="A4" s="192"/>
      <c r="B4" s="192"/>
      <c r="C4" s="192"/>
      <c r="D4" s="192"/>
      <c r="E4" s="192"/>
      <c r="F4" s="192"/>
    </row>
    <row r="5" spans="1:6" ht="15.75" x14ac:dyDescent="0.2">
      <c r="A5" s="193" t="s">
        <v>592</v>
      </c>
      <c r="B5" s="193" t="s">
        <v>594</v>
      </c>
      <c r="C5" s="193" t="s">
        <v>166</v>
      </c>
      <c r="D5" s="193" t="s">
        <v>271</v>
      </c>
      <c r="E5" s="193" t="s">
        <v>272</v>
      </c>
      <c r="F5" s="193" t="s">
        <v>283</v>
      </c>
    </row>
    <row r="6" spans="1:6" ht="15.75" x14ac:dyDescent="0.2">
      <c r="A6" s="194" t="s">
        <v>591</v>
      </c>
      <c r="B6" s="194" t="s">
        <v>593</v>
      </c>
      <c r="C6" s="194" t="s">
        <v>282</v>
      </c>
      <c r="D6" s="194" t="s">
        <v>282</v>
      </c>
      <c r="E6" s="194" t="s">
        <v>282</v>
      </c>
      <c r="F6" s="194" t="s">
        <v>273</v>
      </c>
    </row>
    <row r="7" spans="1:6" ht="15.75" x14ac:dyDescent="0.2">
      <c r="A7" s="195" t="s">
        <v>280</v>
      </c>
      <c r="B7" s="195" t="s">
        <v>281</v>
      </c>
      <c r="C7" s="196">
        <f>F1-2</f>
        <v>2018</v>
      </c>
      <c r="D7" s="196">
        <f>F1-1</f>
        <v>2019</v>
      </c>
      <c r="E7" s="196">
        <f>F1</f>
        <v>2020</v>
      </c>
      <c r="F7" s="195" t="s">
        <v>274</v>
      </c>
    </row>
    <row r="8" spans="1:6" ht="15.75" x14ac:dyDescent="0.2">
      <c r="A8" s="197" t="s">
        <v>119</v>
      </c>
      <c r="B8" s="197" t="s">
        <v>1095</v>
      </c>
      <c r="C8" s="198">
        <v>3600</v>
      </c>
      <c r="D8" s="198">
        <v>3600</v>
      </c>
      <c r="E8" s="198">
        <v>3600</v>
      </c>
      <c r="F8" s="197" t="s">
        <v>1096</v>
      </c>
    </row>
    <row r="9" spans="1:6" ht="15.75" x14ac:dyDescent="0.2">
      <c r="A9" s="199" t="s">
        <v>1086</v>
      </c>
      <c r="B9" s="199" t="s">
        <v>1095</v>
      </c>
      <c r="C9" s="200">
        <v>2000</v>
      </c>
      <c r="D9" s="200">
        <v>2000</v>
      </c>
      <c r="E9" s="200">
        <v>2000</v>
      </c>
      <c r="F9" s="199" t="s">
        <v>1096</v>
      </c>
    </row>
    <row r="10" spans="1:6" ht="15.75" x14ac:dyDescent="0.2">
      <c r="A10" s="199"/>
      <c r="B10" s="199"/>
      <c r="C10" s="200"/>
      <c r="D10" s="200"/>
      <c r="E10" s="200"/>
      <c r="F10" s="199"/>
    </row>
    <row r="11" spans="1:6" ht="15.75" x14ac:dyDescent="0.2">
      <c r="A11" s="199"/>
      <c r="B11" s="199"/>
      <c r="C11" s="200"/>
      <c r="D11" s="200"/>
      <c r="E11" s="200"/>
      <c r="F11" s="199"/>
    </row>
    <row r="12" spans="1:6" ht="15.75" x14ac:dyDescent="0.2">
      <c r="A12" s="199"/>
      <c r="B12" s="199"/>
      <c r="C12" s="200"/>
      <c r="D12" s="200"/>
      <c r="E12" s="200"/>
      <c r="F12" s="199"/>
    </row>
    <row r="13" spans="1:6" ht="15.75" x14ac:dyDescent="0.2">
      <c r="A13" s="172"/>
      <c r="B13" s="201" t="s">
        <v>150</v>
      </c>
      <c r="C13" s="202">
        <f>SUM(C8:C12)</f>
        <v>5600</v>
      </c>
      <c r="D13" s="202">
        <f>SUM(D8:D12)</f>
        <v>5600</v>
      </c>
      <c r="E13" s="202">
        <f>SUM(E8:E12)</f>
        <v>5600</v>
      </c>
      <c r="F13" s="172"/>
    </row>
    <row r="14" spans="1:6" ht="15.75" x14ac:dyDescent="0.2">
      <c r="A14" s="172"/>
      <c r="B14" s="203" t="s">
        <v>590</v>
      </c>
      <c r="C14" s="204"/>
      <c r="D14" s="205"/>
      <c r="E14" s="205"/>
      <c r="F14" s="172"/>
    </row>
    <row r="15" spans="1:6" ht="15.75" x14ac:dyDescent="0.2">
      <c r="A15" s="172"/>
      <c r="B15" s="201" t="s">
        <v>110</v>
      </c>
      <c r="C15" s="202">
        <f>C13</f>
        <v>5600</v>
      </c>
      <c r="D15" s="202">
        <f>SUM(D13-D14)</f>
        <v>5600</v>
      </c>
      <c r="E15" s="202">
        <f>SUM(E13-E14)</f>
        <v>5600</v>
      </c>
      <c r="F15" s="172"/>
    </row>
    <row r="16" spans="1:6" ht="15.75" x14ac:dyDescent="0.2">
      <c r="A16" s="99"/>
      <c r="B16" s="99"/>
      <c r="C16" s="99"/>
      <c r="D16" s="99"/>
      <c r="E16" s="99"/>
      <c r="F16" s="99"/>
    </row>
    <row r="17" spans="1:6" ht="15.75" x14ac:dyDescent="0.2">
      <c r="A17" s="99"/>
      <c r="B17" s="99"/>
      <c r="C17" s="99"/>
      <c r="D17" s="99"/>
      <c r="E17" s="99"/>
      <c r="F17" s="99"/>
    </row>
    <row r="18" spans="1:6" ht="15.75" x14ac:dyDescent="0.2">
      <c r="A18" s="366" t="s">
        <v>595</v>
      </c>
      <c r="B18" s="365" t="str">
        <f>CONCATENATE("Adjustments are required only if the transfer is being made in ",D7," and/or ",E7," from a non-budgeted fund.")</f>
        <v>Adjustments are required only if the transfer is being made in 2019 and/or 2020 from a non-budgeted fund.</v>
      </c>
      <c r="C18" s="99"/>
      <c r="D18" s="99"/>
      <c r="E18" s="99"/>
      <c r="F18" s="99"/>
    </row>
    <row r="19" spans="1:6" ht="15.75" x14ac:dyDescent="0.2">
      <c r="A19" s="99"/>
      <c r="B19" s="99"/>
      <c r="C19" s="99"/>
      <c r="D19" s="99"/>
      <c r="E19" s="99"/>
      <c r="F19" s="99"/>
    </row>
    <row r="20" spans="1:6" ht="15.75" x14ac:dyDescent="0.2">
      <c r="A20" s="99"/>
      <c r="B20" s="99"/>
      <c r="C20" s="99"/>
      <c r="D20" s="99"/>
      <c r="E20" s="99"/>
      <c r="F20" s="99"/>
    </row>
  </sheetData>
  <sheetProtection sheet="1"/>
  <mergeCells count="1">
    <mergeCell ref="A3:F3"/>
  </mergeCells>
  <phoneticPr fontId="10" type="noConversion"/>
  <pageMargins left="0.75" right="0.75" top="1" bottom="1" header="0.5" footer="0.5"/>
  <pageSetup scale="78" orientation="portrait" blackAndWhite="1" r:id="rId1"/>
  <headerFooter alignWithMargins="0">
    <oddHeader>&amp;RState of Kansas
City</oddHeader>
    <oddFooter>&amp;CPage No. 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8"/>
  <sheetViews>
    <sheetView topLeftCell="A36" workbookViewId="0">
      <selection activeCell="N133" sqref="N133"/>
    </sheetView>
  </sheetViews>
  <sheetFormatPr defaultColWidth="8.88671875" defaultRowHeight="15" x14ac:dyDescent="0.2"/>
  <cols>
    <col min="1" max="1" width="70.5546875" style="327" customWidth="1"/>
    <col min="2" max="16384" width="8.88671875" style="327"/>
  </cols>
  <sheetData>
    <row r="1" spans="1:1" ht="18.75" x14ac:dyDescent="0.2">
      <c r="A1" s="328" t="s">
        <v>341</v>
      </c>
    </row>
    <row r="2" spans="1:1" ht="18.75" x14ac:dyDescent="0.2">
      <c r="A2" s="328"/>
    </row>
    <row r="3" spans="1:1" ht="18.75" x14ac:dyDescent="0.2">
      <c r="A3" s="328"/>
    </row>
    <row r="4" spans="1:1" ht="51.75" customHeight="1" x14ac:dyDescent="0.25">
      <c r="A4" s="525" t="s">
        <v>680</v>
      </c>
    </row>
    <row r="5" spans="1:1" ht="18.75" x14ac:dyDescent="0.2">
      <c r="A5" s="328"/>
    </row>
    <row r="6" spans="1:1" ht="15.75" x14ac:dyDescent="0.2">
      <c r="A6" s="329"/>
    </row>
    <row r="7" spans="1:1" ht="47.25" x14ac:dyDescent="0.2">
      <c r="A7" s="330" t="s">
        <v>342</v>
      </c>
    </row>
    <row r="8" spans="1:1" ht="15.75" x14ac:dyDescent="0.2">
      <c r="A8" s="329"/>
    </row>
    <row r="9" spans="1:1" ht="15.75" x14ac:dyDescent="0.2">
      <c r="A9" s="329"/>
    </row>
    <row r="10" spans="1:1" ht="63" x14ac:dyDescent="0.2">
      <c r="A10" s="330" t="s">
        <v>343</v>
      </c>
    </row>
    <row r="11" spans="1:1" ht="15.75" x14ac:dyDescent="0.2">
      <c r="A11" s="331"/>
    </row>
    <row r="12" spans="1:1" ht="15.75" x14ac:dyDescent="0.2">
      <c r="A12" s="329"/>
    </row>
    <row r="13" spans="1:1" ht="47.25" x14ac:dyDescent="0.2">
      <c r="A13" s="330" t="s">
        <v>344</v>
      </c>
    </row>
    <row r="14" spans="1:1" ht="15.75" x14ac:dyDescent="0.2">
      <c r="A14" s="331"/>
    </row>
    <row r="15" spans="1:1" ht="15.75" x14ac:dyDescent="0.2">
      <c r="A15" s="329"/>
    </row>
    <row r="16" spans="1:1" ht="47.25" x14ac:dyDescent="0.2">
      <c r="A16" s="330" t="s">
        <v>345</v>
      </c>
    </row>
    <row r="17" spans="1:1" ht="15.75" x14ac:dyDescent="0.2">
      <c r="A17" s="331"/>
    </row>
    <row r="18" spans="1:1" ht="15.75" x14ac:dyDescent="0.2">
      <c r="A18" s="331"/>
    </row>
    <row r="19" spans="1:1" ht="47.25" x14ac:dyDescent="0.2">
      <c r="A19" s="330" t="s">
        <v>346</v>
      </c>
    </row>
    <row r="20" spans="1:1" ht="15.75" x14ac:dyDescent="0.2">
      <c r="A20" s="331"/>
    </row>
    <row r="21" spans="1:1" ht="15.75" x14ac:dyDescent="0.2">
      <c r="A21" s="331"/>
    </row>
    <row r="22" spans="1:1" ht="47.25" x14ac:dyDescent="0.2">
      <c r="A22" s="330" t="s">
        <v>347</v>
      </c>
    </row>
    <row r="23" spans="1:1" ht="15.75" x14ac:dyDescent="0.2">
      <c r="A23" s="331"/>
    </row>
    <row r="24" spans="1:1" ht="15.75" x14ac:dyDescent="0.2">
      <c r="A24" s="331"/>
    </row>
    <row r="25" spans="1:1" ht="31.5" x14ac:dyDescent="0.2">
      <c r="A25" s="330" t="s">
        <v>348</v>
      </c>
    </row>
    <row r="26" spans="1:1" ht="15.75" x14ac:dyDescent="0.2">
      <c r="A26" s="329"/>
    </row>
    <row r="27" spans="1:1" ht="15.75" x14ac:dyDescent="0.2">
      <c r="A27" s="329"/>
    </row>
    <row r="28" spans="1:1" ht="60" x14ac:dyDescent="0.2">
      <c r="A28" s="332" t="s">
        <v>349</v>
      </c>
    </row>
    <row r="29" spans="1:1" x14ac:dyDescent="0.2">
      <c r="A29" s="333"/>
    </row>
    <row r="30" spans="1:1" x14ac:dyDescent="0.2">
      <c r="A30" s="333"/>
    </row>
    <row r="31" spans="1:1" ht="47.25" x14ac:dyDescent="0.2">
      <c r="A31" s="330" t="s">
        <v>350</v>
      </c>
    </row>
    <row r="32" spans="1:1" ht="15.75" x14ac:dyDescent="0.2">
      <c r="A32" s="329"/>
    </row>
    <row r="33" spans="1:1" ht="15.75" x14ac:dyDescent="0.2">
      <c r="A33" s="329"/>
    </row>
    <row r="34" spans="1:1" ht="66.75" customHeight="1" x14ac:dyDescent="0.25">
      <c r="A34" s="456" t="s">
        <v>681</v>
      </c>
    </row>
    <row r="35" spans="1:1" ht="15.75" x14ac:dyDescent="0.2">
      <c r="A35" s="329"/>
    </row>
    <row r="36" spans="1:1" ht="15.75" x14ac:dyDescent="0.2">
      <c r="A36" s="329"/>
    </row>
    <row r="37" spans="1:1" ht="63" x14ac:dyDescent="0.2">
      <c r="A37" s="334" t="s">
        <v>351</v>
      </c>
    </row>
    <row r="38" spans="1:1" ht="15.75" x14ac:dyDescent="0.2">
      <c r="A38" s="331"/>
    </row>
    <row r="39" spans="1:1" ht="15.75" x14ac:dyDescent="0.2">
      <c r="A39" s="329"/>
    </row>
    <row r="40" spans="1:1" ht="63" x14ac:dyDescent="0.2">
      <c r="A40" s="330" t="s">
        <v>352</v>
      </c>
    </row>
    <row r="41" spans="1:1" ht="15.75" x14ac:dyDescent="0.2">
      <c r="A41" s="331"/>
    </row>
    <row r="42" spans="1:1" ht="15.75" x14ac:dyDescent="0.2">
      <c r="A42" s="331"/>
    </row>
    <row r="43" spans="1:1" ht="82.5" customHeight="1" x14ac:dyDescent="0.25">
      <c r="A43" s="321" t="s">
        <v>682</v>
      </c>
    </row>
    <row r="44" spans="1:1" ht="15.75" x14ac:dyDescent="0.2">
      <c r="A44" s="331"/>
    </row>
    <row r="45" spans="1:1" ht="15.75" x14ac:dyDescent="0.2">
      <c r="A45" s="331"/>
    </row>
    <row r="46" spans="1:1" ht="69" customHeight="1" x14ac:dyDescent="0.25">
      <c r="A46" s="321" t="s">
        <v>683</v>
      </c>
    </row>
    <row r="47" spans="1:1" ht="15.75" x14ac:dyDescent="0.2">
      <c r="A47" s="331"/>
    </row>
    <row r="48" spans="1:1" ht="15.75" x14ac:dyDescent="0.2">
      <c r="A48" s="331"/>
    </row>
    <row r="49" spans="1:1" ht="69" customHeight="1" x14ac:dyDescent="0.25">
      <c r="A49" s="321" t="s">
        <v>684</v>
      </c>
    </row>
    <row r="50" spans="1:1" ht="15.75" customHeight="1" x14ac:dyDescent="0.2">
      <c r="A50" s="331"/>
    </row>
    <row r="51" spans="1:1" ht="21.75" customHeight="1" x14ac:dyDescent="0.2">
      <c r="A51" s="331"/>
    </row>
    <row r="52" spans="1:1" ht="66" customHeight="1" x14ac:dyDescent="0.25">
      <c r="A52" s="321" t="s">
        <v>896</v>
      </c>
    </row>
    <row r="53" spans="1:1" ht="15.75" x14ac:dyDescent="0.2">
      <c r="A53" s="331"/>
    </row>
    <row r="54" spans="1:1" ht="15.75" x14ac:dyDescent="0.2">
      <c r="A54" s="331"/>
    </row>
    <row r="55" spans="1:1" ht="63" x14ac:dyDescent="0.2">
      <c r="A55" s="330" t="s">
        <v>353</v>
      </c>
    </row>
    <row r="56" spans="1:1" ht="15.75" x14ac:dyDescent="0.2">
      <c r="A56" s="331"/>
    </row>
    <row r="57" spans="1:1" ht="15.75" x14ac:dyDescent="0.2">
      <c r="A57" s="331"/>
    </row>
    <row r="58" spans="1:1" ht="63" x14ac:dyDescent="0.2">
      <c r="A58" s="330" t="s">
        <v>354</v>
      </c>
    </row>
    <row r="59" spans="1:1" ht="15.75" x14ac:dyDescent="0.2">
      <c r="A59" s="331"/>
    </row>
    <row r="60" spans="1:1" ht="15.75" x14ac:dyDescent="0.2">
      <c r="A60" s="331"/>
    </row>
    <row r="61" spans="1:1" ht="47.25" x14ac:dyDescent="0.2">
      <c r="A61" s="330" t="s">
        <v>355</v>
      </c>
    </row>
    <row r="62" spans="1:1" ht="15.75" x14ac:dyDescent="0.2">
      <c r="A62" s="331"/>
    </row>
    <row r="63" spans="1:1" ht="15.75" x14ac:dyDescent="0.2">
      <c r="A63" s="331"/>
    </row>
    <row r="64" spans="1:1" ht="47.25" x14ac:dyDescent="0.2">
      <c r="A64" s="330" t="s">
        <v>356</v>
      </c>
    </row>
    <row r="65" spans="1:1" ht="15.75" x14ac:dyDescent="0.2">
      <c r="A65" s="331"/>
    </row>
    <row r="66" spans="1:1" ht="15.75" x14ac:dyDescent="0.2">
      <c r="A66" s="331"/>
    </row>
    <row r="67" spans="1:1" ht="78.75" x14ac:dyDescent="0.2">
      <c r="A67" s="330" t="s">
        <v>357</v>
      </c>
    </row>
    <row r="68" spans="1:1" x14ac:dyDescent="0.2">
      <c r="A68" s="335"/>
    </row>
  </sheetData>
  <sheetProtection sheet="1"/>
  <pageMargins left="0.7" right="0.7" top="0.75" bottom="0.75" header="0.3" footer="0.3"/>
  <pageSetup orientation="portrait" r:id="rId1"/>
  <headerFooter>
    <oddFooter>&amp;Lrevised 10/2/09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B1:AC36"/>
  <sheetViews>
    <sheetView zoomScale="75" workbookViewId="0">
      <selection activeCell="G12" sqref="G12"/>
    </sheetView>
  </sheetViews>
  <sheetFormatPr defaultColWidth="8.88671875" defaultRowHeight="15.75" x14ac:dyDescent="0.2"/>
  <cols>
    <col min="1" max="1" width="4.88671875" style="57" customWidth="1"/>
    <col min="2" max="2" width="20.77734375" style="57" customWidth="1"/>
    <col min="3" max="3" width="9.33203125" style="57" customWidth="1"/>
    <col min="4" max="4" width="9" style="57" customWidth="1"/>
    <col min="5" max="5" width="8.77734375" style="57" customWidth="1"/>
    <col min="6" max="6" width="12.77734375" style="57" customWidth="1"/>
    <col min="7" max="7" width="12.6640625" style="57" customWidth="1"/>
    <col min="8" max="13" width="9.77734375" style="57" customWidth="1"/>
    <col min="14" max="16384" width="8.88671875" style="57"/>
  </cols>
  <sheetData>
    <row r="1" spans="2:13" x14ac:dyDescent="0.2">
      <c r="B1" s="173" t="str">
        <f>inputPrYr!$D$3</f>
        <v>City of Strong City</v>
      </c>
      <c r="C1" s="56"/>
      <c r="D1" s="56"/>
      <c r="E1" s="56"/>
      <c r="F1" s="56"/>
      <c r="G1" s="56"/>
      <c r="H1" s="56"/>
      <c r="I1" s="56"/>
      <c r="J1" s="56"/>
      <c r="K1" s="56"/>
      <c r="L1" s="56"/>
      <c r="M1" s="135">
        <f>inputPrYr!$C$6</f>
        <v>2020</v>
      </c>
    </row>
    <row r="2" spans="2:13" x14ac:dyDescent="0.2">
      <c r="B2" s="173"/>
      <c r="C2" s="56"/>
      <c r="D2" s="56"/>
      <c r="E2" s="56"/>
      <c r="F2" s="56"/>
      <c r="G2" s="56"/>
      <c r="H2" s="56"/>
      <c r="I2" s="56"/>
      <c r="J2" s="56"/>
      <c r="K2" s="56"/>
      <c r="L2" s="56"/>
      <c r="M2" s="185"/>
    </row>
    <row r="3" spans="2:13" x14ac:dyDescent="0.2">
      <c r="B3" s="206" t="s">
        <v>213</v>
      </c>
      <c r="C3" s="63"/>
      <c r="D3" s="63"/>
      <c r="E3" s="63"/>
      <c r="F3" s="63"/>
      <c r="G3" s="63"/>
      <c r="H3" s="63"/>
      <c r="I3" s="63"/>
      <c r="J3" s="63"/>
      <c r="K3" s="63"/>
      <c r="L3" s="63"/>
      <c r="M3" s="63"/>
    </row>
    <row r="4" spans="2:13" x14ac:dyDescent="0.2">
      <c r="B4" s="56"/>
      <c r="C4" s="207"/>
      <c r="D4" s="207"/>
      <c r="E4" s="207"/>
      <c r="F4" s="207"/>
      <c r="G4" s="207"/>
      <c r="H4" s="207"/>
      <c r="I4" s="207"/>
      <c r="J4" s="207"/>
      <c r="K4" s="207"/>
      <c r="L4" s="207"/>
      <c r="M4" s="207"/>
    </row>
    <row r="5" spans="2:13" x14ac:dyDescent="0.2">
      <c r="B5" s="186"/>
      <c r="C5" s="186" t="s">
        <v>184</v>
      </c>
      <c r="D5" s="186" t="s">
        <v>184</v>
      </c>
      <c r="E5" s="186" t="s">
        <v>198</v>
      </c>
      <c r="F5" s="186"/>
      <c r="G5" s="186" t="s">
        <v>604</v>
      </c>
      <c r="H5" s="56"/>
      <c r="I5" s="56"/>
      <c r="J5" s="208" t="s">
        <v>185</v>
      </c>
      <c r="K5" s="209"/>
      <c r="L5" s="208" t="s">
        <v>185</v>
      </c>
      <c r="M5" s="209"/>
    </row>
    <row r="6" spans="2:13" x14ac:dyDescent="0.2">
      <c r="B6" s="210" t="s">
        <v>859</v>
      </c>
      <c r="C6" s="210" t="s">
        <v>186</v>
      </c>
      <c r="D6" s="210" t="s">
        <v>284</v>
      </c>
      <c r="E6" s="210" t="s">
        <v>187</v>
      </c>
      <c r="F6" s="210" t="s">
        <v>144</v>
      </c>
      <c r="G6" s="210" t="s">
        <v>263</v>
      </c>
      <c r="H6" s="950" t="s">
        <v>188</v>
      </c>
      <c r="I6" s="951"/>
      <c r="J6" s="950">
        <f>inputPrYr!$C$6-1</f>
        <v>2019</v>
      </c>
      <c r="K6" s="953"/>
      <c r="L6" s="952">
        <f>inputPrYr!$C$6</f>
        <v>2020</v>
      </c>
      <c r="M6" s="953"/>
    </row>
    <row r="7" spans="2:13" x14ac:dyDescent="0.2">
      <c r="B7" s="213" t="s">
        <v>858</v>
      </c>
      <c r="C7" s="213" t="s">
        <v>189</v>
      </c>
      <c r="D7" s="213" t="s">
        <v>285</v>
      </c>
      <c r="E7" s="213" t="s">
        <v>164</v>
      </c>
      <c r="F7" s="213" t="s">
        <v>190</v>
      </c>
      <c r="G7" s="211" t="str">
        <f>CONCATENATE("Jan 1,",M1-1,"")</f>
        <v>Jan 1,2019</v>
      </c>
      <c r="H7" s="161" t="s">
        <v>198</v>
      </c>
      <c r="I7" s="161" t="s">
        <v>200</v>
      </c>
      <c r="J7" s="161" t="s">
        <v>198</v>
      </c>
      <c r="K7" s="161" t="s">
        <v>200</v>
      </c>
      <c r="L7" s="161" t="s">
        <v>198</v>
      </c>
      <c r="M7" s="161" t="s">
        <v>200</v>
      </c>
    </row>
    <row r="8" spans="2:13" x14ac:dyDescent="0.2">
      <c r="B8" s="212" t="s">
        <v>191</v>
      </c>
      <c r="C8" s="72"/>
      <c r="D8" s="72"/>
      <c r="E8" s="214"/>
      <c r="F8" s="163"/>
      <c r="G8" s="163"/>
      <c r="H8" s="72"/>
      <c r="I8" s="72"/>
      <c r="J8" s="163"/>
      <c r="K8" s="163"/>
      <c r="L8" s="163"/>
      <c r="M8" s="163"/>
    </row>
    <row r="9" spans="2:13" x14ac:dyDescent="0.2">
      <c r="B9" s="215" t="s">
        <v>191</v>
      </c>
      <c r="C9" s="238"/>
      <c r="D9" s="238"/>
      <c r="E9" s="216"/>
      <c r="F9" s="217"/>
      <c r="G9" s="218"/>
      <c r="H9" s="219"/>
      <c r="I9" s="219"/>
      <c r="J9" s="218"/>
      <c r="K9" s="218"/>
      <c r="L9" s="218"/>
      <c r="M9" s="218"/>
    </row>
    <row r="10" spans="2:13" x14ac:dyDescent="0.2">
      <c r="B10" s="215" t="s">
        <v>1097</v>
      </c>
      <c r="C10" s="238">
        <v>42122</v>
      </c>
      <c r="D10" s="238">
        <v>56735</v>
      </c>
      <c r="E10" s="216">
        <v>2.75</v>
      </c>
      <c r="F10" s="217">
        <v>591000</v>
      </c>
      <c r="G10" s="218">
        <v>566168</v>
      </c>
      <c r="H10" s="219">
        <v>43586</v>
      </c>
      <c r="I10" s="219">
        <v>43586</v>
      </c>
      <c r="J10" s="218">
        <v>15570</v>
      </c>
      <c r="K10" s="218">
        <v>9007</v>
      </c>
      <c r="L10" s="218">
        <v>15322</v>
      </c>
      <c r="M10" s="218">
        <v>9255</v>
      </c>
    </row>
    <row r="11" spans="2:13" x14ac:dyDescent="0.2">
      <c r="B11" s="215" t="s">
        <v>1098</v>
      </c>
      <c r="C11" s="238">
        <v>42122</v>
      </c>
      <c r="D11" s="238">
        <v>56735</v>
      </c>
      <c r="E11" s="216">
        <v>2.75</v>
      </c>
      <c r="F11" s="217">
        <v>59000</v>
      </c>
      <c r="G11" s="218">
        <v>57322</v>
      </c>
      <c r="H11" s="219">
        <v>43586</v>
      </c>
      <c r="I11" s="219">
        <v>43586</v>
      </c>
      <c r="J11" s="218">
        <v>1552</v>
      </c>
      <c r="K11" s="218">
        <v>898</v>
      </c>
      <c r="L11" s="218">
        <v>1528</v>
      </c>
      <c r="M11" s="218">
        <v>923</v>
      </c>
    </row>
    <row r="12" spans="2:13" x14ac:dyDescent="0.2">
      <c r="B12" s="215"/>
      <c r="C12" s="238"/>
      <c r="D12" s="238"/>
      <c r="E12" s="216"/>
      <c r="F12" s="217"/>
      <c r="G12" s="218"/>
      <c r="H12" s="219"/>
      <c r="I12" s="219"/>
      <c r="J12" s="218"/>
      <c r="K12" s="218"/>
      <c r="L12" s="218"/>
      <c r="M12" s="218"/>
    </row>
    <row r="13" spans="2:13" x14ac:dyDescent="0.2">
      <c r="B13" s="215"/>
      <c r="C13" s="238"/>
      <c r="D13" s="238"/>
      <c r="E13" s="216"/>
      <c r="F13" s="217"/>
      <c r="G13" s="218"/>
      <c r="H13" s="219"/>
      <c r="I13" s="219"/>
      <c r="J13" s="218"/>
      <c r="K13" s="218"/>
      <c r="L13" s="218"/>
      <c r="M13" s="218"/>
    </row>
    <row r="14" spans="2:13" x14ac:dyDescent="0.2">
      <c r="B14" s="215"/>
      <c r="C14" s="238"/>
      <c r="D14" s="238"/>
      <c r="E14" s="216"/>
      <c r="F14" s="217"/>
      <c r="G14" s="218"/>
      <c r="H14" s="219"/>
      <c r="I14" s="219"/>
      <c r="J14" s="218"/>
      <c r="K14" s="218"/>
      <c r="L14" s="218"/>
      <c r="M14" s="218"/>
    </row>
    <row r="15" spans="2:13" x14ac:dyDescent="0.2">
      <c r="B15" s="201" t="s">
        <v>192</v>
      </c>
      <c r="C15" s="220"/>
      <c r="D15" s="220"/>
      <c r="E15" s="221"/>
      <c r="F15" s="222">
        <f>SUM(F9:F14)</f>
        <v>650000</v>
      </c>
      <c r="G15" s="223">
        <f>SUM(G9:G14)</f>
        <v>623490</v>
      </c>
      <c r="H15" s="224"/>
      <c r="I15" s="224"/>
      <c r="J15" s="223">
        <f>SUM(J9:J14)</f>
        <v>17122</v>
      </c>
      <c r="K15" s="223">
        <f>SUM(K9:K14)</f>
        <v>9905</v>
      </c>
      <c r="L15" s="223">
        <f>SUM(L9:L14)</f>
        <v>16850</v>
      </c>
      <c r="M15" s="223">
        <f>SUM(M9:M14)</f>
        <v>10178</v>
      </c>
    </row>
    <row r="16" spans="2:13" x14ac:dyDescent="0.2">
      <c r="B16" s="161" t="s">
        <v>193</v>
      </c>
      <c r="C16" s="225"/>
      <c r="D16" s="225"/>
      <c r="E16" s="226"/>
      <c r="F16" s="188"/>
      <c r="G16" s="188"/>
      <c r="H16" s="227"/>
      <c r="I16" s="227"/>
      <c r="J16" s="188"/>
      <c r="K16" s="188"/>
      <c r="L16" s="188"/>
      <c r="M16" s="188"/>
    </row>
    <row r="17" spans="2:29" x14ac:dyDescent="0.2">
      <c r="B17" s="215"/>
      <c r="C17" s="238"/>
      <c r="D17" s="238"/>
      <c r="E17" s="216"/>
      <c r="F17" s="217"/>
      <c r="G17" s="218"/>
      <c r="H17" s="219"/>
      <c r="I17" s="219"/>
      <c r="J17" s="218"/>
      <c r="K17" s="218"/>
      <c r="L17" s="218"/>
      <c r="M17" s="218"/>
    </row>
    <row r="18" spans="2:29" x14ac:dyDescent="0.2">
      <c r="B18" s="215"/>
      <c r="C18" s="238"/>
      <c r="D18" s="238"/>
      <c r="E18" s="216"/>
      <c r="F18" s="217"/>
      <c r="G18" s="218"/>
      <c r="H18" s="219"/>
      <c r="I18" s="219"/>
      <c r="J18" s="218"/>
      <c r="K18" s="218"/>
      <c r="L18" s="218"/>
      <c r="M18" s="218"/>
    </row>
    <row r="19" spans="2:29" x14ac:dyDescent="0.2">
      <c r="B19" s="215"/>
      <c r="C19" s="238"/>
      <c r="D19" s="238"/>
      <c r="E19" s="216"/>
      <c r="F19" s="217"/>
      <c r="G19" s="218"/>
      <c r="H19" s="219"/>
      <c r="I19" s="219"/>
      <c r="J19" s="218"/>
      <c r="K19" s="218"/>
      <c r="L19" s="218"/>
      <c r="M19" s="218"/>
    </row>
    <row r="20" spans="2:29" x14ac:dyDescent="0.2">
      <c r="B20" s="215"/>
      <c r="C20" s="238"/>
      <c r="D20" s="238"/>
      <c r="E20" s="216"/>
      <c r="F20" s="217"/>
      <c r="G20" s="218"/>
      <c r="H20" s="219"/>
      <c r="I20" s="219"/>
      <c r="J20" s="218"/>
      <c r="K20" s="218"/>
      <c r="L20" s="218"/>
      <c r="M20" s="218"/>
    </row>
    <row r="21" spans="2:29" x14ac:dyDescent="0.2">
      <c r="B21" s="215"/>
      <c r="C21" s="238"/>
      <c r="D21" s="238"/>
      <c r="E21" s="216"/>
      <c r="F21" s="217"/>
      <c r="G21" s="218"/>
      <c r="H21" s="219"/>
      <c r="I21" s="219"/>
      <c r="J21" s="218"/>
      <c r="K21" s="218"/>
      <c r="L21" s="218"/>
      <c r="M21" s="218"/>
    </row>
    <row r="22" spans="2:29" x14ac:dyDescent="0.2">
      <c r="B22" s="201" t="s">
        <v>194</v>
      </c>
      <c r="C22" s="220"/>
      <c r="D22" s="220"/>
      <c r="E22" s="228"/>
      <c r="F22" s="222"/>
      <c r="G22" s="229">
        <f>SUM(G17:G21)</f>
        <v>0</v>
      </c>
      <c r="H22" s="224"/>
      <c r="I22" s="224"/>
      <c r="J22" s="229">
        <f>SUM(J17:J21)</f>
        <v>0</v>
      </c>
      <c r="K22" s="229">
        <f>SUM(K17:K21)</f>
        <v>0</v>
      </c>
      <c r="L22" s="223">
        <f>SUM(L17:L21)</f>
        <v>0</v>
      </c>
      <c r="M22" s="229">
        <f>SUM(M17:M21)</f>
        <v>0</v>
      </c>
    </row>
    <row r="23" spans="2:29" x14ac:dyDescent="0.2">
      <c r="B23" s="161" t="s">
        <v>195</v>
      </c>
      <c r="C23" s="225"/>
      <c r="D23" s="225"/>
      <c r="E23" s="226"/>
      <c r="F23" s="188"/>
      <c r="G23" s="230"/>
      <c r="H23" s="227"/>
      <c r="I23" s="227"/>
      <c r="J23" s="188"/>
      <c r="K23" s="188"/>
      <c r="L23" s="188"/>
      <c r="M23" s="188"/>
    </row>
    <row r="24" spans="2:29" x14ac:dyDescent="0.2">
      <c r="B24" s="215" t="s">
        <v>1123</v>
      </c>
      <c r="C24" s="238">
        <v>36526</v>
      </c>
      <c r="D24" s="238">
        <v>44256</v>
      </c>
      <c r="E24" s="216">
        <v>3.55</v>
      </c>
      <c r="F24" s="217">
        <v>340254</v>
      </c>
      <c r="G24" s="218">
        <v>33181</v>
      </c>
      <c r="H24" s="219" t="s">
        <v>1124</v>
      </c>
      <c r="I24" s="219" t="s">
        <v>1124</v>
      </c>
      <c r="J24" s="218">
        <v>1620</v>
      </c>
      <c r="K24" s="218">
        <v>21167</v>
      </c>
      <c r="L24" s="218">
        <v>916</v>
      </c>
      <c r="M24" s="218">
        <v>21925</v>
      </c>
    </row>
    <row r="25" spans="2:29" x14ac:dyDescent="0.2">
      <c r="B25" s="215"/>
      <c r="C25" s="367"/>
      <c r="D25" s="238"/>
      <c r="E25" s="216"/>
      <c r="F25" s="217"/>
      <c r="G25" s="218"/>
      <c r="H25" s="219"/>
      <c r="I25" s="219"/>
      <c r="J25" s="218"/>
      <c r="K25" s="218"/>
      <c r="L25" s="218"/>
      <c r="M25" s="218"/>
    </row>
    <row r="26" spans="2:29" x14ac:dyDescent="0.2">
      <c r="B26" s="215"/>
      <c r="C26" s="238"/>
      <c r="D26" s="238"/>
      <c r="E26" s="216"/>
      <c r="F26" s="217"/>
      <c r="G26" s="218"/>
      <c r="H26" s="219"/>
      <c r="I26" s="219"/>
      <c r="J26" s="218"/>
      <c r="K26" s="218"/>
      <c r="L26" s="218"/>
      <c r="M26" s="218"/>
    </row>
    <row r="27" spans="2:29" x14ac:dyDescent="0.2">
      <c r="B27" s="215"/>
      <c r="C27" s="238"/>
      <c r="D27" s="238"/>
      <c r="E27" s="216"/>
      <c r="F27" s="217"/>
      <c r="G27" s="218"/>
      <c r="H27" s="219"/>
      <c r="I27" s="219"/>
      <c r="J27" s="218"/>
      <c r="K27" s="218"/>
      <c r="L27" s="218"/>
      <c r="M27" s="218"/>
    </row>
    <row r="28" spans="2:29" x14ac:dyDescent="0.2">
      <c r="B28" s="215"/>
      <c r="C28" s="238"/>
      <c r="D28" s="238"/>
      <c r="E28" s="216"/>
      <c r="F28" s="217"/>
      <c r="G28" s="218"/>
      <c r="H28" s="219"/>
      <c r="I28" s="219"/>
      <c r="J28" s="218"/>
      <c r="K28" s="218"/>
      <c r="L28" s="218"/>
      <c r="M28" s="218"/>
    </row>
    <row r="29" spans="2:29" x14ac:dyDescent="0.2">
      <c r="B29" s="215"/>
      <c r="C29" s="238"/>
      <c r="D29" s="238"/>
      <c r="E29" s="216"/>
      <c r="F29" s="217"/>
      <c r="G29" s="218"/>
      <c r="H29" s="219"/>
      <c r="I29" s="219"/>
      <c r="J29" s="218"/>
      <c r="K29" s="218"/>
      <c r="L29" s="218"/>
      <c r="M29" s="218"/>
      <c r="N29" s="43"/>
      <c r="O29" s="43"/>
      <c r="P29" s="43"/>
      <c r="Q29" s="43"/>
      <c r="R29" s="43"/>
      <c r="S29" s="43"/>
      <c r="T29" s="43"/>
      <c r="U29" s="43"/>
      <c r="V29" s="43"/>
      <c r="W29" s="43"/>
      <c r="X29" s="43"/>
      <c r="Y29" s="43"/>
      <c r="Z29" s="43"/>
      <c r="AA29" s="43"/>
      <c r="AB29" s="43"/>
      <c r="AC29" s="43"/>
    </row>
    <row r="30" spans="2:29" x14ac:dyDescent="0.2">
      <c r="B30" s="201" t="s">
        <v>270</v>
      </c>
      <c r="C30" s="201"/>
      <c r="D30" s="201"/>
      <c r="E30" s="228"/>
      <c r="F30" s="222">
        <f>SUM(F24:F29)</f>
        <v>340254</v>
      </c>
      <c r="G30" s="229">
        <f>SUM(G24:G29)</f>
        <v>33181</v>
      </c>
      <c r="H30" s="222"/>
      <c r="I30" s="222"/>
      <c r="J30" s="229">
        <f>SUM(J24:J29)</f>
        <v>1620</v>
      </c>
      <c r="K30" s="229">
        <f>SUM(K24:K29)</f>
        <v>21167</v>
      </c>
      <c r="L30" s="229">
        <f>SUM(L24:L29)</f>
        <v>916</v>
      </c>
      <c r="M30" s="229">
        <f>SUM(M24:M29)</f>
        <v>21925</v>
      </c>
    </row>
    <row r="31" spans="2:29" x14ac:dyDescent="0.2">
      <c r="B31" s="201" t="s">
        <v>196</v>
      </c>
      <c r="C31" s="201"/>
      <c r="D31" s="201"/>
      <c r="E31" s="201"/>
      <c r="F31" s="222">
        <f>SUM(F15+F30)</f>
        <v>990254</v>
      </c>
      <c r="G31" s="229">
        <f>SUM(G15+G22+G30)</f>
        <v>656671</v>
      </c>
      <c r="H31" s="222"/>
      <c r="I31" s="222"/>
      <c r="J31" s="229">
        <f>SUM(J15+J22+J30)</f>
        <v>18742</v>
      </c>
      <c r="K31" s="229">
        <f>SUM(K15+K22+K30)</f>
        <v>31072</v>
      </c>
      <c r="L31" s="229">
        <f>SUM(L15+L22+L30)</f>
        <v>17766</v>
      </c>
      <c r="M31" s="229">
        <f>SUM(M15+M22+M30)</f>
        <v>32103</v>
      </c>
    </row>
    <row r="32" spans="2:29" x14ac:dyDescent="0.2">
      <c r="C32" s="43"/>
      <c r="D32" s="43"/>
      <c r="E32" s="43"/>
      <c r="F32" s="43"/>
      <c r="G32" s="43"/>
      <c r="H32" s="43"/>
      <c r="I32" s="43"/>
      <c r="J32" s="43"/>
      <c r="K32" s="43"/>
      <c r="L32" s="43"/>
      <c r="M32" s="43"/>
    </row>
    <row r="33" spans="2:14" x14ac:dyDescent="0.2">
      <c r="F33" s="231"/>
      <c r="G33" s="231"/>
      <c r="J33" s="231"/>
      <c r="K33" s="231"/>
      <c r="L33" s="231"/>
      <c r="M33" s="231"/>
    </row>
    <row r="34" spans="2:14" x14ac:dyDescent="0.2">
      <c r="B34" s="43"/>
      <c r="F34" s="43"/>
      <c r="H34" s="232"/>
      <c r="N34" s="43"/>
    </row>
    <row r="35" spans="2:14" x14ac:dyDescent="0.2">
      <c r="B35" s="43"/>
      <c r="C35" s="43"/>
      <c r="D35" s="43"/>
      <c r="E35" s="43"/>
      <c r="F35" s="43"/>
      <c r="G35" s="43"/>
      <c r="H35" s="43"/>
      <c r="I35" s="43"/>
      <c r="J35" s="43"/>
      <c r="K35" s="43"/>
      <c r="L35" s="43"/>
      <c r="M35" s="43"/>
    </row>
    <row r="36" spans="2:14" x14ac:dyDescent="0.2">
      <c r="C36" s="43"/>
      <c r="D36" s="43"/>
      <c r="E36" s="43"/>
      <c r="F36" s="43"/>
      <c r="G36" s="43"/>
      <c r="H36" s="43"/>
      <c r="I36" s="43"/>
      <c r="J36" s="43"/>
      <c r="K36" s="43"/>
      <c r="L36" s="43"/>
      <c r="M36" s="43"/>
    </row>
  </sheetData>
  <mergeCells count="3">
    <mergeCell ref="H6:I6"/>
    <mergeCell ref="L6:M6"/>
    <mergeCell ref="J6:K6"/>
  </mergeCells>
  <phoneticPr fontId="0" type="noConversion"/>
  <pageMargins left="0.15" right="0.15" top="1" bottom="0.5" header="0.5" footer="0"/>
  <pageSetup scale="83" orientation="landscape" blackAndWhite="1" r:id="rId1"/>
  <headerFooter alignWithMargins="0">
    <oddHeader xml:space="preserve">&amp;RState of Kansas
City
</oddHeader>
    <oddFooter>&amp;CPage No. 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pageSetUpPr fitToPage="1"/>
  </sheetPr>
  <dimension ref="B1:K31"/>
  <sheetViews>
    <sheetView zoomScale="75" workbookViewId="0">
      <selection activeCell="U104" sqref="U104"/>
    </sheetView>
  </sheetViews>
  <sheetFormatPr defaultColWidth="8.88671875" defaultRowHeight="15.75" x14ac:dyDescent="0.2"/>
  <cols>
    <col min="1" max="1" width="10.77734375" style="57" customWidth="1"/>
    <col min="2" max="2" width="25.77734375" style="57" customWidth="1"/>
    <col min="3" max="3" width="11.77734375" style="57" customWidth="1"/>
    <col min="4" max="5" width="9.77734375" style="57" customWidth="1"/>
    <col min="6" max="6" width="17.109375" style="57" customWidth="1"/>
    <col min="7" max="9" width="15.77734375" style="57" customWidth="1"/>
    <col min="10" max="11" width="9.77734375" style="57" customWidth="1"/>
    <col min="12" max="16384" width="8.88671875" style="57"/>
  </cols>
  <sheetData>
    <row r="1" spans="2:11" x14ac:dyDescent="0.2">
      <c r="B1" s="173" t="str">
        <f>inputPrYr!$D$3</f>
        <v>City of Strong City</v>
      </c>
      <c r="C1" s="56"/>
      <c r="D1" s="56"/>
      <c r="E1" s="56"/>
      <c r="F1" s="56"/>
      <c r="G1" s="56"/>
      <c r="H1" s="56"/>
      <c r="I1" s="135">
        <f>inputPrYr!$C$6</f>
        <v>2020</v>
      </c>
      <c r="J1" s="43"/>
      <c r="K1" s="233"/>
    </row>
    <row r="2" spans="2:11" x14ac:dyDescent="0.2">
      <c r="B2" s="173"/>
      <c r="C2" s="56"/>
      <c r="D2" s="56"/>
      <c r="E2" s="56"/>
      <c r="F2" s="56"/>
      <c r="G2" s="56"/>
      <c r="H2" s="56"/>
      <c r="I2" s="56"/>
      <c r="J2" s="43"/>
      <c r="K2" s="233"/>
    </row>
    <row r="3" spans="2:11" x14ac:dyDescent="0.2">
      <c r="B3" s="206" t="s">
        <v>248</v>
      </c>
      <c r="C3" s="63"/>
      <c r="D3" s="63"/>
      <c r="E3" s="63"/>
      <c r="F3" s="63"/>
      <c r="G3" s="63"/>
      <c r="H3" s="63"/>
      <c r="I3" s="63"/>
      <c r="J3" s="234"/>
      <c r="K3" s="234"/>
    </row>
    <row r="4" spans="2:11" x14ac:dyDescent="0.2">
      <c r="B4" s="56"/>
      <c r="C4" s="207"/>
      <c r="D4" s="207"/>
      <c r="E4" s="207"/>
      <c r="F4" s="207"/>
      <c r="G4" s="207"/>
      <c r="H4" s="207"/>
      <c r="I4" s="207"/>
      <c r="J4" s="235"/>
      <c r="K4" s="235"/>
    </row>
    <row r="5" spans="2:11" x14ac:dyDescent="0.2">
      <c r="B5" s="167"/>
      <c r="C5" s="167"/>
      <c r="D5" s="167"/>
      <c r="E5" s="167"/>
      <c r="F5" s="186" t="s">
        <v>123</v>
      </c>
      <c r="G5" s="167"/>
      <c r="H5" s="167"/>
      <c r="I5" s="167"/>
      <c r="J5" s="236"/>
      <c r="K5" s="138"/>
    </row>
    <row r="6" spans="2:11" x14ac:dyDescent="0.2">
      <c r="B6" s="156"/>
      <c r="C6" s="210"/>
      <c r="D6" s="210" t="s">
        <v>197</v>
      </c>
      <c r="E6" s="210" t="s">
        <v>198</v>
      </c>
      <c r="F6" s="210" t="s">
        <v>144</v>
      </c>
      <c r="G6" s="210" t="s">
        <v>278</v>
      </c>
      <c r="H6" s="210" t="s">
        <v>201</v>
      </c>
      <c r="I6" s="210" t="s">
        <v>201</v>
      </c>
    </row>
    <row r="7" spans="2:11" x14ac:dyDescent="0.2">
      <c r="B7" s="210" t="s">
        <v>860</v>
      </c>
      <c r="C7" s="210" t="s">
        <v>202</v>
      </c>
      <c r="D7" s="210" t="s">
        <v>203</v>
      </c>
      <c r="E7" s="210" t="s">
        <v>187</v>
      </c>
      <c r="F7" s="210" t="s">
        <v>204</v>
      </c>
      <c r="G7" s="210" t="s">
        <v>279</v>
      </c>
      <c r="H7" s="210" t="s">
        <v>205</v>
      </c>
      <c r="I7" s="210" t="s">
        <v>205</v>
      </c>
    </row>
    <row r="8" spans="2:11" x14ac:dyDescent="0.2">
      <c r="B8" s="213" t="s">
        <v>861</v>
      </c>
      <c r="C8" s="213" t="s">
        <v>184</v>
      </c>
      <c r="D8" s="237" t="s">
        <v>206</v>
      </c>
      <c r="E8" s="213" t="s">
        <v>164</v>
      </c>
      <c r="F8" s="237" t="s">
        <v>264</v>
      </c>
      <c r="G8" s="213">
        <f>inputPrYr!C6-1</f>
        <v>2019</v>
      </c>
      <c r="H8" s="213">
        <f>inputPrYr!C6-1</f>
        <v>2019</v>
      </c>
      <c r="I8" s="196">
        <f>inputPrYr!$C$6</f>
        <v>2020</v>
      </c>
    </row>
    <row r="9" spans="2:11" x14ac:dyDescent="0.2">
      <c r="B9" s="215"/>
      <c r="C9" s="238"/>
      <c r="D9" s="238"/>
      <c r="E9" s="216"/>
      <c r="F9" s="217"/>
      <c r="G9" s="217"/>
      <c r="H9" s="217"/>
      <c r="I9" s="217"/>
    </row>
    <row r="10" spans="2:11" x14ac:dyDescent="0.2">
      <c r="B10" s="215"/>
      <c r="C10" s="238"/>
      <c r="D10" s="238"/>
      <c r="E10" s="216"/>
      <c r="F10" s="217"/>
      <c r="G10" s="217"/>
      <c r="H10" s="217"/>
      <c r="I10" s="217"/>
    </row>
    <row r="11" spans="2:11" x14ac:dyDescent="0.2">
      <c r="B11" s="215"/>
      <c r="C11" s="215"/>
      <c r="D11" s="238"/>
      <c r="E11" s="216"/>
      <c r="F11" s="217"/>
      <c r="G11" s="217"/>
      <c r="H11" s="217"/>
      <c r="I11" s="217"/>
    </row>
    <row r="12" spans="2:11" x14ac:dyDescent="0.2">
      <c r="B12" s="215"/>
      <c r="C12" s="215"/>
      <c r="D12" s="238"/>
      <c r="E12" s="216"/>
      <c r="F12" s="217"/>
      <c r="G12" s="217"/>
      <c r="H12" s="217"/>
      <c r="I12" s="217"/>
    </row>
    <row r="13" spans="2:11" x14ac:dyDescent="0.2">
      <c r="B13" s="215"/>
      <c r="C13" s="215"/>
      <c r="D13" s="238"/>
      <c r="E13" s="216"/>
      <c r="F13" s="217"/>
      <c r="G13" s="217"/>
      <c r="H13" s="217"/>
      <c r="I13" s="217"/>
    </row>
    <row r="14" spans="2:11" x14ac:dyDescent="0.2">
      <c r="B14" s="215"/>
      <c r="C14" s="238"/>
      <c r="D14" s="238"/>
      <c r="E14" s="216"/>
      <c r="F14" s="217"/>
      <c r="G14" s="217"/>
      <c r="H14" s="217"/>
      <c r="I14" s="217"/>
    </row>
    <row r="15" spans="2:11" x14ac:dyDescent="0.2">
      <c r="B15" s="215"/>
      <c r="C15" s="215"/>
      <c r="D15" s="238"/>
      <c r="E15" s="216"/>
      <c r="F15" s="217"/>
      <c r="G15" s="217"/>
      <c r="H15" s="217"/>
      <c r="I15" s="217"/>
    </row>
    <row r="16" spans="2:11" x14ac:dyDescent="0.2">
      <c r="B16" s="215"/>
      <c r="C16" s="215"/>
      <c r="D16" s="238"/>
      <c r="E16" s="216"/>
      <c r="F16" s="217"/>
      <c r="G16" s="217"/>
      <c r="H16" s="217"/>
      <c r="I16" s="217"/>
    </row>
    <row r="17" spans="2:11" x14ac:dyDescent="0.2">
      <c r="B17" s="215"/>
      <c r="C17" s="215"/>
      <c r="D17" s="238"/>
      <c r="E17" s="216"/>
      <c r="F17" s="217"/>
      <c r="G17" s="217"/>
      <c r="H17" s="217"/>
      <c r="I17" s="217"/>
    </row>
    <row r="18" spans="2:11" x14ac:dyDescent="0.2">
      <c r="B18" s="215"/>
      <c r="C18" s="215"/>
      <c r="D18" s="238"/>
      <c r="E18" s="216"/>
      <c r="F18" s="217"/>
      <c r="G18" s="217"/>
      <c r="H18" s="217"/>
      <c r="I18" s="217"/>
    </row>
    <row r="19" spans="2:11" x14ac:dyDescent="0.2">
      <c r="B19" s="215"/>
      <c r="C19" s="215"/>
      <c r="D19" s="238"/>
      <c r="E19" s="216"/>
      <c r="F19" s="217"/>
      <c r="G19" s="217"/>
      <c r="H19" s="217"/>
      <c r="I19" s="217"/>
    </row>
    <row r="20" spans="2:11" ht="16.5" thickBot="1" x14ac:dyDescent="0.25">
      <c r="B20" s="174"/>
      <c r="C20" s="174"/>
      <c r="D20" s="174"/>
      <c r="E20" s="174"/>
      <c r="F20" s="174" t="s">
        <v>150</v>
      </c>
      <c r="G20" s="239">
        <f>SUM(G9:G19)</f>
        <v>0</v>
      </c>
      <c r="H20" s="239">
        <f>SUM(H9:H19)</f>
        <v>0</v>
      </c>
      <c r="I20" s="240">
        <f>SUM(I9:I19)</f>
        <v>0</v>
      </c>
    </row>
    <row r="21" spans="2:11" ht="16.5" thickTop="1" x14ac:dyDescent="0.2">
      <c r="B21" s="56"/>
      <c r="C21" s="56"/>
      <c r="D21" s="56"/>
      <c r="E21" s="56"/>
      <c r="F21" s="56"/>
      <c r="G21" s="56"/>
      <c r="H21" s="56"/>
      <c r="I21" s="56"/>
      <c r="J21" s="231"/>
      <c r="K21" s="231"/>
    </row>
    <row r="22" spans="2:11" x14ac:dyDescent="0.2">
      <c r="B22" s="241" t="s">
        <v>70</v>
      </c>
      <c r="C22" s="242"/>
      <c r="D22" s="242"/>
      <c r="E22" s="242"/>
      <c r="F22" s="242"/>
      <c r="G22" s="242"/>
      <c r="H22" s="56"/>
      <c r="I22" s="56"/>
      <c r="J22" s="231"/>
      <c r="K22" s="231"/>
    </row>
    <row r="31" spans="2:11" x14ac:dyDescent="0.2">
      <c r="D31" s="232"/>
    </row>
  </sheetData>
  <sheetProtection sheet="1"/>
  <phoneticPr fontId="0" type="noConversion"/>
  <pageMargins left="0.47" right="0.4" top="1" bottom="0.5" header="0.5" footer="0.5"/>
  <pageSetup scale="89" orientation="landscape" blackAndWhite="1" horizontalDpi="120" verticalDpi="144" r:id="rId1"/>
  <headerFooter alignWithMargins="0">
    <oddHeader xml:space="preserve">&amp;RState of Kansas
City
</oddHeader>
    <oddFooter>&amp;CPage No. 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B1:I108"/>
  <sheetViews>
    <sheetView zoomScaleNormal="100" workbookViewId="0">
      <selection activeCell="L104" sqref="L104"/>
    </sheetView>
  </sheetViews>
  <sheetFormatPr defaultColWidth="8.88671875" defaultRowHeight="15" x14ac:dyDescent="0.2"/>
  <cols>
    <col min="1" max="1" width="2.5546875" style="618" customWidth="1"/>
    <col min="2" max="4" width="8.88671875" style="618"/>
    <col min="5" max="5" width="9.6640625" style="618" customWidth="1"/>
    <col min="6" max="6" width="8.88671875" style="618"/>
    <col min="7" max="7" width="9.6640625" style="618" customWidth="1"/>
    <col min="8" max="16384" width="8.88671875" style="618"/>
  </cols>
  <sheetData>
    <row r="1" spans="2:9" ht="15.75" x14ac:dyDescent="0.25">
      <c r="B1" s="617"/>
      <c r="C1" s="617"/>
      <c r="D1" s="617"/>
      <c r="E1" s="617"/>
      <c r="F1" s="617"/>
      <c r="G1" s="617"/>
      <c r="H1" s="617"/>
      <c r="I1" s="617"/>
    </row>
    <row r="2" spans="2:9" ht="15.75" x14ac:dyDescent="0.2">
      <c r="B2" s="956" t="s">
        <v>785</v>
      </c>
      <c r="C2" s="956"/>
      <c r="D2" s="956"/>
      <c r="E2" s="956"/>
      <c r="F2" s="956"/>
      <c r="G2" s="956"/>
      <c r="H2" s="956"/>
      <c r="I2" s="956"/>
    </row>
    <row r="3" spans="2:9" ht="15.75" x14ac:dyDescent="0.2">
      <c r="B3" s="956" t="s">
        <v>786</v>
      </c>
      <c r="C3" s="956"/>
      <c r="D3" s="956"/>
      <c r="E3" s="956"/>
      <c r="F3" s="956"/>
      <c r="G3" s="956"/>
      <c r="H3" s="956"/>
      <c r="I3" s="956"/>
    </row>
    <row r="4" spans="2:9" ht="15.75" x14ac:dyDescent="0.2">
      <c r="B4" s="619"/>
      <c r="C4" s="619"/>
      <c r="D4" s="619"/>
      <c r="E4" s="619"/>
      <c r="F4" s="619"/>
      <c r="G4" s="619"/>
      <c r="H4" s="619"/>
      <c r="I4" s="619"/>
    </row>
    <row r="5" spans="2:9" ht="15.75" x14ac:dyDescent="0.2">
      <c r="B5" s="957" t="str">
        <f>CONCATENATE("Budgeted Year: ",inputPrYr!C6,"")</f>
        <v>Budgeted Year: 2020</v>
      </c>
      <c r="C5" s="957"/>
      <c r="D5" s="957"/>
      <c r="E5" s="957"/>
      <c r="F5" s="957"/>
      <c r="G5" s="957"/>
      <c r="H5" s="957"/>
      <c r="I5" s="957"/>
    </row>
    <row r="6" spans="2:9" ht="15.75" x14ac:dyDescent="0.2">
      <c r="B6" s="620"/>
      <c r="C6" s="619"/>
      <c r="D6" s="619"/>
      <c r="E6" s="619"/>
      <c r="F6" s="619"/>
      <c r="G6" s="619"/>
      <c r="H6" s="619"/>
      <c r="I6" s="619"/>
    </row>
    <row r="7" spans="2:9" ht="15.75" x14ac:dyDescent="0.2">
      <c r="B7" s="620" t="str">
        <f>CONCATENATE("Library found in: ",inputPrYr!D3,"")</f>
        <v>Library found in: City of Strong City</v>
      </c>
      <c r="C7" s="619"/>
      <c r="D7" s="619"/>
      <c r="E7" s="619"/>
      <c r="F7" s="619"/>
      <c r="G7" s="619"/>
      <c r="H7" s="619"/>
      <c r="I7" s="619"/>
    </row>
    <row r="8" spans="2:9" ht="15.75" x14ac:dyDescent="0.2">
      <c r="B8" s="620" t="str">
        <f>inputPrYr!D4</f>
        <v>Chase County</v>
      </c>
      <c r="C8" s="619"/>
      <c r="D8" s="619"/>
      <c r="E8" s="619"/>
      <c r="F8" s="619"/>
      <c r="G8" s="619"/>
      <c r="H8" s="619"/>
      <c r="I8" s="619"/>
    </row>
    <row r="9" spans="2:9" ht="15.75" x14ac:dyDescent="0.2">
      <c r="B9" s="619"/>
      <c r="C9" s="619"/>
      <c r="D9" s="619"/>
      <c r="E9" s="619"/>
      <c r="F9" s="619"/>
      <c r="G9" s="619"/>
      <c r="H9" s="619"/>
      <c r="I9" s="619"/>
    </row>
    <row r="10" spans="2:9" ht="39" customHeight="1" x14ac:dyDescent="0.2">
      <c r="B10" s="958" t="s">
        <v>787</v>
      </c>
      <c r="C10" s="958"/>
      <c r="D10" s="958"/>
      <c r="E10" s="958"/>
      <c r="F10" s="958"/>
      <c r="G10" s="958"/>
      <c r="H10" s="958"/>
      <c r="I10" s="958"/>
    </row>
    <row r="11" spans="2:9" ht="15.75" x14ac:dyDescent="0.2">
      <c r="B11" s="619"/>
      <c r="C11" s="619"/>
      <c r="D11" s="619"/>
      <c r="E11" s="619"/>
      <c r="F11" s="619"/>
      <c r="G11" s="619"/>
      <c r="H11" s="619"/>
      <c r="I11" s="619"/>
    </row>
    <row r="12" spans="2:9" ht="15.75" x14ac:dyDescent="0.2">
      <c r="B12" s="621" t="s">
        <v>788</v>
      </c>
      <c r="C12" s="619"/>
      <c r="D12" s="619"/>
      <c r="E12" s="619"/>
      <c r="F12" s="619"/>
      <c r="G12" s="619"/>
      <c r="H12" s="619"/>
      <c r="I12" s="619"/>
    </row>
    <row r="13" spans="2:9" ht="15.75" x14ac:dyDescent="0.2">
      <c r="B13" s="619"/>
      <c r="C13" s="619"/>
      <c r="D13" s="619"/>
      <c r="E13" s="622" t="s">
        <v>789</v>
      </c>
      <c r="F13" s="619"/>
      <c r="G13" s="622" t="s">
        <v>790</v>
      </c>
      <c r="H13" s="619"/>
      <c r="I13" s="619"/>
    </row>
    <row r="14" spans="2:9" ht="15.75" x14ac:dyDescent="0.2">
      <c r="B14" s="619"/>
      <c r="C14" s="619"/>
      <c r="D14" s="619"/>
      <c r="E14" s="623">
        <f>inputPrYr!C6-1</f>
        <v>2019</v>
      </c>
      <c r="F14" s="619"/>
      <c r="G14" s="623">
        <f>inputPrYr!C6</f>
        <v>2020</v>
      </c>
      <c r="H14" s="619"/>
      <c r="I14" s="619"/>
    </row>
    <row r="15" spans="2:9" ht="15.75" x14ac:dyDescent="0.2">
      <c r="B15" s="620" t="str">
        <f>'DebtSvs-Library'!B49</f>
        <v>Ad Valorem Tax</v>
      </c>
      <c r="C15" s="619"/>
      <c r="D15" s="619"/>
      <c r="E15" s="624">
        <f>'DebtSvs-Library'!D49</f>
        <v>0</v>
      </c>
      <c r="F15" s="619"/>
      <c r="G15" s="624">
        <f>'DebtSvs-Library'!E82</f>
        <v>0</v>
      </c>
      <c r="H15" s="619"/>
      <c r="I15" s="619"/>
    </row>
    <row r="16" spans="2:9" ht="15.75" x14ac:dyDescent="0.2">
      <c r="B16" s="620" t="str">
        <f>'DebtSvs-Library'!B50</f>
        <v>Delinquent Tax</v>
      </c>
      <c r="C16" s="619"/>
      <c r="D16" s="619"/>
      <c r="E16" s="624">
        <f>'DebtSvs-Library'!D50</f>
        <v>0</v>
      </c>
      <c r="F16" s="619"/>
      <c r="G16" s="624">
        <f>'DebtSvs-Library'!E50</f>
        <v>0</v>
      </c>
      <c r="H16" s="619"/>
      <c r="I16" s="619"/>
    </row>
    <row r="17" spans="2:9" ht="15.75" x14ac:dyDescent="0.2">
      <c r="B17" s="620" t="str">
        <f>'DebtSvs-Library'!B51</f>
        <v>Motor Vehicle Tax</v>
      </c>
      <c r="C17" s="619"/>
      <c r="D17" s="619"/>
      <c r="E17" s="624">
        <f>'DebtSvs-Library'!D51</f>
        <v>0</v>
      </c>
      <c r="F17" s="619"/>
      <c r="G17" s="624" t="str">
        <f>'DebtSvs-Library'!E51</f>
        <v xml:space="preserve">  </v>
      </c>
      <c r="H17" s="619"/>
      <c r="I17" s="619"/>
    </row>
    <row r="18" spans="2:9" ht="15.75" x14ac:dyDescent="0.2">
      <c r="B18" s="620" t="str">
        <f>'DebtSvs-Library'!B52</f>
        <v>Recreational Vehicle Tax</v>
      </c>
      <c r="C18" s="619"/>
      <c r="D18" s="619"/>
      <c r="E18" s="624">
        <f>'DebtSvs-Library'!D52</f>
        <v>0</v>
      </c>
      <c r="F18" s="619"/>
      <c r="G18" s="624" t="str">
        <f>'DebtSvs-Library'!E52</f>
        <v xml:space="preserve">  </v>
      </c>
      <c r="H18" s="619"/>
      <c r="I18" s="619"/>
    </row>
    <row r="19" spans="2:9" ht="15.75" x14ac:dyDescent="0.2">
      <c r="B19" s="620" t="str">
        <f>'DebtSvs-Library'!B53</f>
        <v>16/20M Vehicle Tax</v>
      </c>
      <c r="C19" s="619"/>
      <c r="D19" s="619"/>
      <c r="E19" s="624">
        <f>'DebtSvs-Library'!D53</f>
        <v>0</v>
      </c>
      <c r="F19" s="619"/>
      <c r="G19" s="624" t="str">
        <f>'DebtSvs-Library'!E53</f>
        <v xml:space="preserve">  </v>
      </c>
      <c r="H19" s="619"/>
      <c r="I19" s="619"/>
    </row>
    <row r="20" spans="2:9" ht="15.75" x14ac:dyDescent="0.2">
      <c r="B20" s="619" t="s">
        <v>111</v>
      </c>
      <c r="C20" s="619"/>
      <c r="D20" s="619"/>
      <c r="E20" s="624">
        <v>0</v>
      </c>
      <c r="F20" s="619"/>
      <c r="G20" s="624">
        <v>0</v>
      </c>
      <c r="H20" s="619"/>
      <c r="I20" s="619"/>
    </row>
    <row r="21" spans="2:9" ht="15.75" x14ac:dyDescent="0.2">
      <c r="B21" s="619"/>
      <c r="C21" s="619"/>
      <c r="D21" s="619"/>
      <c r="E21" s="624">
        <v>0</v>
      </c>
      <c r="F21" s="619"/>
      <c r="G21" s="624">
        <v>0</v>
      </c>
      <c r="H21" s="619"/>
      <c r="I21" s="619"/>
    </row>
    <row r="22" spans="2:9" ht="15.75" x14ac:dyDescent="0.2">
      <c r="B22" s="619" t="s">
        <v>791</v>
      </c>
      <c r="C22" s="619"/>
      <c r="D22" s="619"/>
      <c r="E22" s="625">
        <f>SUM(E15:E21)</f>
        <v>0</v>
      </c>
      <c r="F22" s="619"/>
      <c r="G22" s="625">
        <f>SUM(G15:G21)</f>
        <v>0</v>
      </c>
      <c r="H22" s="619"/>
      <c r="I22" s="619"/>
    </row>
    <row r="23" spans="2:9" ht="15.75" x14ac:dyDescent="0.2">
      <c r="B23" s="619" t="s">
        <v>792</v>
      </c>
      <c r="C23" s="619"/>
      <c r="D23" s="619"/>
      <c r="E23" s="626">
        <f>G22-E22</f>
        <v>0</v>
      </c>
      <c r="F23" s="619"/>
      <c r="G23" s="627"/>
      <c r="H23" s="619"/>
      <c r="I23" s="619"/>
    </row>
    <row r="24" spans="2:9" ht="15.75" x14ac:dyDescent="0.2">
      <c r="B24" s="619" t="s">
        <v>793</v>
      </c>
      <c r="C24" s="619"/>
      <c r="D24" s="628" t="str">
        <f>IF((G22-E22)&gt;=0,"Qualify","Not Qualify")</f>
        <v>Qualify</v>
      </c>
      <c r="E24" s="619"/>
      <c r="F24" s="619"/>
      <c r="G24" s="619"/>
      <c r="H24" s="619"/>
      <c r="I24" s="619"/>
    </row>
    <row r="25" spans="2:9" ht="15.75" x14ac:dyDescent="0.2">
      <c r="B25" s="619"/>
      <c r="C25" s="619"/>
      <c r="D25" s="619"/>
      <c r="E25" s="619"/>
      <c r="F25" s="619"/>
      <c r="G25" s="619"/>
      <c r="H25" s="619"/>
      <c r="I25" s="619"/>
    </row>
    <row r="26" spans="2:9" ht="15.75" x14ac:dyDescent="0.2">
      <c r="B26" s="621" t="s">
        <v>794</v>
      </c>
      <c r="C26" s="619"/>
      <c r="D26" s="619"/>
      <c r="E26" s="619"/>
      <c r="F26" s="619"/>
      <c r="G26" s="619"/>
      <c r="H26" s="619"/>
      <c r="I26" s="619"/>
    </row>
    <row r="27" spans="2:9" ht="15.75" x14ac:dyDescent="0.2">
      <c r="B27" s="619" t="s">
        <v>176</v>
      </c>
      <c r="C27" s="619"/>
      <c r="D27" s="619"/>
      <c r="E27" s="624">
        <f>summ!D35</f>
        <v>2066111</v>
      </c>
      <c r="F27" s="619"/>
      <c r="G27" s="624">
        <f>summ!F35</f>
        <v>2108621</v>
      </c>
      <c r="H27" s="619"/>
      <c r="I27" s="619"/>
    </row>
    <row r="28" spans="2:9" ht="15.75" x14ac:dyDescent="0.2">
      <c r="B28" s="619" t="s">
        <v>795</v>
      </c>
      <c r="C28" s="619"/>
      <c r="D28" s="619"/>
      <c r="E28" s="629" t="str">
        <f>IF(G27-E27&gt;=0,"No","Yes")</f>
        <v>No</v>
      </c>
      <c r="F28" s="619"/>
      <c r="G28" s="619"/>
      <c r="H28" s="619"/>
      <c r="I28" s="619"/>
    </row>
    <row r="29" spans="2:9" ht="15.75" x14ac:dyDescent="0.2">
      <c r="B29" s="619" t="s">
        <v>796</v>
      </c>
      <c r="C29" s="619"/>
      <c r="D29" s="619"/>
      <c r="E29" s="622" t="str">
        <f>summ!E18</f>
        <v xml:space="preserve">  </v>
      </c>
      <c r="F29" s="619"/>
      <c r="G29" s="637" t="str">
        <f>summ!H18</f>
        <v/>
      </c>
      <c r="H29" s="619"/>
      <c r="I29" s="619"/>
    </row>
    <row r="30" spans="2:9" ht="15.75" x14ac:dyDescent="0.2">
      <c r="B30" s="619" t="s">
        <v>797</v>
      </c>
      <c r="C30" s="619"/>
      <c r="D30" s="619"/>
      <c r="E30" s="638" t="e">
        <f>G29-E29</f>
        <v>#VALUE!</v>
      </c>
      <c r="F30" s="619"/>
      <c r="G30" s="619"/>
      <c r="H30" s="619"/>
      <c r="I30" s="619"/>
    </row>
    <row r="31" spans="2:9" ht="15.75" x14ac:dyDescent="0.2">
      <c r="B31" s="619" t="s">
        <v>793</v>
      </c>
      <c r="C31" s="619"/>
      <c r="D31" s="630" t="e">
        <f>IF(E30&gt;=0,"Qualify","Not Qualify")</f>
        <v>#VALUE!</v>
      </c>
      <c r="E31" s="619"/>
      <c r="F31" s="619"/>
      <c r="G31" s="619"/>
      <c r="H31" s="619"/>
      <c r="I31" s="619"/>
    </row>
    <row r="32" spans="2:9" ht="15.75" x14ac:dyDescent="0.2">
      <c r="B32" s="619"/>
      <c r="C32" s="619"/>
      <c r="D32" s="619"/>
      <c r="E32" s="619"/>
      <c r="F32" s="619"/>
      <c r="G32" s="619"/>
      <c r="H32" s="619"/>
      <c r="I32" s="619"/>
    </row>
    <row r="33" spans="2:9" ht="15.75" x14ac:dyDescent="0.2">
      <c r="B33" s="619" t="s">
        <v>798</v>
      </c>
      <c r="C33" s="619"/>
      <c r="D33" s="619"/>
      <c r="E33" s="619"/>
      <c r="F33" s="639" t="str">
        <f>IF(D24="Not Qualify",IF(D31="Not Qualify",IF(D31="Not Qualify","Not Qualify","Qualify"),"Qualify"),"Qualify")</f>
        <v>Qualify</v>
      </c>
      <c r="G33" s="619"/>
      <c r="H33" s="619"/>
      <c r="I33" s="619"/>
    </row>
    <row r="34" spans="2:9" ht="15.75" x14ac:dyDescent="0.2">
      <c r="B34" s="619"/>
      <c r="C34" s="619"/>
      <c r="D34" s="619"/>
      <c r="E34" s="619"/>
      <c r="F34" s="619"/>
      <c r="G34" s="619"/>
      <c r="H34" s="619"/>
      <c r="I34" s="619"/>
    </row>
    <row r="35" spans="2:9" ht="15.75" x14ac:dyDescent="0.2">
      <c r="B35" s="619"/>
      <c r="C35" s="619"/>
      <c r="D35" s="619"/>
      <c r="E35" s="619"/>
      <c r="F35" s="619"/>
      <c r="G35" s="619"/>
      <c r="H35" s="619"/>
      <c r="I35" s="619"/>
    </row>
    <row r="36" spans="2:9" ht="37.5" customHeight="1" x14ac:dyDescent="0.2">
      <c r="B36" s="958" t="s">
        <v>799</v>
      </c>
      <c r="C36" s="958"/>
      <c r="D36" s="958"/>
      <c r="E36" s="958"/>
      <c r="F36" s="958"/>
      <c r="G36" s="958"/>
      <c r="H36" s="958"/>
      <c r="I36" s="958"/>
    </row>
    <row r="37" spans="2:9" ht="15.75" x14ac:dyDescent="0.2">
      <c r="B37" s="619"/>
      <c r="C37" s="619"/>
      <c r="D37" s="619"/>
      <c r="E37" s="619"/>
      <c r="F37" s="619"/>
      <c r="G37" s="619"/>
      <c r="H37" s="619"/>
      <c r="I37" s="619"/>
    </row>
    <row r="38" spans="2:9" ht="15.75" x14ac:dyDescent="0.2">
      <c r="B38" s="619"/>
      <c r="C38" s="619"/>
      <c r="D38" s="619"/>
      <c r="E38" s="619"/>
      <c r="F38" s="619"/>
      <c r="G38" s="619"/>
      <c r="H38" s="619"/>
      <c r="I38" s="619"/>
    </row>
    <row r="39" spans="2:9" ht="15.75" x14ac:dyDescent="0.2">
      <c r="B39" s="619"/>
      <c r="C39" s="619"/>
      <c r="D39" s="619"/>
      <c r="E39" s="619"/>
      <c r="F39" s="619"/>
      <c r="G39" s="619"/>
      <c r="H39" s="619"/>
      <c r="I39" s="619"/>
    </row>
    <row r="40" spans="2:9" ht="15.75" x14ac:dyDescent="0.2">
      <c r="B40" s="619"/>
      <c r="C40" s="619"/>
      <c r="D40" s="619"/>
      <c r="E40" s="636" t="s">
        <v>183</v>
      </c>
      <c r="F40" s="635">
        <v>7</v>
      </c>
      <c r="G40" s="619"/>
      <c r="H40" s="619"/>
      <c r="I40" s="619"/>
    </row>
    <row r="41" spans="2:9" ht="15.75" x14ac:dyDescent="0.2">
      <c r="B41" s="619"/>
      <c r="C41" s="619"/>
      <c r="D41" s="619"/>
      <c r="E41" s="619"/>
      <c r="F41" s="619"/>
      <c r="G41" s="619"/>
      <c r="H41" s="619"/>
      <c r="I41" s="619"/>
    </row>
    <row r="42" spans="2:9" ht="15.75" x14ac:dyDescent="0.2">
      <c r="B42" s="619"/>
      <c r="C42" s="619"/>
      <c r="D42" s="619"/>
      <c r="E42" s="619"/>
      <c r="F42" s="619"/>
      <c r="G42" s="619"/>
      <c r="H42" s="619"/>
      <c r="I42" s="619"/>
    </row>
    <row r="43" spans="2:9" ht="15.75" x14ac:dyDescent="0.25">
      <c r="B43" s="954" t="s">
        <v>800</v>
      </c>
      <c r="C43" s="955"/>
      <c r="D43" s="955"/>
      <c r="E43" s="955"/>
      <c r="F43" s="955"/>
      <c r="G43" s="955"/>
      <c r="H43" s="955"/>
      <c r="I43" s="955"/>
    </row>
    <row r="44" spans="2:9" ht="15.75" x14ac:dyDescent="0.2">
      <c r="B44" s="619"/>
      <c r="C44" s="619"/>
      <c r="D44" s="619"/>
      <c r="E44" s="619"/>
      <c r="F44" s="619"/>
      <c r="G44" s="619"/>
      <c r="H44" s="619"/>
      <c r="I44" s="619"/>
    </row>
    <row r="45" spans="2:9" ht="15.75" x14ac:dyDescent="0.25">
      <c r="B45" s="631" t="s">
        <v>801</v>
      </c>
      <c r="C45" s="619"/>
      <c r="D45" s="619"/>
      <c r="E45" s="619"/>
      <c r="F45" s="619"/>
      <c r="G45" s="619"/>
      <c r="H45" s="619"/>
      <c r="I45" s="619"/>
    </row>
    <row r="46" spans="2:9" ht="15.75" x14ac:dyDescent="0.25">
      <c r="B46" s="631" t="str">
        <f>CONCATENATE("sources in your ",G14," library fund is not equal to or greater than the amount from the same")</f>
        <v>sources in your 2020 library fund is not equal to or greater than the amount from the same</v>
      </c>
      <c r="C46" s="619"/>
      <c r="D46" s="619"/>
      <c r="E46" s="619"/>
      <c r="F46" s="619"/>
      <c r="G46" s="619"/>
      <c r="H46" s="619"/>
      <c r="I46" s="619"/>
    </row>
    <row r="47" spans="2:9" ht="15.75" x14ac:dyDescent="0.25">
      <c r="B47" s="631" t="str">
        <f>CONCATENATE("sources in ",E14,".")</f>
        <v>sources in 2019.</v>
      </c>
      <c r="C47" s="617"/>
      <c r="D47" s="617"/>
      <c r="E47" s="617"/>
      <c r="F47" s="617"/>
      <c r="G47" s="617"/>
      <c r="H47" s="617"/>
      <c r="I47" s="617"/>
    </row>
    <row r="48" spans="2:9" ht="15.75" x14ac:dyDescent="0.25">
      <c r="B48" s="617"/>
      <c r="C48" s="617"/>
      <c r="D48" s="617"/>
      <c r="E48" s="617"/>
      <c r="F48" s="617"/>
      <c r="G48" s="617"/>
      <c r="H48" s="617"/>
      <c r="I48" s="617"/>
    </row>
    <row r="49" spans="2:9" ht="15.75" x14ac:dyDescent="0.25">
      <c r="B49" s="631" t="s">
        <v>802</v>
      </c>
      <c r="C49" s="631"/>
      <c r="D49" s="632"/>
      <c r="E49" s="632"/>
      <c r="F49" s="632"/>
      <c r="G49" s="632"/>
      <c r="H49" s="632"/>
      <c r="I49" s="632"/>
    </row>
    <row r="50" spans="2:9" ht="15.75" x14ac:dyDescent="0.25">
      <c r="B50" s="631" t="s">
        <v>803</v>
      </c>
      <c r="C50" s="631"/>
      <c r="D50" s="632"/>
      <c r="E50" s="632"/>
      <c r="F50" s="632"/>
      <c r="G50" s="632"/>
      <c r="H50" s="632"/>
      <c r="I50" s="632"/>
    </row>
    <row r="51" spans="2:9" ht="15.75" x14ac:dyDescent="0.25">
      <c r="B51" s="631" t="s">
        <v>804</v>
      </c>
      <c r="C51" s="631"/>
      <c r="D51" s="632"/>
      <c r="E51" s="632"/>
      <c r="F51" s="632"/>
      <c r="G51" s="632"/>
      <c r="H51" s="632"/>
      <c r="I51" s="632"/>
    </row>
    <row r="52" spans="2:9" x14ac:dyDescent="0.2">
      <c r="B52" s="632"/>
      <c r="C52" s="632"/>
      <c r="D52" s="632"/>
      <c r="E52" s="632"/>
      <c r="F52" s="632"/>
      <c r="G52" s="632"/>
      <c r="H52" s="632"/>
      <c r="I52" s="632"/>
    </row>
    <row r="53" spans="2:9" ht="15.75" x14ac:dyDescent="0.25">
      <c r="B53" s="633" t="s">
        <v>805</v>
      </c>
      <c r="C53" s="632"/>
      <c r="D53" s="632"/>
      <c r="E53" s="632"/>
      <c r="F53" s="632"/>
      <c r="G53" s="632"/>
      <c r="H53" s="632"/>
      <c r="I53" s="632"/>
    </row>
    <row r="54" spans="2:9" x14ac:dyDescent="0.2">
      <c r="B54" s="632"/>
      <c r="C54" s="632"/>
      <c r="D54" s="632"/>
      <c r="E54" s="632"/>
      <c r="F54" s="632"/>
      <c r="G54" s="632"/>
      <c r="H54" s="632"/>
      <c r="I54" s="632"/>
    </row>
    <row r="55" spans="2:9" ht="15.75" x14ac:dyDescent="0.25">
      <c r="B55" s="631" t="s">
        <v>806</v>
      </c>
      <c r="C55" s="632"/>
      <c r="D55" s="632"/>
      <c r="E55" s="632"/>
      <c r="F55" s="632"/>
      <c r="G55" s="632"/>
      <c r="H55" s="632"/>
      <c r="I55" s="632"/>
    </row>
    <row r="56" spans="2:9" ht="15.75" x14ac:dyDescent="0.25">
      <c r="B56" s="631" t="s">
        <v>807</v>
      </c>
      <c r="C56" s="632"/>
      <c r="D56" s="632"/>
      <c r="E56" s="632"/>
      <c r="F56" s="632"/>
      <c r="G56" s="632"/>
      <c r="H56" s="632"/>
      <c r="I56" s="632"/>
    </row>
    <row r="57" spans="2:9" x14ac:dyDescent="0.2">
      <c r="B57" s="632"/>
      <c r="C57" s="632"/>
      <c r="D57" s="632"/>
      <c r="E57" s="632"/>
      <c r="F57" s="632"/>
      <c r="G57" s="632"/>
      <c r="H57" s="632"/>
      <c r="I57" s="632"/>
    </row>
    <row r="58" spans="2:9" ht="15.75" x14ac:dyDescent="0.25">
      <c r="B58" s="633" t="s">
        <v>808</v>
      </c>
      <c r="C58" s="631"/>
      <c r="D58" s="631"/>
      <c r="E58" s="631"/>
      <c r="F58" s="631"/>
      <c r="G58" s="632"/>
      <c r="H58" s="632"/>
      <c r="I58" s="632"/>
    </row>
    <row r="59" spans="2:9" ht="15.75" x14ac:dyDescent="0.25">
      <c r="B59" s="631"/>
      <c r="C59" s="631"/>
      <c r="D59" s="631"/>
      <c r="E59" s="631"/>
      <c r="F59" s="631"/>
      <c r="G59" s="632"/>
      <c r="H59" s="632"/>
      <c r="I59" s="632"/>
    </row>
    <row r="60" spans="2:9" ht="15.75" x14ac:dyDescent="0.25">
      <c r="B60" s="631" t="s">
        <v>809</v>
      </c>
      <c r="C60" s="631"/>
      <c r="D60" s="631"/>
      <c r="E60" s="631"/>
      <c r="F60" s="631"/>
      <c r="G60" s="632"/>
      <c r="H60" s="632"/>
      <c r="I60" s="632"/>
    </row>
    <row r="61" spans="2:9" ht="15.75" x14ac:dyDescent="0.25">
      <c r="B61" s="631" t="s">
        <v>810</v>
      </c>
      <c r="C61" s="631"/>
      <c r="D61" s="631"/>
      <c r="E61" s="631"/>
      <c r="F61" s="631"/>
      <c r="G61" s="632"/>
      <c r="H61" s="632"/>
      <c r="I61" s="632"/>
    </row>
    <row r="62" spans="2:9" ht="15.75" x14ac:dyDescent="0.25">
      <c r="B62" s="631" t="s">
        <v>811</v>
      </c>
      <c r="C62" s="631"/>
      <c r="D62" s="631"/>
      <c r="E62" s="631"/>
      <c r="F62" s="631"/>
      <c r="G62" s="632"/>
      <c r="H62" s="632"/>
      <c r="I62" s="632"/>
    </row>
    <row r="63" spans="2:9" ht="15.75" x14ac:dyDescent="0.25">
      <c r="B63" s="631" t="s">
        <v>812</v>
      </c>
      <c r="C63" s="631"/>
      <c r="D63" s="631"/>
      <c r="E63" s="631"/>
      <c r="F63" s="631"/>
      <c r="G63" s="632"/>
      <c r="H63" s="632"/>
      <c r="I63" s="632"/>
    </row>
    <row r="64" spans="2:9" x14ac:dyDescent="0.2">
      <c r="B64" s="634"/>
      <c r="C64" s="634"/>
      <c r="D64" s="634"/>
      <c r="E64" s="634"/>
      <c r="F64" s="634"/>
      <c r="G64" s="632"/>
      <c r="H64" s="632"/>
      <c r="I64" s="632"/>
    </row>
    <row r="65" spans="2:9" ht="15.75" x14ac:dyDescent="0.25">
      <c r="B65" s="631" t="s">
        <v>813</v>
      </c>
      <c r="C65" s="634"/>
      <c r="D65" s="634"/>
      <c r="E65" s="634"/>
      <c r="F65" s="634"/>
      <c r="G65" s="632"/>
      <c r="H65" s="632"/>
      <c r="I65" s="632"/>
    </row>
    <row r="66" spans="2:9" ht="15.75" x14ac:dyDescent="0.25">
      <c r="B66" s="631" t="s">
        <v>814</v>
      </c>
      <c r="C66" s="634"/>
      <c r="D66" s="634"/>
      <c r="E66" s="634"/>
      <c r="F66" s="634"/>
      <c r="G66" s="632"/>
      <c r="H66" s="632"/>
      <c r="I66" s="632"/>
    </row>
    <row r="67" spans="2:9" x14ac:dyDescent="0.2">
      <c r="B67" s="634"/>
      <c r="C67" s="634"/>
      <c r="D67" s="634"/>
      <c r="E67" s="634"/>
      <c r="F67" s="634"/>
      <c r="G67" s="632"/>
      <c r="H67" s="632"/>
      <c r="I67" s="632"/>
    </row>
    <row r="68" spans="2:9" ht="15.75" x14ac:dyDescent="0.25">
      <c r="B68" s="631" t="s">
        <v>815</v>
      </c>
      <c r="C68" s="634"/>
      <c r="D68" s="634"/>
      <c r="E68" s="634"/>
      <c r="F68" s="634"/>
      <c r="G68" s="632"/>
      <c r="H68" s="632"/>
      <c r="I68" s="632"/>
    </row>
    <row r="69" spans="2:9" ht="15.75" x14ac:dyDescent="0.25">
      <c r="B69" s="631" t="s">
        <v>816</v>
      </c>
      <c r="C69" s="634"/>
      <c r="D69" s="634"/>
      <c r="E69" s="634"/>
      <c r="F69" s="634"/>
      <c r="G69" s="632"/>
      <c r="H69" s="632"/>
      <c r="I69" s="632"/>
    </row>
    <row r="70" spans="2:9" x14ac:dyDescent="0.2">
      <c r="B70" s="634"/>
      <c r="C70" s="634"/>
      <c r="D70" s="634"/>
      <c r="E70" s="634"/>
      <c r="F70" s="634"/>
      <c r="G70" s="632"/>
      <c r="H70" s="632"/>
      <c r="I70" s="632"/>
    </row>
    <row r="71" spans="2:9" ht="15.75" x14ac:dyDescent="0.25">
      <c r="B71" s="633" t="s">
        <v>817</v>
      </c>
      <c r="C71" s="634"/>
      <c r="D71" s="634"/>
      <c r="E71" s="634"/>
      <c r="F71" s="634"/>
      <c r="G71" s="632"/>
      <c r="H71" s="632"/>
      <c r="I71" s="632"/>
    </row>
    <row r="72" spans="2:9" x14ac:dyDescent="0.2">
      <c r="B72" s="634"/>
      <c r="C72" s="634"/>
      <c r="D72" s="634"/>
      <c r="E72" s="634"/>
      <c r="F72" s="634"/>
      <c r="G72" s="632"/>
      <c r="H72" s="632"/>
      <c r="I72" s="632"/>
    </row>
    <row r="73" spans="2:9" ht="15.75" x14ac:dyDescent="0.25">
      <c r="B73" s="631" t="s">
        <v>818</v>
      </c>
      <c r="C73" s="634"/>
      <c r="D73" s="634"/>
      <c r="E73" s="634"/>
      <c r="F73" s="634"/>
      <c r="G73" s="632"/>
      <c r="H73" s="632"/>
      <c r="I73" s="632"/>
    </row>
    <row r="74" spans="2:9" ht="15.75" x14ac:dyDescent="0.25">
      <c r="B74" s="631" t="s">
        <v>819</v>
      </c>
      <c r="C74" s="634"/>
      <c r="D74" s="634"/>
      <c r="E74" s="634"/>
      <c r="F74" s="634"/>
      <c r="G74" s="632"/>
      <c r="H74" s="632"/>
      <c r="I74" s="632"/>
    </row>
    <row r="75" spans="2:9" x14ac:dyDescent="0.2">
      <c r="B75" s="634"/>
      <c r="C75" s="634"/>
      <c r="D75" s="634"/>
      <c r="E75" s="634"/>
      <c r="F75" s="634"/>
      <c r="G75" s="632"/>
      <c r="H75" s="632"/>
      <c r="I75" s="632"/>
    </row>
    <row r="76" spans="2:9" ht="15.75" x14ac:dyDescent="0.25">
      <c r="B76" s="633" t="s">
        <v>820</v>
      </c>
      <c r="C76" s="634"/>
      <c r="D76" s="634"/>
      <c r="E76" s="634"/>
      <c r="F76" s="634"/>
      <c r="G76" s="632"/>
      <c r="H76" s="632"/>
      <c r="I76" s="632"/>
    </row>
    <row r="77" spans="2:9" x14ac:dyDescent="0.2">
      <c r="B77" s="634"/>
      <c r="C77" s="634"/>
      <c r="D77" s="634"/>
      <c r="E77" s="634"/>
      <c r="F77" s="634"/>
      <c r="G77" s="632"/>
      <c r="H77" s="632"/>
      <c r="I77" s="632"/>
    </row>
    <row r="78" spans="2:9" ht="15.75" x14ac:dyDescent="0.25">
      <c r="B78" s="631" t="str">
        <f>CONCATENATE("If the ",G14," municipal budget has not been published and has not been submitted to the County")</f>
        <v>If the 2020 municipal budget has not been published and has not been submitted to the County</v>
      </c>
      <c r="C78" s="634"/>
      <c r="D78" s="634"/>
      <c r="E78" s="634"/>
      <c r="F78" s="634"/>
      <c r="G78" s="632"/>
      <c r="H78" s="632"/>
      <c r="I78" s="632"/>
    </row>
    <row r="79" spans="2:9" ht="15.75" x14ac:dyDescent="0.25">
      <c r="B79" s="631" t="s">
        <v>821</v>
      </c>
      <c r="C79" s="634"/>
      <c r="D79" s="634"/>
      <c r="E79" s="634"/>
      <c r="F79" s="634"/>
      <c r="G79" s="632"/>
      <c r="H79" s="632"/>
      <c r="I79" s="632"/>
    </row>
    <row r="80" spans="2:9" x14ac:dyDescent="0.2">
      <c r="B80" s="634"/>
      <c r="C80" s="634"/>
      <c r="D80" s="634"/>
      <c r="E80" s="634"/>
      <c r="F80" s="634"/>
      <c r="G80" s="632"/>
      <c r="H80" s="632"/>
      <c r="I80" s="632"/>
    </row>
    <row r="81" spans="2:9" ht="15.75" x14ac:dyDescent="0.25">
      <c r="B81" s="633" t="s">
        <v>435</v>
      </c>
      <c r="C81" s="634"/>
      <c r="D81" s="634"/>
      <c r="E81" s="634"/>
      <c r="F81" s="634"/>
      <c r="G81" s="632"/>
      <c r="H81" s="632"/>
      <c r="I81" s="632"/>
    </row>
    <row r="82" spans="2:9" x14ac:dyDescent="0.2">
      <c r="B82" s="634"/>
      <c r="C82" s="634"/>
      <c r="D82" s="634"/>
      <c r="E82" s="634"/>
      <c r="F82" s="634"/>
      <c r="G82" s="632"/>
      <c r="H82" s="632"/>
      <c r="I82" s="632"/>
    </row>
    <row r="83" spans="2:9" ht="15.75" x14ac:dyDescent="0.25">
      <c r="B83" s="631" t="s">
        <v>822</v>
      </c>
      <c r="C83" s="634"/>
      <c r="D83" s="634"/>
      <c r="E83" s="634"/>
      <c r="F83" s="634"/>
      <c r="G83" s="632"/>
      <c r="H83" s="632"/>
      <c r="I83" s="632"/>
    </row>
    <row r="84" spans="2:9" ht="15.75" x14ac:dyDescent="0.25">
      <c r="B84" s="631" t="str">
        <f>CONCATENATE("Budget Year ",G14," is equal to or greater than that for Current Year Estimate ",E14,".")</f>
        <v>Budget Year 2020 is equal to or greater than that for Current Year Estimate 2019.</v>
      </c>
      <c r="C84" s="634"/>
      <c r="D84" s="634"/>
      <c r="E84" s="634"/>
      <c r="F84" s="634"/>
      <c r="G84" s="632"/>
      <c r="H84" s="632"/>
      <c r="I84" s="632"/>
    </row>
    <row r="85" spans="2:9" x14ac:dyDescent="0.2">
      <c r="B85" s="634"/>
      <c r="C85" s="634"/>
      <c r="D85" s="634"/>
      <c r="E85" s="634"/>
      <c r="F85" s="634"/>
      <c r="G85" s="632"/>
      <c r="H85" s="632"/>
      <c r="I85" s="632"/>
    </row>
    <row r="86" spans="2:9" ht="15.75" x14ac:dyDescent="0.25">
      <c r="B86" s="631" t="s">
        <v>823</v>
      </c>
      <c r="C86" s="634"/>
      <c r="D86" s="634"/>
      <c r="E86" s="634"/>
      <c r="F86" s="634"/>
      <c r="G86" s="632"/>
      <c r="H86" s="632"/>
      <c r="I86" s="632"/>
    </row>
    <row r="87" spans="2:9" ht="15.75" x14ac:dyDescent="0.25">
      <c r="B87" s="631" t="s">
        <v>824</v>
      </c>
      <c r="C87" s="634"/>
      <c r="D87" s="634"/>
      <c r="E87" s="634"/>
      <c r="F87" s="634"/>
      <c r="G87" s="632"/>
      <c r="H87" s="632"/>
      <c r="I87" s="632"/>
    </row>
    <row r="88" spans="2:9" ht="15.75" x14ac:dyDescent="0.25">
      <c r="B88" s="631" t="s">
        <v>825</v>
      </c>
      <c r="C88" s="634"/>
      <c r="D88" s="634"/>
      <c r="E88" s="634"/>
      <c r="F88" s="634"/>
      <c r="G88" s="632"/>
      <c r="H88" s="632"/>
      <c r="I88" s="632"/>
    </row>
    <row r="89" spans="2:9" ht="15.75" x14ac:dyDescent="0.25">
      <c r="B89" s="631" t="str">
        <f>CONCATENATE("purpose for the previous (",E14,") year.")</f>
        <v>purpose for the previous (2019) year.</v>
      </c>
      <c r="C89" s="634"/>
      <c r="D89" s="634"/>
      <c r="E89" s="634"/>
      <c r="F89" s="634"/>
      <c r="G89" s="632"/>
      <c r="H89" s="632"/>
      <c r="I89" s="632"/>
    </row>
    <row r="90" spans="2:9" x14ac:dyDescent="0.2">
      <c r="B90" s="634"/>
      <c r="C90" s="634"/>
      <c r="D90" s="634"/>
      <c r="E90" s="634"/>
      <c r="F90" s="634"/>
      <c r="G90" s="632"/>
      <c r="H90" s="632"/>
      <c r="I90" s="632"/>
    </row>
    <row r="91" spans="2:9" ht="15.75" x14ac:dyDescent="0.25">
      <c r="B91" s="631" t="str">
        <f>CONCATENATE("Next, look to see if delinquent tax for ",G14," is budgeted. Often this line is budgeted at $0 or left")</f>
        <v>Next, look to see if delinquent tax for 2020 is budgeted. Often this line is budgeted at $0 or left</v>
      </c>
      <c r="C91" s="634"/>
      <c r="D91" s="634"/>
      <c r="E91" s="634"/>
      <c r="F91" s="634"/>
      <c r="G91" s="632"/>
      <c r="H91" s="632"/>
      <c r="I91" s="632"/>
    </row>
    <row r="92" spans="2:9" ht="15.75" x14ac:dyDescent="0.25">
      <c r="B92" s="631" t="s">
        <v>826</v>
      </c>
      <c r="C92" s="634"/>
      <c r="D92" s="634"/>
      <c r="E92" s="634"/>
      <c r="F92" s="634"/>
      <c r="G92" s="632"/>
      <c r="H92" s="632"/>
      <c r="I92" s="632"/>
    </row>
    <row r="93" spans="2:9" ht="15.75" x14ac:dyDescent="0.25">
      <c r="B93" s="631" t="s">
        <v>827</v>
      </c>
      <c r="C93" s="634"/>
      <c r="D93" s="634"/>
      <c r="E93" s="634"/>
      <c r="F93" s="634"/>
      <c r="G93" s="632"/>
      <c r="H93" s="632"/>
      <c r="I93" s="632"/>
    </row>
    <row r="94" spans="2:9" ht="15.75" x14ac:dyDescent="0.25">
      <c r="B94" s="631" t="s">
        <v>828</v>
      </c>
      <c r="C94" s="634"/>
      <c r="D94" s="634"/>
      <c r="E94" s="634"/>
      <c r="F94" s="634"/>
      <c r="G94" s="632"/>
      <c r="H94" s="632"/>
      <c r="I94" s="632"/>
    </row>
    <row r="95" spans="2:9" x14ac:dyDescent="0.2">
      <c r="B95" s="634"/>
      <c r="C95" s="634"/>
      <c r="D95" s="634"/>
      <c r="E95" s="634"/>
      <c r="F95" s="634"/>
      <c r="G95" s="632"/>
      <c r="H95" s="632"/>
      <c r="I95" s="632"/>
    </row>
    <row r="96" spans="2:9" ht="15.75" x14ac:dyDescent="0.25">
      <c r="B96" s="633" t="s">
        <v>829</v>
      </c>
      <c r="C96" s="634"/>
      <c r="D96" s="634"/>
      <c r="E96" s="634"/>
      <c r="F96" s="634"/>
      <c r="G96" s="632"/>
      <c r="H96" s="632"/>
      <c r="I96" s="632"/>
    </row>
    <row r="97" spans="2:9" x14ac:dyDescent="0.2">
      <c r="B97" s="634"/>
      <c r="C97" s="634"/>
      <c r="D97" s="634"/>
      <c r="E97" s="634"/>
      <c r="F97" s="634"/>
      <c r="G97" s="632"/>
      <c r="H97" s="632"/>
      <c r="I97" s="632"/>
    </row>
    <row r="98" spans="2:9" ht="15.75" x14ac:dyDescent="0.25">
      <c r="B98" s="631" t="s">
        <v>830</v>
      </c>
      <c r="C98" s="634"/>
      <c r="D98" s="634"/>
      <c r="E98" s="634"/>
      <c r="F98" s="634"/>
      <c r="G98" s="632"/>
      <c r="H98" s="632"/>
      <c r="I98" s="632"/>
    </row>
    <row r="99" spans="2:9" ht="15.75" x14ac:dyDescent="0.25">
      <c r="B99" s="631" t="s">
        <v>831</v>
      </c>
      <c r="C99" s="634"/>
      <c r="D99" s="634"/>
      <c r="E99" s="634"/>
      <c r="F99" s="634"/>
      <c r="G99" s="632"/>
      <c r="H99" s="632"/>
      <c r="I99" s="632"/>
    </row>
    <row r="100" spans="2:9" x14ac:dyDescent="0.2">
      <c r="B100" s="634"/>
      <c r="C100" s="634"/>
      <c r="D100" s="634"/>
      <c r="E100" s="634"/>
      <c r="F100" s="634"/>
      <c r="G100" s="632"/>
      <c r="H100" s="632"/>
      <c r="I100" s="632"/>
    </row>
    <row r="101" spans="2:9" ht="15.75" x14ac:dyDescent="0.25">
      <c r="B101" s="631" t="s">
        <v>832</v>
      </c>
      <c r="C101" s="634"/>
      <c r="D101" s="634"/>
      <c r="E101" s="634"/>
      <c r="F101" s="634"/>
      <c r="G101" s="632"/>
      <c r="H101" s="632"/>
      <c r="I101" s="632"/>
    </row>
    <row r="102" spans="2:9" ht="15.75" x14ac:dyDescent="0.25">
      <c r="B102" s="631" t="s">
        <v>833</v>
      </c>
      <c r="C102" s="634"/>
      <c r="D102" s="634"/>
      <c r="E102" s="634"/>
      <c r="F102" s="634"/>
      <c r="G102" s="632"/>
      <c r="H102" s="632"/>
      <c r="I102" s="632"/>
    </row>
    <row r="103" spans="2:9" ht="15.75" x14ac:dyDescent="0.25">
      <c r="B103" s="631" t="s">
        <v>834</v>
      </c>
      <c r="C103" s="634"/>
      <c r="D103" s="634"/>
      <c r="E103" s="634"/>
      <c r="F103" s="634"/>
      <c r="G103" s="632"/>
      <c r="H103" s="632"/>
      <c r="I103" s="632"/>
    </row>
    <row r="104" spans="2:9" ht="15.75" x14ac:dyDescent="0.25">
      <c r="B104" s="631" t="s">
        <v>891</v>
      </c>
      <c r="C104" s="634"/>
      <c r="D104" s="634"/>
      <c r="E104" s="634"/>
      <c r="F104" s="634"/>
      <c r="G104" s="632"/>
      <c r="H104" s="632"/>
      <c r="I104" s="632"/>
    </row>
    <row r="105" spans="2:9" ht="15.75" x14ac:dyDescent="0.25">
      <c r="B105" s="690" t="s">
        <v>1012</v>
      </c>
      <c r="C105" s="691"/>
      <c r="D105" s="691"/>
      <c r="E105" s="691"/>
      <c r="F105" s="691"/>
      <c r="G105" s="632"/>
      <c r="H105" s="632"/>
      <c r="I105" s="632"/>
    </row>
    <row r="108" spans="2:9" x14ac:dyDescent="0.2">
      <c r="G108" s="651"/>
    </row>
  </sheetData>
  <sheetProtection sheet="1"/>
  <mergeCells count="6">
    <mergeCell ref="B43:I43"/>
    <mergeCell ref="B2:I2"/>
    <mergeCell ref="B3:I3"/>
    <mergeCell ref="B5:I5"/>
    <mergeCell ref="B10:I10"/>
    <mergeCell ref="B36:I36"/>
  </mergeCells>
  <hyperlinks>
    <hyperlink ref="B105" r:id="rId1" xr:uid="{00000000-0004-0000-0E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pageSetUpPr fitToPage="1"/>
  </sheetPr>
  <dimension ref="B1:P86"/>
  <sheetViews>
    <sheetView topLeftCell="B32" zoomScaleNormal="100" workbookViewId="0">
      <selection activeCell="G76" sqref="G76"/>
    </sheetView>
  </sheetViews>
  <sheetFormatPr defaultColWidth="8.88671875" defaultRowHeight="15.75" x14ac:dyDescent="0.2"/>
  <cols>
    <col min="1" max="1" width="2.44140625" style="57" customWidth="1"/>
    <col min="2" max="2" width="31.109375" style="57" customWidth="1"/>
    <col min="3" max="4" width="15.77734375" style="57" customWidth="1"/>
    <col min="5" max="5" width="16.21875" style="57" customWidth="1"/>
    <col min="6" max="6" width="7.21875" style="57" customWidth="1"/>
    <col min="7" max="7" width="10.21875" style="57" customWidth="1"/>
    <col min="8" max="8" width="8.88671875" style="57"/>
    <col min="9" max="9" width="5.6640625" style="57" customWidth="1"/>
    <col min="10" max="10" width="10" style="57" customWidth="1"/>
    <col min="11" max="16384" width="8.88671875" style="57"/>
  </cols>
  <sheetData>
    <row r="1" spans="2:5" x14ac:dyDescent="0.2">
      <c r="B1" s="173" t="str">
        <f>(inputPrYr!D3)</f>
        <v>City of Strong City</v>
      </c>
      <c r="C1" s="56"/>
      <c r="D1" s="56"/>
      <c r="E1" s="135">
        <f>inputPrYr!$C$6</f>
        <v>2020</v>
      </c>
    </row>
    <row r="2" spans="2:5" x14ac:dyDescent="0.2">
      <c r="B2" s="56"/>
      <c r="C2" s="56"/>
      <c r="D2" s="56"/>
      <c r="E2" s="185"/>
    </row>
    <row r="3" spans="2:5" x14ac:dyDescent="0.2">
      <c r="B3" s="67"/>
      <c r="C3" s="190"/>
      <c r="D3" s="190"/>
      <c r="E3" s="137"/>
    </row>
    <row r="4" spans="2:5" x14ac:dyDescent="0.2">
      <c r="B4" s="67" t="s">
        <v>211</v>
      </c>
      <c r="C4" s="243"/>
      <c r="D4" s="243"/>
      <c r="E4" s="243"/>
    </row>
    <row r="5" spans="2:5" x14ac:dyDescent="0.2">
      <c r="B5" s="59" t="s">
        <v>151</v>
      </c>
      <c r="C5" s="662" t="s">
        <v>778</v>
      </c>
      <c r="D5" s="663" t="s">
        <v>779</v>
      </c>
      <c r="E5" s="148" t="s">
        <v>780</v>
      </c>
    </row>
    <row r="6" spans="2:5" x14ac:dyDescent="0.2">
      <c r="B6" s="410" t="str">
        <f>+(inputPrYr!B22)</f>
        <v>General</v>
      </c>
      <c r="C6" s="299" t="str">
        <f>CONCATENATE("Actual for ",$E$1-2,"")</f>
        <v>Actual for 2018</v>
      </c>
      <c r="D6" s="376" t="str">
        <f>CONCATENATE("Estimate for ",$E$1-1,"")</f>
        <v>Estimate for 2019</v>
      </c>
      <c r="E6" s="196" t="str">
        <f>CONCATENATE("Year for ",$E$1,"")</f>
        <v>Year for 2020</v>
      </c>
    </row>
    <row r="7" spans="2:5" x14ac:dyDescent="0.2">
      <c r="B7" s="152" t="s">
        <v>256</v>
      </c>
      <c r="C7" s="384">
        <v>214867</v>
      </c>
      <c r="D7" s="397">
        <f>C66</f>
        <v>257413</v>
      </c>
      <c r="E7" s="244">
        <f>D66</f>
        <v>169881</v>
      </c>
    </row>
    <row r="8" spans="2:5" x14ac:dyDescent="0.2">
      <c r="B8" s="245" t="s">
        <v>258</v>
      </c>
      <c r="C8" s="385"/>
      <c r="D8" s="397"/>
      <c r="E8" s="246"/>
    </row>
    <row r="9" spans="2:5" x14ac:dyDescent="0.2">
      <c r="B9" s="152" t="s">
        <v>152</v>
      </c>
      <c r="C9" s="384">
        <v>103463</v>
      </c>
      <c r="D9" s="397">
        <f>IF(inputPrYr!H21&gt;0,inputPrYr!G22,inputPrYr!E22)</f>
        <v>110544</v>
      </c>
      <c r="E9" s="247" t="s">
        <v>140</v>
      </c>
    </row>
    <row r="10" spans="2:5" x14ac:dyDescent="0.2">
      <c r="B10" s="152" t="s">
        <v>153</v>
      </c>
      <c r="C10" s="384">
        <v>157</v>
      </c>
      <c r="D10" s="386"/>
      <c r="E10" s="248"/>
    </row>
    <row r="11" spans="2:5" x14ac:dyDescent="0.2">
      <c r="B11" s="152" t="s">
        <v>154</v>
      </c>
      <c r="C11" s="384">
        <v>14804</v>
      </c>
      <c r="D11" s="386">
        <v>17128</v>
      </c>
      <c r="E11" s="249">
        <f>Mvalloc!D9</f>
        <v>16244</v>
      </c>
    </row>
    <row r="12" spans="2:5" x14ac:dyDescent="0.2">
      <c r="B12" s="152" t="s">
        <v>155</v>
      </c>
      <c r="C12" s="384">
        <v>333</v>
      </c>
      <c r="D12" s="386">
        <v>222</v>
      </c>
      <c r="E12" s="249">
        <f>Mvalloc!E9</f>
        <v>324</v>
      </c>
    </row>
    <row r="13" spans="2:5" x14ac:dyDescent="0.2">
      <c r="B13" s="250" t="s">
        <v>207</v>
      </c>
      <c r="C13" s="384">
        <v>154</v>
      </c>
      <c r="D13" s="386">
        <v>308</v>
      </c>
      <c r="E13" s="249">
        <f>Mvalloc!F9</f>
        <v>76</v>
      </c>
    </row>
    <row r="14" spans="2:5" x14ac:dyDescent="0.2">
      <c r="B14" s="250" t="s">
        <v>988</v>
      </c>
      <c r="C14" s="384">
        <v>1485</v>
      </c>
      <c r="D14" s="386">
        <v>246</v>
      </c>
      <c r="E14" s="249">
        <f>Mvalloc!G9</f>
        <v>1536</v>
      </c>
    </row>
    <row r="15" spans="2:5" x14ac:dyDescent="0.2">
      <c r="B15" s="250" t="s">
        <v>989</v>
      </c>
      <c r="C15" s="384">
        <v>58</v>
      </c>
      <c r="D15" s="386">
        <v>0</v>
      </c>
      <c r="E15" s="249">
        <f>Mvalloc!H9</f>
        <v>51</v>
      </c>
    </row>
    <row r="16" spans="2:5" x14ac:dyDescent="0.2">
      <c r="B16" s="250" t="s">
        <v>249</v>
      </c>
      <c r="C16" s="384">
        <v>0</v>
      </c>
      <c r="D16" s="386">
        <v>0</v>
      </c>
      <c r="E16" s="249">
        <f>inputOth!E17</f>
        <v>0</v>
      </c>
    </row>
    <row r="17" spans="2:5" x14ac:dyDescent="0.2">
      <c r="B17" s="250" t="s">
        <v>111</v>
      </c>
      <c r="C17" s="384">
        <v>0</v>
      </c>
      <c r="D17" s="386">
        <v>0</v>
      </c>
      <c r="E17" s="249">
        <f>inputOth!E39</f>
        <v>0</v>
      </c>
    </row>
    <row r="18" spans="2:5" x14ac:dyDescent="0.2">
      <c r="B18" s="250" t="s">
        <v>113</v>
      </c>
      <c r="C18" s="384">
        <v>0</v>
      </c>
      <c r="D18" s="386">
        <v>0</v>
      </c>
      <c r="E18" s="249">
        <f>inputOth!E40</f>
        <v>0</v>
      </c>
    </row>
    <row r="19" spans="2:5" x14ac:dyDescent="0.2">
      <c r="B19" s="386"/>
      <c r="C19" s="384"/>
      <c r="D19" s="386">
        <v>0</v>
      </c>
      <c r="E19" s="248"/>
    </row>
    <row r="20" spans="2:5" x14ac:dyDescent="0.2">
      <c r="B20" s="251" t="s">
        <v>156</v>
      </c>
      <c r="C20" s="384">
        <v>2366</v>
      </c>
      <c r="D20" s="386">
        <v>1965</v>
      </c>
      <c r="E20" s="248">
        <v>4759</v>
      </c>
    </row>
    <row r="21" spans="2:5" x14ac:dyDescent="0.2">
      <c r="B21" s="398" t="s">
        <v>607</v>
      </c>
      <c r="C21" s="384">
        <v>13095</v>
      </c>
      <c r="D21" s="386">
        <v>10000</v>
      </c>
      <c r="E21" s="248">
        <v>12000</v>
      </c>
    </row>
    <row r="22" spans="2:5" x14ac:dyDescent="0.2">
      <c r="B22" s="251" t="s">
        <v>242</v>
      </c>
      <c r="C22" s="384">
        <v>69817</v>
      </c>
      <c r="D22" s="386">
        <v>70000</v>
      </c>
      <c r="E22" s="252">
        <v>70000</v>
      </c>
    </row>
    <row r="23" spans="2:5" x14ac:dyDescent="0.2">
      <c r="B23" s="251" t="s">
        <v>243</v>
      </c>
      <c r="C23" s="384">
        <v>32422</v>
      </c>
      <c r="D23" s="386">
        <v>33000</v>
      </c>
      <c r="E23" s="248">
        <v>35000</v>
      </c>
    </row>
    <row r="24" spans="2:5" x14ac:dyDescent="0.2">
      <c r="B24" s="251" t="s">
        <v>244</v>
      </c>
      <c r="C24" s="384">
        <v>652</v>
      </c>
      <c r="D24" s="386">
        <v>700</v>
      </c>
      <c r="E24" s="248">
        <v>700</v>
      </c>
    </row>
    <row r="25" spans="2:5" x14ac:dyDescent="0.2">
      <c r="B25" s="251" t="s">
        <v>245</v>
      </c>
      <c r="C25" s="384">
        <v>123</v>
      </c>
      <c r="D25" s="386">
        <v>200</v>
      </c>
      <c r="E25" s="248">
        <v>200</v>
      </c>
    </row>
    <row r="26" spans="2:5" x14ac:dyDescent="0.25">
      <c r="B26" s="33" t="s">
        <v>1099</v>
      </c>
      <c r="C26" s="384">
        <v>7376</v>
      </c>
      <c r="D26" s="386">
        <v>4000</v>
      </c>
      <c r="E26" s="248">
        <v>5000</v>
      </c>
    </row>
    <row r="27" spans="2:5" x14ac:dyDescent="0.2">
      <c r="B27" s="251" t="s">
        <v>1100</v>
      </c>
      <c r="C27" s="382">
        <v>1421</v>
      </c>
      <c r="D27" s="386">
        <v>2000</v>
      </c>
      <c r="E27" s="248">
        <v>2000</v>
      </c>
    </row>
    <row r="28" spans="2:5" x14ac:dyDescent="0.2">
      <c r="B28" s="251" t="s">
        <v>1101</v>
      </c>
      <c r="C28" s="382">
        <v>300</v>
      </c>
      <c r="D28" s="386">
        <v>500</v>
      </c>
      <c r="E28" s="248">
        <v>500</v>
      </c>
    </row>
    <row r="29" spans="2:5" x14ac:dyDescent="0.2">
      <c r="B29" s="251" t="s">
        <v>1102</v>
      </c>
      <c r="C29" s="384">
        <v>2100</v>
      </c>
      <c r="D29" s="386">
        <v>2500</v>
      </c>
      <c r="E29" s="248">
        <v>2500</v>
      </c>
    </row>
    <row r="30" spans="2:5" x14ac:dyDescent="0.2">
      <c r="B30" s="251" t="s">
        <v>1103</v>
      </c>
      <c r="C30" s="384">
        <v>2682</v>
      </c>
      <c r="D30" s="386">
        <v>2500</v>
      </c>
      <c r="E30" s="248">
        <v>2500</v>
      </c>
    </row>
    <row r="31" spans="2:5" x14ac:dyDescent="0.2">
      <c r="B31" s="251" t="s">
        <v>1122</v>
      </c>
      <c r="C31" s="384">
        <v>20985</v>
      </c>
      <c r="D31" s="386">
        <v>0</v>
      </c>
      <c r="E31" s="248">
        <v>0</v>
      </c>
    </row>
    <row r="32" spans="2:5" x14ac:dyDescent="0.2">
      <c r="B32" s="251"/>
      <c r="C32" s="384"/>
      <c r="D32" s="386"/>
      <c r="E32" s="248"/>
    </row>
    <row r="33" spans="2:10" x14ac:dyDescent="0.2">
      <c r="B33" s="251" t="s">
        <v>157</v>
      </c>
      <c r="C33" s="384">
        <v>0</v>
      </c>
      <c r="D33" s="386">
        <v>8000</v>
      </c>
      <c r="E33" s="248">
        <v>4000</v>
      </c>
    </row>
    <row r="34" spans="2:10" x14ac:dyDescent="0.2">
      <c r="B34" s="253" t="s">
        <v>158</v>
      </c>
      <c r="C34" s="384">
        <v>1422</v>
      </c>
      <c r="D34" s="386">
        <v>1500</v>
      </c>
      <c r="E34" s="248"/>
    </row>
    <row r="35" spans="2:10" x14ac:dyDescent="0.2">
      <c r="B35" s="165" t="s">
        <v>49</v>
      </c>
      <c r="C35" s="384">
        <v>0</v>
      </c>
      <c r="D35" s="386"/>
      <c r="E35" s="249">
        <f>Nhood!E7*-1</f>
        <v>0</v>
      </c>
    </row>
    <row r="36" spans="2:10" x14ac:dyDescent="0.2">
      <c r="B36" s="165" t="s">
        <v>246</v>
      </c>
      <c r="C36" s="382">
        <v>910</v>
      </c>
      <c r="D36" s="386">
        <v>900</v>
      </c>
      <c r="E36" s="254"/>
    </row>
    <row r="37" spans="2:10" x14ac:dyDescent="0.2">
      <c r="B37" s="165" t="s">
        <v>606</v>
      </c>
      <c r="C37" s="375" t="str">
        <f>IF(C38*0.1&lt;C36,"Exceed 10% Rule","")</f>
        <v/>
      </c>
      <c r="D37" s="387" t="str">
        <f>IF(D38*0.1&lt;D36,"Exceed 10% Rule","")</f>
        <v/>
      </c>
      <c r="E37" s="255" t="str">
        <f>IF(E38*0.1+E72&lt;E36,"Exceed 10% Rule","")</f>
        <v/>
      </c>
    </row>
    <row r="38" spans="2:10" x14ac:dyDescent="0.2">
      <c r="B38" s="256" t="s">
        <v>159</v>
      </c>
      <c r="C38" s="381">
        <f>SUM(C9:C36)</f>
        <v>276125</v>
      </c>
      <c r="D38" s="388">
        <f>SUM(D9:D36)</f>
        <v>266213</v>
      </c>
      <c r="E38" s="257">
        <f>SUM(E9:E36)</f>
        <v>157390</v>
      </c>
    </row>
    <row r="39" spans="2:10" x14ac:dyDescent="0.2">
      <c r="B39" s="256" t="s">
        <v>160</v>
      </c>
      <c r="C39" s="381">
        <f>C7+C38</f>
        <v>490992</v>
      </c>
      <c r="D39" s="388">
        <f>D7+D38</f>
        <v>523626</v>
      </c>
      <c r="E39" s="258">
        <f>E7+E38</f>
        <v>327271</v>
      </c>
    </row>
    <row r="40" spans="2:10" x14ac:dyDescent="0.2">
      <c r="B40" s="245" t="s">
        <v>161</v>
      </c>
      <c r="C40" s="383"/>
      <c r="D40" s="389"/>
      <c r="E40" s="249"/>
    </row>
    <row r="41" spans="2:10" x14ac:dyDescent="0.25">
      <c r="B41" s="259"/>
      <c r="C41" s="382"/>
      <c r="D41" s="386"/>
      <c r="E41" s="395"/>
    </row>
    <row r="42" spans="2:10" x14ac:dyDescent="0.25">
      <c r="B42" s="259" t="s">
        <v>1104</v>
      </c>
      <c r="C42" s="382">
        <v>127156</v>
      </c>
      <c r="D42" s="575">
        <v>135000</v>
      </c>
      <c r="E42" s="579">
        <v>140000</v>
      </c>
    </row>
    <row r="43" spans="2:10" x14ac:dyDescent="0.25">
      <c r="B43" s="259" t="s">
        <v>1105</v>
      </c>
      <c r="C43" s="382">
        <v>22162</v>
      </c>
      <c r="D43" s="575">
        <v>30000</v>
      </c>
      <c r="E43" s="579">
        <v>40000</v>
      </c>
    </row>
    <row r="44" spans="2:10" x14ac:dyDescent="0.25">
      <c r="B44" s="576" t="s">
        <v>1106</v>
      </c>
      <c r="C44" s="382">
        <v>11929</v>
      </c>
      <c r="D44" s="575">
        <v>15000</v>
      </c>
      <c r="E44" s="579">
        <v>15000</v>
      </c>
    </row>
    <row r="45" spans="2:10" x14ac:dyDescent="0.25">
      <c r="B45" s="576" t="s">
        <v>1107</v>
      </c>
      <c r="C45" s="382">
        <v>2834</v>
      </c>
      <c r="D45" s="575">
        <v>5000</v>
      </c>
      <c r="E45" s="579">
        <v>20000</v>
      </c>
      <c r="G45" s="959" t="str">
        <f>CONCATENATE("Desired Carryover Into ",E1+1,"")</f>
        <v>Desired Carryover Into 2021</v>
      </c>
      <c r="H45" s="960"/>
      <c r="I45" s="960"/>
      <c r="J45" s="961"/>
    </row>
    <row r="46" spans="2:10" x14ac:dyDescent="0.25">
      <c r="B46" s="576" t="s">
        <v>1108</v>
      </c>
      <c r="C46" s="382">
        <v>0</v>
      </c>
      <c r="D46" s="575">
        <v>0</v>
      </c>
      <c r="E46" s="579">
        <v>1000</v>
      </c>
      <c r="G46" s="519"/>
      <c r="H46" s="419"/>
      <c r="I46" s="435"/>
      <c r="J46" s="520"/>
    </row>
    <row r="47" spans="2:10" x14ac:dyDescent="0.25">
      <c r="B47" s="576" t="s">
        <v>1109</v>
      </c>
      <c r="C47" s="382">
        <v>20109</v>
      </c>
      <c r="D47" s="575">
        <v>20000</v>
      </c>
      <c r="E47" s="579">
        <v>22000</v>
      </c>
      <c r="G47" s="441" t="s">
        <v>615</v>
      </c>
      <c r="H47" s="435"/>
      <c r="I47" s="435"/>
      <c r="J47" s="429">
        <v>0</v>
      </c>
    </row>
    <row r="48" spans="2:10" x14ac:dyDescent="0.25">
      <c r="B48" s="576" t="s">
        <v>1110</v>
      </c>
      <c r="C48" s="382">
        <v>3000</v>
      </c>
      <c r="D48" s="575">
        <v>3000</v>
      </c>
      <c r="E48" s="579">
        <v>3000</v>
      </c>
      <c r="G48" s="519" t="s">
        <v>614</v>
      </c>
      <c r="H48" s="419"/>
      <c r="I48" s="419"/>
      <c r="J48" s="610" t="str">
        <f>IF(J47=0,"",ROUND((J47+E72-G61)/inputOth!E7*1000,3)-G66)</f>
        <v/>
      </c>
    </row>
    <row r="49" spans="2:11" x14ac:dyDescent="0.25">
      <c r="B49" s="576" t="s">
        <v>1111</v>
      </c>
      <c r="C49" s="382">
        <v>894</v>
      </c>
      <c r="D49" s="575">
        <v>525</v>
      </c>
      <c r="E49" s="579">
        <v>0</v>
      </c>
      <c r="G49" s="611" t="str">
        <f>CONCATENATE("",E1," Tot Exp/Non-Appr Must Be:")</f>
        <v>2020 Tot Exp/Non-Appr Must Be:</v>
      </c>
      <c r="H49" s="608"/>
      <c r="I49" s="609"/>
      <c r="J49" s="605">
        <f>IF(J47&gt;0,IF(E69&lt;E39,IF(J47=G61,E69,((J47-G61)*(1-D71))+E39),E69+(J47-G61)),0)</f>
        <v>0</v>
      </c>
    </row>
    <row r="50" spans="2:11" x14ac:dyDescent="0.25">
      <c r="B50" s="576" t="s">
        <v>1112</v>
      </c>
      <c r="C50" s="382">
        <v>31636</v>
      </c>
      <c r="D50" s="575">
        <v>32000</v>
      </c>
      <c r="E50" s="579">
        <v>35000</v>
      </c>
      <c r="G50" s="642" t="s">
        <v>781</v>
      </c>
      <c r="H50" s="647"/>
      <c r="I50" s="647"/>
      <c r="J50" s="612">
        <f>IF(J47&gt;0,J49-E69,0)</f>
        <v>0</v>
      </c>
    </row>
    <row r="51" spans="2:11" x14ac:dyDescent="0.25">
      <c r="B51" s="576" t="s">
        <v>1113</v>
      </c>
      <c r="C51" s="382">
        <v>227</v>
      </c>
      <c r="D51" s="575">
        <v>50000</v>
      </c>
      <c r="E51" s="579">
        <v>65000</v>
      </c>
    </row>
    <row r="52" spans="2:11" x14ac:dyDescent="0.25">
      <c r="B52" s="576" t="s">
        <v>1114</v>
      </c>
      <c r="C52" s="382">
        <v>2080</v>
      </c>
      <c r="D52" s="575">
        <v>10000</v>
      </c>
      <c r="E52" s="579">
        <v>10000</v>
      </c>
      <c r="G52" s="959" t="str">
        <f>CONCATENATE("Projected Carryover Into ",E1+1,"")</f>
        <v>Projected Carryover Into 2021</v>
      </c>
      <c r="H52" s="960"/>
      <c r="I52" s="960"/>
      <c r="J52" s="961"/>
    </row>
    <row r="53" spans="2:11" x14ac:dyDescent="0.25">
      <c r="B53" s="578" t="s">
        <v>1115</v>
      </c>
      <c r="C53" s="382">
        <v>3283</v>
      </c>
      <c r="D53" s="386">
        <v>2500</v>
      </c>
      <c r="E53" s="248">
        <v>3000</v>
      </c>
      <c r="G53" s="430"/>
      <c r="H53" s="419"/>
      <c r="I53" s="419"/>
      <c r="J53" s="431"/>
    </row>
    <row r="54" spans="2:11" x14ac:dyDescent="0.25">
      <c r="B54" s="578" t="s">
        <v>1116</v>
      </c>
      <c r="C54" s="382">
        <v>0</v>
      </c>
      <c r="D54" s="386">
        <v>10000</v>
      </c>
      <c r="E54" s="248">
        <v>40000</v>
      </c>
      <c r="G54" s="432">
        <f>D66</f>
        <v>169881</v>
      </c>
      <c r="H54" s="433" t="str">
        <f>CONCATENATE("",E1-1," Ending Cash Balance (est.)")</f>
        <v>2019 Ending Cash Balance (est.)</v>
      </c>
      <c r="I54" s="434"/>
      <c r="J54" s="431"/>
    </row>
    <row r="55" spans="2:11" x14ac:dyDescent="0.25">
      <c r="B55" s="578" t="s">
        <v>1117</v>
      </c>
      <c r="C55" s="382">
        <v>0</v>
      </c>
      <c r="D55" s="386">
        <v>5000</v>
      </c>
      <c r="E55" s="248">
        <v>5000</v>
      </c>
      <c r="G55" s="432">
        <f>E38</f>
        <v>157390</v>
      </c>
      <c r="H55" s="435" t="str">
        <f>CONCATENATE("",E1," Non-AV Receipts (est.)")</f>
        <v>2020 Non-AV Receipts (est.)</v>
      </c>
      <c r="I55" s="434"/>
      <c r="J55" s="431"/>
    </row>
    <row r="56" spans="2:11" x14ac:dyDescent="0.25">
      <c r="B56" s="578" t="s">
        <v>1118</v>
      </c>
      <c r="C56" s="382">
        <v>3600</v>
      </c>
      <c r="D56" s="386">
        <v>3600</v>
      </c>
      <c r="E56" s="248">
        <v>3600</v>
      </c>
      <c r="G56" s="436">
        <f>IF(E71&gt;0,E70,E72)</f>
        <v>112449</v>
      </c>
      <c r="H56" s="435" t="str">
        <f>CONCATENATE("",E1," Ad Valorem Tax (est.)")</f>
        <v>2020 Ad Valorem Tax (est.)</v>
      </c>
      <c r="I56" s="434"/>
      <c r="J56" s="431"/>
      <c r="K56" s="649" t="str">
        <f>IF(G56=E72,"","Note: Does not include Delinquent Taxes")</f>
        <v/>
      </c>
    </row>
    <row r="57" spans="2:11" x14ac:dyDescent="0.2">
      <c r="B57" s="259" t="s">
        <v>1119</v>
      </c>
      <c r="C57" s="382">
        <v>0</v>
      </c>
      <c r="D57" s="386">
        <v>15000</v>
      </c>
      <c r="E57" s="248">
        <v>19000</v>
      </c>
      <c r="G57" s="432">
        <f>SUM(G54:G56)</f>
        <v>439720</v>
      </c>
      <c r="H57" s="435" t="str">
        <f>CONCATENATE("Total ",E1," Resources Available")</f>
        <v>Total 2020 Resources Available</v>
      </c>
      <c r="I57" s="434"/>
      <c r="J57" s="431"/>
    </row>
    <row r="58" spans="2:11" x14ac:dyDescent="0.2">
      <c r="B58" s="259" t="s">
        <v>49</v>
      </c>
      <c r="C58" s="382">
        <v>115</v>
      </c>
      <c r="D58" s="386">
        <v>120</v>
      </c>
      <c r="E58" s="248">
        <v>120</v>
      </c>
      <c r="G58" s="437"/>
      <c r="H58" s="435"/>
      <c r="I58" s="435"/>
      <c r="J58" s="431"/>
    </row>
    <row r="59" spans="2:11" x14ac:dyDescent="0.2">
      <c r="B59" s="259" t="s">
        <v>1120</v>
      </c>
      <c r="C59" s="382">
        <v>0</v>
      </c>
      <c r="D59" s="386">
        <v>5000</v>
      </c>
      <c r="E59" s="248">
        <v>5000</v>
      </c>
      <c r="G59" s="436">
        <f>ROUND(C65*0.05+C65,0)</f>
        <v>245258</v>
      </c>
      <c r="H59" s="435" t="str">
        <f>CONCATENATE("Less ",E1-2," Expenditures + 5%")</f>
        <v>Less 2018 Expenditures + 5%</v>
      </c>
      <c r="I59" s="434"/>
      <c r="J59" s="431"/>
    </row>
    <row r="60" spans="2:11" x14ac:dyDescent="0.2">
      <c r="B60" s="259" t="s">
        <v>1121</v>
      </c>
      <c r="C60" s="382">
        <v>3615</v>
      </c>
      <c r="D60" s="386">
        <v>11000</v>
      </c>
      <c r="E60" s="248">
        <v>12000</v>
      </c>
      <c r="G60" s="436"/>
      <c r="H60" s="435"/>
      <c r="I60" s="434"/>
      <c r="J60" s="431"/>
    </row>
    <row r="61" spans="2:11" x14ac:dyDescent="0.2">
      <c r="B61" s="259"/>
      <c r="C61" s="382"/>
      <c r="D61" s="386"/>
      <c r="E61" s="248"/>
      <c r="G61" s="442">
        <f>G57-G59</f>
        <v>194462</v>
      </c>
      <c r="H61" s="438" t="str">
        <f>CONCATENATE("Projected ",E1+1," Carryover (est.)")</f>
        <v>Projected 2021 Carryover (est.)</v>
      </c>
      <c r="I61" s="439"/>
      <c r="J61" s="440"/>
    </row>
    <row r="62" spans="2:11" x14ac:dyDescent="0.2">
      <c r="B62" s="769" t="str">
        <f>CONCATENATE("Cash Forward (",E1," column)")</f>
        <v>Cash Forward (2020 column)</v>
      </c>
      <c r="C62" s="382"/>
      <c r="D62" s="386"/>
      <c r="E62" s="248"/>
    </row>
    <row r="63" spans="2:11" x14ac:dyDescent="0.2">
      <c r="B63" s="165" t="s">
        <v>246</v>
      </c>
      <c r="C63" s="382">
        <v>939</v>
      </c>
      <c r="D63" s="386">
        <v>1000</v>
      </c>
      <c r="E63" s="248">
        <v>1000</v>
      </c>
      <c r="G63" s="970" t="s">
        <v>897</v>
      </c>
      <c r="H63" s="971"/>
      <c r="I63" s="971"/>
      <c r="J63" s="972"/>
    </row>
    <row r="64" spans="2:11" x14ac:dyDescent="0.2">
      <c r="B64" s="165" t="s">
        <v>605</v>
      </c>
      <c r="C64" s="375" t="str">
        <f>IF(C65*0.1&lt;C63,"Exceed 10% Rule","")</f>
        <v/>
      </c>
      <c r="D64" s="387" t="str">
        <f>IF(D65*0.1&lt;D63,"Exceed 10% Rule","")</f>
        <v/>
      </c>
      <c r="E64" s="255" t="str">
        <f>IF(E65*0.1&lt;E63,"Exceed 10% Rule","")</f>
        <v/>
      </c>
      <c r="G64" s="654"/>
      <c r="H64" s="433"/>
      <c r="I64" s="606"/>
      <c r="J64" s="607"/>
    </row>
    <row r="65" spans="2:16" x14ac:dyDescent="0.2">
      <c r="B65" s="256" t="s">
        <v>162</v>
      </c>
      <c r="C65" s="381">
        <f>SUM(C41:C63)</f>
        <v>233579</v>
      </c>
      <c r="D65" s="388">
        <f>SUM(D41:D63)</f>
        <v>353745</v>
      </c>
      <c r="E65" s="257">
        <f>SUM(E41:E63)</f>
        <v>439720</v>
      </c>
      <c r="G65" s="656">
        <f>summ!H16</f>
        <v>53.328000000000003</v>
      </c>
      <c r="H65" s="433" t="str">
        <f>CONCATENATE("",E1," Fund Mill Rate")</f>
        <v>2020 Fund Mill Rate</v>
      </c>
      <c r="I65" s="606"/>
      <c r="J65" s="607"/>
    </row>
    <row r="66" spans="2:16" x14ac:dyDescent="0.2">
      <c r="B66" s="152" t="s">
        <v>257</v>
      </c>
      <c r="C66" s="374">
        <f>C39-C65</f>
        <v>257413</v>
      </c>
      <c r="D66" s="202">
        <f>D39-D65</f>
        <v>169881</v>
      </c>
      <c r="E66" s="247" t="s">
        <v>140</v>
      </c>
      <c r="G66" s="655">
        <f>summ!E16</f>
        <v>53.503</v>
      </c>
      <c r="H66" s="433" t="str">
        <f>CONCATENATE("",E1-1," Fund Mill Rate")</f>
        <v>2019 Fund Mill Rate</v>
      </c>
      <c r="I66" s="606"/>
      <c r="J66" s="607"/>
    </row>
    <row r="67" spans="2:16" x14ac:dyDescent="0.2">
      <c r="B67" s="314" t="str">
        <f>CONCATENATE("",E1-2,"/",E1-1,"/",E1," Budget Authority Amount:")</f>
        <v>2018/2019/2020 Budget Authority Amount:</v>
      </c>
      <c r="C67" s="389">
        <f>inputOth!B58</f>
        <v>362800</v>
      </c>
      <c r="D67" s="389">
        <f>inputPrYr!D22</f>
        <v>362800</v>
      </c>
      <c r="E67" s="118">
        <f>E65</f>
        <v>439720</v>
      </c>
      <c r="G67" s="657">
        <f>summ!H31</f>
        <v>53.328000000000003</v>
      </c>
      <c r="H67" s="433" t="str">
        <f>CONCATENATE("Total ",E1," Mill Rate")</f>
        <v>Total 2020 Mill Rate</v>
      </c>
      <c r="I67" s="606"/>
      <c r="J67" s="607"/>
    </row>
    <row r="68" spans="2:16" x14ac:dyDescent="0.2">
      <c r="B68" s="181"/>
      <c r="C68" s="966" t="s">
        <v>608</v>
      </c>
      <c r="D68" s="967"/>
      <c r="E68" s="73"/>
      <c r="F68" s="260"/>
      <c r="G68" s="655">
        <f>summ!E31</f>
        <v>53.503</v>
      </c>
      <c r="H68" s="594" t="str">
        <f>CONCATENATE("Total ",E1-1," Mill Rate")</f>
        <v>Total 2019 Mill Rate</v>
      </c>
      <c r="I68" s="595"/>
      <c r="J68" s="596"/>
    </row>
    <row r="69" spans="2:16" x14ac:dyDescent="0.2">
      <c r="B69" s="390" t="str">
        <f>CONCATENATE(C84,"     ",D84)</f>
        <v xml:space="preserve">     </v>
      </c>
      <c r="C69" s="968" t="s">
        <v>609</v>
      </c>
      <c r="D69" s="969"/>
      <c r="E69" s="163">
        <f>E65+E68</f>
        <v>439720</v>
      </c>
      <c r="F69" s="425" t="str">
        <f>IF(E65/0.95-E65&lt;E68,"Exceeds 5%","")</f>
        <v/>
      </c>
    </row>
    <row r="70" spans="2:16" x14ac:dyDescent="0.2">
      <c r="B70" s="390" t="str">
        <f>CONCATENATE(C85,"     ",D85)</f>
        <v xml:space="preserve">     </v>
      </c>
      <c r="C70" s="261"/>
      <c r="D70" s="185" t="s">
        <v>163</v>
      </c>
      <c r="E70" s="593">
        <f>IF(E69-E39&gt;0,E69-E39,0)</f>
        <v>112449</v>
      </c>
      <c r="G70" s="755"/>
      <c r="H70" s="756"/>
      <c r="I70" s="756"/>
      <c r="J70" s="761"/>
    </row>
    <row r="71" spans="2:16" x14ac:dyDescent="0.2">
      <c r="B71" s="262"/>
      <c r="C71" s="399" t="s">
        <v>610</v>
      </c>
      <c r="D71" s="652">
        <f>inputOth!E44</f>
        <v>0</v>
      </c>
      <c r="E71" s="163">
        <f>ROUND(IF(inputOth!E44&gt;0,(E70*inputOth!E44),0),0)</f>
        <v>0</v>
      </c>
      <c r="G71" s="767" t="str">
        <f>CONCATENATE("Computed ",E1," tax levy limit amount")</f>
        <v>Computed 2020 tax levy limit amount</v>
      </c>
      <c r="H71" s="766"/>
      <c r="I71" s="766"/>
      <c r="J71" s="765">
        <f>Comp1!J47</f>
        <v>0</v>
      </c>
    </row>
    <row r="72" spans="2:16" ht="16.5" thickBot="1" x14ac:dyDescent="0.25">
      <c r="B72" s="56"/>
      <c r="C72" s="962" t="str">
        <f>CONCATENATE("Amount of  ",E1-1," Ad Valorem Tax")</f>
        <v>Amount of  2019 Ad Valorem Tax</v>
      </c>
      <c r="D72" s="963"/>
      <c r="E72" s="653">
        <f>E70+E71</f>
        <v>112449</v>
      </c>
      <c r="G72" s="764" t="str">
        <f>CONCATENATE("Total ",E1," tax levy amount")</f>
        <v>Total 2020 tax levy amount</v>
      </c>
      <c r="H72" s="763"/>
      <c r="I72" s="763"/>
      <c r="J72" s="762">
        <f>summ!G31</f>
        <v>112449</v>
      </c>
    </row>
    <row r="73" spans="2:16" ht="16.5" thickTop="1" x14ac:dyDescent="0.2">
      <c r="B73" s="185"/>
      <c r="C73" s="962"/>
      <c r="D73" s="963"/>
      <c r="E73" s="56"/>
    </row>
    <row r="74" spans="2:16" x14ac:dyDescent="0.2">
      <c r="B74" s="800" t="s">
        <v>1011</v>
      </c>
      <c r="C74" s="796"/>
      <c r="D74" s="796"/>
      <c r="E74" s="155"/>
    </row>
    <row r="75" spans="2:16" x14ac:dyDescent="0.2">
      <c r="B75" s="797"/>
      <c r="C75" s="580"/>
      <c r="D75" s="580"/>
      <c r="E75" s="142"/>
    </row>
    <row r="76" spans="2:16" x14ac:dyDescent="0.2">
      <c r="B76" s="798"/>
      <c r="C76" s="799"/>
      <c r="D76" s="799"/>
      <c r="E76" s="89"/>
      <c r="G76" s="57" t="s">
        <v>128</v>
      </c>
    </row>
    <row r="77" spans="2:16" x14ac:dyDescent="0.2">
      <c r="B77" s="181"/>
      <c r="C77" s="185"/>
      <c r="D77" s="420"/>
      <c r="E77" s="56"/>
    </row>
    <row r="78" spans="2:16" x14ac:dyDescent="0.2">
      <c r="B78" s="181" t="s">
        <v>165</v>
      </c>
      <c r="C78" s="59">
        <f>IF(inputPrYr!D24&gt;0,8,7)</f>
        <v>7</v>
      </c>
      <c r="D78" s="185"/>
      <c r="E78" s="185"/>
      <c r="M78" s="964"/>
      <c r="N78" s="964"/>
      <c r="O78" s="964"/>
      <c r="P78" s="965"/>
    </row>
    <row r="79" spans="2:16" x14ac:dyDescent="0.2">
      <c r="C79" s="378"/>
      <c r="D79" s="378"/>
      <c r="E79" s="426"/>
      <c r="M79" s="450"/>
      <c r="N79" s="450"/>
      <c r="O79" s="450"/>
      <c r="P79" s="450"/>
    </row>
    <row r="80" spans="2:16" x14ac:dyDescent="0.2">
      <c r="C80" s="427"/>
      <c r="D80" s="615"/>
      <c r="E80" s="616"/>
      <c r="F80" s="417"/>
      <c r="L80" s="455"/>
      <c r="M80" s="451"/>
      <c r="N80" s="452"/>
      <c r="O80" s="452"/>
      <c r="P80" s="453"/>
    </row>
    <row r="81" spans="3:16" x14ac:dyDescent="0.2">
      <c r="C81" s="428"/>
      <c r="D81" s="380"/>
      <c r="E81" s="380"/>
      <c r="F81" s="380"/>
      <c r="M81" s="427"/>
      <c r="N81" s="380"/>
      <c r="O81" s="427"/>
      <c r="P81" s="453"/>
    </row>
    <row r="82" spans="3:16" x14ac:dyDescent="0.2">
      <c r="C82" s="379"/>
      <c r="D82" s="614"/>
      <c r="E82" s="453"/>
      <c r="F82" s="380"/>
      <c r="M82" s="427"/>
      <c r="N82" s="380"/>
      <c r="O82" s="427"/>
      <c r="P82" s="454"/>
    </row>
    <row r="83" spans="3:16" ht="14.25" customHeight="1" x14ac:dyDescent="0.2">
      <c r="C83" s="379"/>
      <c r="D83" s="380"/>
      <c r="E83" s="380"/>
      <c r="F83" s="380"/>
    </row>
    <row r="84" spans="3:16" x14ac:dyDescent="0.2">
      <c r="C84" s="416" t="str">
        <f>IF(C65&gt;C67,"See Tab A","")</f>
        <v/>
      </c>
      <c r="D84" s="415" t="str">
        <f>IF(D65&gt;D67,"See Tab C","")</f>
        <v/>
      </c>
      <c r="E84" s="380"/>
      <c r="F84" s="380"/>
    </row>
    <row r="85" spans="3:16" ht="15.75" hidden="1" customHeight="1" x14ac:dyDescent="0.2">
      <c r="C85" s="414" t="str">
        <f>IF(C66&lt;0,"See Tab B","")</f>
        <v/>
      </c>
      <c r="D85" s="414" t="str">
        <f>IF(D66&lt;0,"See Tab D","")</f>
        <v/>
      </c>
      <c r="F85" s="380"/>
    </row>
    <row r="86" spans="3:16" ht="15.75" hidden="1" customHeight="1" x14ac:dyDescent="0.2"/>
  </sheetData>
  <mergeCells count="8">
    <mergeCell ref="G52:J52"/>
    <mergeCell ref="G45:J45"/>
    <mergeCell ref="C73:D73"/>
    <mergeCell ref="M78:P78"/>
    <mergeCell ref="C72:D72"/>
    <mergeCell ref="C68:D68"/>
    <mergeCell ref="C69:D69"/>
    <mergeCell ref="G63:J63"/>
  </mergeCells>
  <phoneticPr fontId="0" type="noConversion"/>
  <conditionalFormatting sqref="E63">
    <cfRule type="cellIs" dxfId="135" priority="3" stopIfTrue="1" operator="greaterThan">
      <formula>$E$65*0.1</formula>
    </cfRule>
  </conditionalFormatting>
  <conditionalFormatting sqref="E68">
    <cfRule type="cellIs" dxfId="134" priority="4" stopIfTrue="1" operator="greaterThan">
      <formula>$E$65/0.95-$E$65</formula>
    </cfRule>
  </conditionalFormatting>
  <conditionalFormatting sqref="C66">
    <cfRule type="cellIs" dxfId="133" priority="5" stopIfTrue="1" operator="lessThan">
      <formula>0</formula>
    </cfRule>
  </conditionalFormatting>
  <conditionalFormatting sqref="D65">
    <cfRule type="cellIs" dxfId="132" priority="6" stopIfTrue="1" operator="greaterThan">
      <formula>$D$67</formula>
    </cfRule>
  </conditionalFormatting>
  <conditionalFormatting sqref="C63">
    <cfRule type="cellIs" dxfId="131" priority="8" stopIfTrue="1" operator="greaterThan">
      <formula>$C$65*0.1</formula>
    </cfRule>
  </conditionalFormatting>
  <conditionalFormatting sqref="D63">
    <cfRule type="cellIs" dxfId="130" priority="9" stopIfTrue="1" operator="greaterThan">
      <formula>$D$65*0.1</formula>
    </cfRule>
  </conditionalFormatting>
  <conditionalFormatting sqref="C36">
    <cfRule type="cellIs" dxfId="129" priority="10" stopIfTrue="1" operator="greaterThan">
      <formula>$C$38*0.1</formula>
    </cfRule>
  </conditionalFormatting>
  <conditionalFormatting sqref="D36">
    <cfRule type="cellIs" dxfId="128" priority="11" stopIfTrue="1" operator="greaterThan">
      <formula>$D$38*0.1</formula>
    </cfRule>
  </conditionalFormatting>
  <conditionalFormatting sqref="E36">
    <cfRule type="cellIs" dxfId="127" priority="12" stopIfTrue="1" operator="greaterThan">
      <formula>$E$38*0.1+E72</formula>
    </cfRule>
  </conditionalFormatting>
  <conditionalFormatting sqref="D66">
    <cfRule type="cellIs" dxfId="126" priority="2" stopIfTrue="1" operator="lessThan">
      <formula>0</formula>
    </cfRule>
  </conditionalFormatting>
  <conditionalFormatting sqref="C65">
    <cfRule type="cellIs" dxfId="125" priority="1" stopIfTrue="1" operator="greaterThan">
      <formula>$C$67</formula>
    </cfRule>
  </conditionalFormatting>
  <pageMargins left="0.5" right="0.5" top="1" bottom="0.5" header="0.5" footer="0.5"/>
  <pageSetup scale="56" orientation="portrait" blackAndWhite="1" r:id="rId1"/>
  <headerFooter alignWithMargins="0">
    <oddHeader xml:space="preserve">&amp;RState of Kansas
City
</oddHeader>
  </headerFooter>
  <rowBreaks count="1" manualBreakCount="1">
    <brk id="7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D67"/>
  <sheetViews>
    <sheetView workbookViewId="0">
      <selection activeCell="P102" sqref="P102"/>
    </sheetView>
  </sheetViews>
  <sheetFormatPr defaultColWidth="8.88671875" defaultRowHeight="15.75" x14ac:dyDescent="0.2"/>
  <cols>
    <col min="1" max="1" width="28.33203125" style="43" customWidth="1"/>
    <col min="2" max="3" width="15.77734375" style="43" customWidth="1"/>
    <col min="4" max="4" width="16.44140625" style="43" customWidth="1"/>
    <col min="5" max="16384" width="8.88671875" style="43"/>
  </cols>
  <sheetData>
    <row r="1" spans="1:4" x14ac:dyDescent="0.2">
      <c r="A1" s="173" t="str">
        <f>inputPrYr!D3</f>
        <v>City of Strong City</v>
      </c>
      <c r="B1" s="56"/>
      <c r="C1" s="314"/>
      <c r="D1" s="56">
        <f>inputPrYr!C6</f>
        <v>2020</v>
      </c>
    </row>
    <row r="2" spans="1:4" x14ac:dyDescent="0.2">
      <c r="A2" s="56"/>
      <c r="B2" s="56"/>
      <c r="C2" s="56"/>
      <c r="D2" s="314"/>
    </row>
    <row r="3" spans="1:4" x14ac:dyDescent="0.2">
      <c r="A3" s="67" t="s">
        <v>62</v>
      </c>
      <c r="B3" s="315"/>
      <c r="C3" s="315"/>
      <c r="D3" s="315"/>
    </row>
    <row r="4" spans="1:4" x14ac:dyDescent="0.2">
      <c r="A4" s="314" t="s">
        <v>151</v>
      </c>
      <c r="B4" s="662" t="s">
        <v>778</v>
      </c>
      <c r="C4" s="663" t="s">
        <v>779</v>
      </c>
      <c r="D4" s="148" t="s">
        <v>780</v>
      </c>
    </row>
    <row r="5" spans="1:4" x14ac:dyDescent="0.2">
      <c r="A5" s="78" t="s">
        <v>63</v>
      </c>
      <c r="B5" s="299" t="str">
        <f>CONCATENATE("Actual for ",$D$1-2,"")</f>
        <v>Actual for 2018</v>
      </c>
      <c r="C5" s="376" t="str">
        <f>CONCATENATE("Estimate for ",$D$1-1,"")</f>
        <v>Estimate for 2019</v>
      </c>
      <c r="D5" s="196" t="str">
        <f>CONCATENATE("Year for ",$D$1,"")</f>
        <v>Year for 2020</v>
      </c>
    </row>
    <row r="6" spans="1:4" x14ac:dyDescent="0.2">
      <c r="A6" s="212" t="s">
        <v>161</v>
      </c>
      <c r="B6" s="92"/>
      <c r="C6" s="92"/>
      <c r="D6" s="92"/>
    </row>
    <row r="7" spans="1:4" x14ac:dyDescent="0.2">
      <c r="A7" s="316"/>
      <c r="B7" s="92"/>
      <c r="C7" s="92"/>
      <c r="D7" s="92"/>
    </row>
    <row r="8" spans="1:4" x14ac:dyDescent="0.2">
      <c r="A8" s="317" t="s">
        <v>64</v>
      </c>
      <c r="B8" s="301"/>
      <c r="C8" s="301"/>
      <c r="D8" s="301"/>
    </row>
    <row r="9" spans="1:4" x14ac:dyDescent="0.2">
      <c r="A9" s="317" t="s">
        <v>65</v>
      </c>
      <c r="B9" s="301"/>
      <c r="C9" s="301"/>
      <c r="D9" s="301"/>
    </row>
    <row r="10" spans="1:4" x14ac:dyDescent="0.2">
      <c r="A10" s="317" t="s">
        <v>66</v>
      </c>
      <c r="B10" s="301"/>
      <c r="C10" s="301"/>
      <c r="D10" s="301"/>
    </row>
    <row r="11" spans="1:4" x14ac:dyDescent="0.2">
      <c r="A11" s="317" t="s">
        <v>67</v>
      </c>
      <c r="B11" s="301"/>
      <c r="C11" s="301"/>
      <c r="D11" s="301"/>
    </row>
    <row r="12" spans="1:4" x14ac:dyDescent="0.2">
      <c r="A12" s="317"/>
      <c r="B12" s="301"/>
      <c r="C12" s="301"/>
      <c r="D12" s="301"/>
    </row>
    <row r="13" spans="1:4" x14ac:dyDescent="0.2">
      <c r="A13" s="76"/>
      <c r="B13" s="301"/>
      <c r="C13" s="301"/>
      <c r="D13" s="301"/>
    </row>
    <row r="14" spans="1:4" x14ac:dyDescent="0.2">
      <c r="A14" s="76"/>
      <c r="B14" s="301"/>
      <c r="C14" s="301"/>
      <c r="D14" s="301"/>
    </row>
    <row r="15" spans="1:4" x14ac:dyDescent="0.2">
      <c r="A15" s="212" t="s">
        <v>123</v>
      </c>
      <c r="B15" s="305">
        <f>SUM(B8:B14)</f>
        <v>0</v>
      </c>
      <c r="C15" s="305">
        <f>SUM(C8:C14)</f>
        <v>0</v>
      </c>
      <c r="D15" s="305">
        <f>SUM(D8:D14)</f>
        <v>0</v>
      </c>
    </row>
    <row r="16" spans="1:4" x14ac:dyDescent="0.2">
      <c r="A16" s="263"/>
      <c r="B16" s="173"/>
      <c r="C16" s="173"/>
      <c r="D16" s="173"/>
    </row>
    <row r="17" spans="1:4" x14ac:dyDescent="0.2">
      <c r="A17" s="317" t="s">
        <v>64</v>
      </c>
      <c r="B17" s="301"/>
      <c r="C17" s="301"/>
      <c r="D17" s="301"/>
    </row>
    <row r="18" spans="1:4" x14ac:dyDescent="0.2">
      <c r="A18" s="317" t="s">
        <v>65</v>
      </c>
      <c r="B18" s="301"/>
      <c r="C18" s="301"/>
      <c r="D18" s="301"/>
    </row>
    <row r="19" spans="1:4" x14ac:dyDescent="0.2">
      <c r="A19" s="317" t="s">
        <v>66</v>
      </c>
      <c r="B19" s="301"/>
      <c r="C19" s="301"/>
      <c r="D19" s="301"/>
    </row>
    <row r="20" spans="1:4" x14ac:dyDescent="0.2">
      <c r="A20" s="317" t="s">
        <v>67</v>
      </c>
      <c r="B20" s="301"/>
      <c r="C20" s="301"/>
      <c r="D20" s="301"/>
    </row>
    <row r="21" spans="1:4" x14ac:dyDescent="0.2">
      <c r="A21" s="317"/>
      <c r="B21" s="301"/>
      <c r="C21" s="301"/>
      <c r="D21" s="301"/>
    </row>
    <row r="22" spans="1:4" x14ac:dyDescent="0.2">
      <c r="A22" s="212" t="s">
        <v>123</v>
      </c>
      <c r="B22" s="305">
        <f>SUM(B17:B21)</f>
        <v>0</v>
      </c>
      <c r="C22" s="305">
        <f>SUM(C17:C21)</f>
        <v>0</v>
      </c>
      <c r="D22" s="305">
        <f>SUM(D17:D21)</f>
        <v>0</v>
      </c>
    </row>
    <row r="23" spans="1:4" x14ac:dyDescent="0.2">
      <c r="A23" s="263"/>
      <c r="B23" s="173"/>
      <c r="C23" s="173"/>
      <c r="D23" s="173"/>
    </row>
    <row r="24" spans="1:4" x14ac:dyDescent="0.2">
      <c r="A24" s="317" t="s">
        <v>64</v>
      </c>
      <c r="B24" s="301"/>
      <c r="C24" s="301"/>
      <c r="D24" s="301"/>
    </row>
    <row r="25" spans="1:4" x14ac:dyDescent="0.2">
      <c r="A25" s="317" t="s">
        <v>65</v>
      </c>
      <c r="B25" s="301"/>
      <c r="C25" s="301"/>
      <c r="D25" s="301"/>
    </row>
    <row r="26" spans="1:4" x14ac:dyDescent="0.2">
      <c r="A26" s="317" t="s">
        <v>66</v>
      </c>
      <c r="B26" s="301"/>
      <c r="C26" s="301"/>
      <c r="D26" s="301"/>
    </row>
    <row r="27" spans="1:4" x14ac:dyDescent="0.2">
      <c r="A27" s="317" t="s">
        <v>67</v>
      </c>
      <c r="B27" s="301"/>
      <c r="C27" s="301"/>
      <c r="D27" s="301"/>
    </row>
    <row r="28" spans="1:4" x14ac:dyDescent="0.2">
      <c r="A28" s="317"/>
      <c r="B28" s="301"/>
      <c r="C28" s="301"/>
      <c r="D28" s="301"/>
    </row>
    <row r="29" spans="1:4" x14ac:dyDescent="0.2">
      <c r="A29" s="212" t="s">
        <v>123</v>
      </c>
      <c r="B29" s="305">
        <f>SUM(B24:B28)</f>
        <v>0</v>
      </c>
      <c r="C29" s="305">
        <f>SUM(C24:C28)</f>
        <v>0</v>
      </c>
      <c r="D29" s="305">
        <f>SUM(D24:D28)</f>
        <v>0</v>
      </c>
    </row>
    <row r="30" spans="1:4" x14ac:dyDescent="0.2">
      <c r="A30" s="263"/>
      <c r="B30" s="173"/>
      <c r="C30" s="173"/>
      <c r="D30" s="173"/>
    </row>
    <row r="31" spans="1:4" x14ac:dyDescent="0.2">
      <c r="A31" s="317" t="s">
        <v>64</v>
      </c>
      <c r="B31" s="301"/>
      <c r="C31" s="301"/>
      <c r="D31" s="301"/>
    </row>
    <row r="32" spans="1:4" x14ac:dyDescent="0.2">
      <c r="A32" s="317" t="s">
        <v>65</v>
      </c>
      <c r="B32" s="301"/>
      <c r="C32" s="301"/>
      <c r="D32" s="301"/>
    </row>
    <row r="33" spans="1:4" x14ac:dyDescent="0.2">
      <c r="A33" s="317" t="s">
        <v>66</v>
      </c>
      <c r="B33" s="301"/>
      <c r="C33" s="301"/>
      <c r="D33" s="301"/>
    </row>
    <row r="34" spans="1:4" x14ac:dyDescent="0.2">
      <c r="A34" s="317" t="s">
        <v>67</v>
      </c>
      <c r="B34" s="301"/>
      <c r="C34" s="301"/>
      <c r="D34" s="301"/>
    </row>
    <row r="35" spans="1:4" x14ac:dyDescent="0.2">
      <c r="A35" s="212" t="s">
        <v>123</v>
      </c>
      <c r="B35" s="305">
        <f>SUM(B31:B34)</f>
        <v>0</v>
      </c>
      <c r="C35" s="305">
        <f>SUM(C31:C34)</f>
        <v>0</v>
      </c>
      <c r="D35" s="305">
        <f>SUM(D31:D34)</f>
        <v>0</v>
      </c>
    </row>
    <row r="36" spans="1:4" x14ac:dyDescent="0.2">
      <c r="A36" s="263"/>
      <c r="B36" s="173"/>
      <c r="C36" s="173"/>
      <c r="D36" s="173"/>
    </row>
    <row r="37" spans="1:4" x14ac:dyDescent="0.2">
      <c r="A37" s="317" t="s">
        <v>64</v>
      </c>
      <c r="B37" s="301"/>
      <c r="C37" s="301"/>
      <c r="D37" s="301"/>
    </row>
    <row r="38" spans="1:4" x14ac:dyDescent="0.2">
      <c r="A38" s="317" t="s">
        <v>65</v>
      </c>
      <c r="B38" s="301"/>
      <c r="C38" s="301"/>
      <c r="D38" s="301"/>
    </row>
    <row r="39" spans="1:4" x14ac:dyDescent="0.2">
      <c r="A39" s="317" t="s">
        <v>66</v>
      </c>
      <c r="B39" s="301"/>
      <c r="C39" s="301"/>
      <c r="D39" s="301"/>
    </row>
    <row r="40" spans="1:4" x14ac:dyDescent="0.2">
      <c r="A40" s="317" t="s">
        <v>67</v>
      </c>
      <c r="B40" s="301"/>
      <c r="C40" s="301"/>
      <c r="D40" s="301"/>
    </row>
    <row r="41" spans="1:4" x14ac:dyDescent="0.2">
      <c r="A41" s="317"/>
      <c r="B41" s="301"/>
      <c r="C41" s="301"/>
      <c r="D41" s="301"/>
    </row>
    <row r="42" spans="1:4" x14ac:dyDescent="0.2">
      <c r="A42" s="212" t="s">
        <v>123</v>
      </c>
      <c r="B42" s="305">
        <f>SUM(B37:B41)</f>
        <v>0</v>
      </c>
      <c r="C42" s="305">
        <f>SUM(C37:C41)</f>
        <v>0</v>
      </c>
      <c r="D42" s="305">
        <f>SUM(D37:D41)</f>
        <v>0</v>
      </c>
    </row>
    <row r="43" spans="1:4" x14ac:dyDescent="0.2">
      <c r="A43" s="263"/>
      <c r="B43" s="173"/>
      <c r="C43" s="173"/>
      <c r="D43" s="173"/>
    </row>
    <row r="44" spans="1:4" x14ac:dyDescent="0.2">
      <c r="A44" s="317" t="s">
        <v>64</v>
      </c>
      <c r="B44" s="301"/>
      <c r="C44" s="301"/>
      <c r="D44" s="301"/>
    </row>
    <row r="45" spans="1:4" x14ac:dyDescent="0.2">
      <c r="A45" s="317" t="s">
        <v>65</v>
      </c>
      <c r="B45" s="301"/>
      <c r="C45" s="301"/>
      <c r="D45" s="301"/>
    </row>
    <row r="46" spans="1:4" x14ac:dyDescent="0.2">
      <c r="A46" s="317" t="s">
        <v>66</v>
      </c>
      <c r="B46" s="301"/>
      <c r="C46" s="301"/>
      <c r="D46" s="301"/>
    </row>
    <row r="47" spans="1:4" x14ac:dyDescent="0.2">
      <c r="A47" s="317" t="s">
        <v>67</v>
      </c>
      <c r="B47" s="301"/>
      <c r="C47" s="301"/>
      <c r="D47" s="301"/>
    </row>
    <row r="48" spans="1:4" x14ac:dyDescent="0.2">
      <c r="A48" s="317"/>
      <c r="B48" s="301"/>
      <c r="C48" s="301"/>
      <c r="D48" s="301"/>
    </row>
    <row r="49" spans="1:4" x14ac:dyDescent="0.2">
      <c r="A49" s="212" t="s">
        <v>123</v>
      </c>
      <c r="B49" s="305">
        <f>SUM(B44:B48)</f>
        <v>0</v>
      </c>
      <c r="C49" s="305">
        <f>SUM(C44:C48)</f>
        <v>0</v>
      </c>
      <c r="D49" s="305">
        <f>SUM(D44:D48)</f>
        <v>0</v>
      </c>
    </row>
    <row r="50" spans="1:4" x14ac:dyDescent="0.2">
      <c r="A50" s="263"/>
      <c r="B50" s="173"/>
      <c r="C50" s="173"/>
      <c r="D50" s="173"/>
    </row>
    <row r="51" spans="1:4" x14ac:dyDescent="0.2">
      <c r="A51" s="317" t="s">
        <v>64</v>
      </c>
      <c r="B51" s="301"/>
      <c r="C51" s="301"/>
      <c r="D51" s="301"/>
    </row>
    <row r="52" spans="1:4" x14ac:dyDescent="0.2">
      <c r="A52" s="317" t="s">
        <v>65</v>
      </c>
      <c r="B52" s="301"/>
      <c r="C52" s="301"/>
      <c r="D52" s="301"/>
    </row>
    <row r="53" spans="1:4" x14ac:dyDescent="0.2">
      <c r="A53" s="317" t="s">
        <v>66</v>
      </c>
      <c r="B53" s="301"/>
      <c r="C53" s="301"/>
      <c r="D53" s="301"/>
    </row>
    <row r="54" spans="1:4" x14ac:dyDescent="0.2">
      <c r="A54" s="317" t="s">
        <v>67</v>
      </c>
      <c r="B54" s="301"/>
      <c r="C54" s="301"/>
      <c r="D54" s="301"/>
    </row>
    <row r="55" spans="1:4" x14ac:dyDescent="0.2">
      <c r="A55" s="317"/>
      <c r="B55" s="301"/>
      <c r="C55" s="301"/>
      <c r="D55" s="301"/>
    </row>
    <row r="56" spans="1:4" x14ac:dyDescent="0.2">
      <c r="A56" s="212" t="s">
        <v>123</v>
      </c>
      <c r="B56" s="305">
        <f>SUM(B51:B55)</f>
        <v>0</v>
      </c>
      <c r="C56" s="305">
        <f>SUM(C51:C55)</f>
        <v>0</v>
      </c>
      <c r="D56" s="305">
        <f>SUM(D51:D55)</f>
        <v>0</v>
      </c>
    </row>
    <row r="57" spans="1:4" x14ac:dyDescent="0.2">
      <c r="A57" s="263"/>
      <c r="B57" s="173"/>
      <c r="C57" s="173"/>
      <c r="D57" s="173"/>
    </row>
    <row r="58" spans="1:4" x14ac:dyDescent="0.2">
      <c r="A58" s="317" t="s">
        <v>64</v>
      </c>
      <c r="B58" s="301"/>
      <c r="C58" s="301"/>
      <c r="D58" s="301"/>
    </row>
    <row r="59" spans="1:4" x14ac:dyDescent="0.2">
      <c r="A59" s="317" t="s">
        <v>65</v>
      </c>
      <c r="B59" s="301"/>
      <c r="C59" s="301"/>
      <c r="D59" s="301"/>
    </row>
    <row r="60" spans="1:4" x14ac:dyDescent="0.2">
      <c r="A60" s="317" t="s">
        <v>66</v>
      </c>
      <c r="B60" s="301"/>
      <c r="C60" s="301"/>
      <c r="D60" s="301"/>
    </row>
    <row r="61" spans="1:4" x14ac:dyDescent="0.2">
      <c r="A61" s="317" t="s">
        <v>67</v>
      </c>
      <c r="B61" s="301"/>
      <c r="C61" s="301"/>
      <c r="D61" s="301"/>
    </row>
    <row r="62" spans="1:4" x14ac:dyDescent="0.2">
      <c r="A62" s="317"/>
      <c r="B62" s="301"/>
      <c r="C62" s="301"/>
      <c r="D62" s="301"/>
    </row>
    <row r="63" spans="1:4" x14ac:dyDescent="0.2">
      <c r="A63" s="212" t="s">
        <v>123</v>
      </c>
      <c r="B63" s="305">
        <f>SUM(B58:B62)</f>
        <v>0</v>
      </c>
      <c r="C63" s="305">
        <f>SUM(C58:C62)</f>
        <v>0</v>
      </c>
      <c r="D63" s="305">
        <f>SUM(D58:D62)</f>
        <v>0</v>
      </c>
    </row>
    <row r="64" spans="1:4" x14ac:dyDescent="0.2">
      <c r="A64" s="56"/>
      <c r="B64" s="173"/>
      <c r="C64" s="173"/>
      <c r="D64" s="173"/>
    </row>
    <row r="65" spans="1:4" ht="16.5" thickBot="1" x14ac:dyDescent="0.25">
      <c r="A65" s="212" t="s">
        <v>68</v>
      </c>
      <c r="B65" s="318">
        <f>B15+B22+B29+B35+B42+B49+B56+B63</f>
        <v>0</v>
      </c>
      <c r="C65" s="318">
        <f>C15+C22+C29+C35+C42+C49+C56+C63</f>
        <v>0</v>
      </c>
      <c r="D65" s="318">
        <f>D15+D22+D29+D35+D42+D49+D56+D63</f>
        <v>0</v>
      </c>
    </row>
    <row r="66" spans="1:4" ht="16.5" thickTop="1" x14ac:dyDescent="0.2">
      <c r="A66" s="56"/>
      <c r="B66" s="173"/>
      <c r="C66" s="173"/>
      <c r="D66" s="173"/>
    </row>
    <row r="67" spans="1:4" x14ac:dyDescent="0.2">
      <c r="A67" s="181" t="s">
        <v>165</v>
      </c>
      <c r="B67" s="688" t="str">
        <f>CONCATENATE("",general!C78,"b")</f>
        <v>7b</v>
      </c>
      <c r="C67" s="173"/>
      <c r="D67" s="173"/>
    </row>
  </sheetData>
  <sheetProtection sheet="1"/>
  <phoneticPr fontId="10" type="noConversion"/>
  <pageMargins left="0.75" right="0.75" top="1" bottom="1" header="0.5" footer="0.5"/>
  <pageSetup scale="59" orientation="portrait" blackAndWhite="1"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B1:K101"/>
  <sheetViews>
    <sheetView topLeftCell="B1" zoomScaleNormal="100" workbookViewId="0">
      <selection activeCell="N35" sqref="N35"/>
    </sheetView>
  </sheetViews>
  <sheetFormatPr defaultColWidth="8.88671875" defaultRowHeight="15.75" x14ac:dyDescent="0.2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88671875" style="2" customWidth="1"/>
    <col min="10" max="10" width="10" style="2" customWidth="1"/>
    <col min="11" max="16384" width="8.88671875" style="2"/>
  </cols>
  <sheetData>
    <row r="1" spans="2:5" x14ac:dyDescent="0.25">
      <c r="B1" s="173" t="str">
        <f>inputPrYr!D3</f>
        <v>City of Strong City</v>
      </c>
      <c r="C1" s="173"/>
      <c r="D1" s="56"/>
      <c r="E1" s="135">
        <f>inputPrYr!C6</f>
        <v>2020</v>
      </c>
    </row>
    <row r="2" spans="2:5" x14ac:dyDescent="0.25">
      <c r="B2" s="56"/>
      <c r="C2" s="56"/>
      <c r="D2" s="56"/>
      <c r="E2" s="185"/>
    </row>
    <row r="3" spans="2:5" x14ac:dyDescent="0.25">
      <c r="B3" s="67" t="s">
        <v>211</v>
      </c>
      <c r="C3" s="67"/>
      <c r="D3" s="243"/>
      <c r="E3" s="137"/>
    </row>
    <row r="4" spans="2:5" x14ac:dyDescent="0.25">
      <c r="B4" s="59" t="s">
        <v>151</v>
      </c>
      <c r="C4" s="662" t="s">
        <v>778</v>
      </c>
      <c r="D4" s="663" t="s">
        <v>779</v>
      </c>
      <c r="E4" s="148" t="s">
        <v>780</v>
      </c>
    </row>
    <row r="5" spans="2:5" x14ac:dyDescent="0.25">
      <c r="B5" s="409" t="str">
        <f>inputPrYr!B23</f>
        <v>Debt Service</v>
      </c>
      <c r="C5" s="299" t="str">
        <f>CONCATENATE("Actual for ",$E$1-2,"")</f>
        <v>Actual for 2018</v>
      </c>
      <c r="D5" s="376" t="str">
        <f>CONCATENATE("Estimate for ",$E$1-1,"")</f>
        <v>Estimate for 2019</v>
      </c>
      <c r="E5" s="196" t="str">
        <f>CONCATENATE("Year for ",$E$1,"")</f>
        <v>Year for 2020</v>
      </c>
    </row>
    <row r="6" spans="2:5" x14ac:dyDescent="0.25">
      <c r="B6" s="152" t="s">
        <v>256</v>
      </c>
      <c r="C6" s="404"/>
      <c r="D6" s="403">
        <f>C35</f>
        <v>0</v>
      </c>
      <c r="E6" s="163">
        <f>D35</f>
        <v>0</v>
      </c>
    </row>
    <row r="7" spans="2:5" x14ac:dyDescent="0.25">
      <c r="B7" s="152" t="s">
        <v>258</v>
      </c>
      <c r="C7" s="164"/>
      <c r="D7" s="403"/>
      <c r="E7" s="163"/>
    </row>
    <row r="8" spans="2:5" x14ac:dyDescent="0.25">
      <c r="B8" s="152" t="s">
        <v>152</v>
      </c>
      <c r="C8" s="400"/>
      <c r="D8" s="403">
        <f>IF(inputPrYr!H21&gt;0,inputPrYr!G23,inputPrYr!E23)</f>
        <v>0</v>
      </c>
      <c r="E8" s="311" t="s">
        <v>140</v>
      </c>
    </row>
    <row r="9" spans="2:5" x14ac:dyDescent="0.25">
      <c r="B9" s="152" t="s">
        <v>153</v>
      </c>
      <c r="C9" s="400"/>
      <c r="D9" s="405"/>
      <c r="E9" s="73"/>
    </row>
    <row r="10" spans="2:5" x14ac:dyDescent="0.25">
      <c r="B10" s="152" t="s">
        <v>154</v>
      </c>
      <c r="C10" s="400"/>
      <c r="D10" s="405"/>
      <c r="E10" s="163" t="str">
        <f>Mvalloc!D10</f>
        <v xml:space="preserve">  </v>
      </c>
    </row>
    <row r="11" spans="2:5" x14ac:dyDescent="0.25">
      <c r="B11" s="152" t="s">
        <v>155</v>
      </c>
      <c r="C11" s="400"/>
      <c r="D11" s="405"/>
      <c r="E11" s="163" t="str">
        <f>Mvalloc!E10</f>
        <v xml:space="preserve">  </v>
      </c>
    </row>
    <row r="12" spans="2:5" x14ac:dyDescent="0.25">
      <c r="B12" s="165" t="s">
        <v>207</v>
      </c>
      <c r="C12" s="400"/>
      <c r="D12" s="405"/>
      <c r="E12" s="163" t="str">
        <f>Mvalloc!F10</f>
        <v xml:space="preserve">  </v>
      </c>
    </row>
    <row r="13" spans="2:5" x14ac:dyDescent="0.25">
      <c r="B13" s="164" t="s">
        <v>988</v>
      </c>
      <c r="C13" s="400"/>
      <c r="D13" s="405"/>
      <c r="E13" s="163" t="str">
        <f>Mvalloc!G10</f>
        <v xml:space="preserve">  </v>
      </c>
    </row>
    <row r="14" spans="2:5" x14ac:dyDescent="0.25">
      <c r="B14" s="164" t="s">
        <v>989</v>
      </c>
      <c r="C14" s="400"/>
      <c r="D14" s="405"/>
      <c r="E14" s="163" t="str">
        <f>Mvalloc!H10</f>
        <v xml:space="preserve">  </v>
      </c>
    </row>
    <row r="15" spans="2:5" x14ac:dyDescent="0.25">
      <c r="B15" s="312"/>
      <c r="C15" s="400"/>
      <c r="D15" s="405"/>
      <c r="E15" s="317"/>
    </row>
    <row r="16" spans="2:5" x14ac:dyDescent="0.25">
      <c r="B16" s="312"/>
      <c r="C16" s="400"/>
      <c r="D16" s="405"/>
      <c r="E16" s="73"/>
    </row>
    <row r="17" spans="2:11" x14ac:dyDescent="0.25">
      <c r="B17" s="312"/>
      <c r="C17" s="400"/>
      <c r="D17" s="405"/>
      <c r="E17" s="73"/>
    </row>
    <row r="18" spans="2:11" x14ac:dyDescent="0.25">
      <c r="B18" s="303" t="s">
        <v>158</v>
      </c>
      <c r="C18" s="400"/>
      <c r="D18" s="405"/>
      <c r="E18" s="73"/>
      <c r="G18" s="959" t="str">
        <f>CONCATENATE("Desired Carryover Into ",E1+1,"")</f>
        <v>Desired Carryover Into 2021</v>
      </c>
      <c r="H18" s="960"/>
      <c r="I18" s="960"/>
      <c r="J18" s="961"/>
    </row>
    <row r="19" spans="2:11" x14ac:dyDescent="0.25">
      <c r="B19" s="309" t="s">
        <v>49</v>
      </c>
      <c r="C19" s="400"/>
      <c r="D19" s="405"/>
      <c r="E19" s="163">
        <f>Nhood!E8*-1</f>
        <v>0</v>
      </c>
      <c r="G19" s="519"/>
      <c r="H19" s="419"/>
      <c r="I19" s="435"/>
      <c r="J19" s="520"/>
    </row>
    <row r="20" spans="2:11" x14ac:dyDescent="0.25">
      <c r="B20" s="152" t="s">
        <v>246</v>
      </c>
      <c r="C20" s="449"/>
      <c r="D20" s="405"/>
      <c r="E20" s="73"/>
      <c r="G20" s="441" t="s">
        <v>615</v>
      </c>
      <c r="H20" s="435"/>
      <c r="I20" s="435"/>
      <c r="J20" s="429">
        <v>0</v>
      </c>
    </row>
    <row r="21" spans="2:11" x14ac:dyDescent="0.25">
      <c r="B21" s="152" t="s">
        <v>606</v>
      </c>
      <c r="C21" s="375" t="str">
        <f>IF(C22*0.1&lt;C20,"Exceed 10% Rule","")</f>
        <v/>
      </c>
      <c r="D21" s="375" t="str">
        <f>IF(D22*0.1&lt;D20,"Exceeds 10% Rule","")</f>
        <v/>
      </c>
      <c r="E21" s="387" t="str">
        <f>IF(E22*0.1&lt;E20,"Exceed 10% Rule","")</f>
        <v/>
      </c>
      <c r="G21" s="519" t="s">
        <v>614</v>
      </c>
      <c r="H21" s="419"/>
      <c r="I21" s="419"/>
      <c r="J21" s="644" t="str">
        <f>IF(J20=0,"",ROUND((J20+E41-G33)/inputOth!E7*1000,3)-G38)</f>
        <v/>
      </c>
    </row>
    <row r="22" spans="2:11" x14ac:dyDescent="0.25">
      <c r="B22" s="256" t="s">
        <v>159</v>
      </c>
      <c r="C22" s="406">
        <f>SUM(C8:C20)</f>
        <v>0</v>
      </c>
      <c r="D22" s="406">
        <f>SUM(D8:D20)</f>
        <v>0</v>
      </c>
      <c r="E22" s="313">
        <f>SUM(E9:E20)</f>
        <v>0</v>
      </c>
      <c r="G22" s="611" t="str">
        <f>CONCATENATE("",E1," Tot Exp/Non-Appr Must Be:")</f>
        <v>2020 Tot Exp/Non-Appr Must Be:</v>
      </c>
      <c r="H22" s="608"/>
      <c r="I22" s="609"/>
      <c r="J22" s="605">
        <f>IF(J20&gt;0,IF(E38&lt;E23,IF(J20=G33,E39,((J20-G33)*(1-D40))+E23),E39+(J20-G33)),0)</f>
        <v>0</v>
      </c>
    </row>
    <row r="23" spans="2:11" x14ac:dyDescent="0.25">
      <c r="B23" s="256" t="s">
        <v>160</v>
      </c>
      <c r="C23" s="406">
        <f>C6+C22</f>
        <v>0</v>
      </c>
      <c r="D23" s="406">
        <f>D6+D22</f>
        <v>0</v>
      </c>
      <c r="E23" s="313">
        <f>E6+E22</f>
        <v>0</v>
      </c>
      <c r="G23" s="642" t="s">
        <v>781</v>
      </c>
      <c r="H23" s="647"/>
      <c r="I23" s="647"/>
      <c r="J23" s="612">
        <f>IF(J20&gt;0,J22-E39,0)</f>
        <v>0</v>
      </c>
    </row>
    <row r="24" spans="2:11" x14ac:dyDescent="0.25">
      <c r="B24" s="152" t="s">
        <v>161</v>
      </c>
      <c r="C24" s="152"/>
      <c r="D24" s="403"/>
      <c r="E24" s="163"/>
    </row>
    <row r="25" spans="2:11" x14ac:dyDescent="0.25">
      <c r="B25" s="312"/>
      <c r="C25" s="400"/>
      <c r="D25" s="405"/>
      <c r="E25" s="73"/>
      <c r="G25" s="959" t="str">
        <f>CONCATENATE("Projected Carryover Into ",E1+1,"")</f>
        <v>Projected Carryover Into 2021</v>
      </c>
      <c r="H25" s="973"/>
      <c r="I25" s="973"/>
      <c r="J25" s="974"/>
    </row>
    <row r="26" spans="2:11" x14ac:dyDescent="0.25">
      <c r="B26" s="312"/>
      <c r="C26" s="400"/>
      <c r="D26" s="405"/>
      <c r="E26" s="73"/>
      <c r="G26" s="519"/>
      <c r="H26" s="435"/>
      <c r="I26" s="435"/>
      <c r="J26" s="643"/>
    </row>
    <row r="27" spans="2:11" x14ac:dyDescent="0.25">
      <c r="B27" s="312"/>
      <c r="C27" s="405"/>
      <c r="D27" s="405"/>
      <c r="E27" s="73"/>
      <c r="G27" s="432">
        <f>D35</f>
        <v>0</v>
      </c>
      <c r="H27" s="433" t="str">
        <f>CONCATENATE("",E1-1," Ending Cash Balance (est.)")</f>
        <v>2019 Ending Cash Balance (est.)</v>
      </c>
      <c r="I27" s="434"/>
      <c r="J27" s="643"/>
    </row>
    <row r="28" spans="2:11" x14ac:dyDescent="0.25">
      <c r="B28" s="312"/>
      <c r="C28" s="400"/>
      <c r="D28" s="405"/>
      <c r="E28" s="73"/>
      <c r="G28" s="432">
        <f>E22</f>
        <v>0</v>
      </c>
      <c r="H28" s="435" t="str">
        <f>CONCATENATE("",E1," Non-AV Receipts (est.)")</f>
        <v>2020 Non-AV Receipts (est.)</v>
      </c>
      <c r="I28" s="434"/>
      <c r="J28" s="643"/>
    </row>
    <row r="29" spans="2:11" x14ac:dyDescent="0.25">
      <c r="B29" s="312"/>
      <c r="C29" s="400"/>
      <c r="D29" s="405"/>
      <c r="E29" s="73"/>
      <c r="G29" s="436">
        <f>IF(E40&gt;0,E39,E41)</f>
        <v>0</v>
      </c>
      <c r="H29" s="435" t="str">
        <f>CONCATENATE("",E1," Ad Valorem Tax (est.)")</f>
        <v>2020 Ad Valorem Tax (est.)</v>
      </c>
      <c r="I29" s="434"/>
      <c r="J29" s="643"/>
    </row>
    <row r="30" spans="2:11" x14ac:dyDescent="0.25">
      <c r="B30" s="312"/>
      <c r="C30" s="400"/>
      <c r="D30" s="405"/>
      <c r="E30" s="73"/>
      <c r="G30" s="432">
        <f>SUM(G27:G29)</f>
        <v>0</v>
      </c>
      <c r="H30" s="435" t="str">
        <f>CONCATENATE("Total ",E1," Resources Available")</f>
        <v>Total 2020 Resources Available</v>
      </c>
      <c r="I30" s="434"/>
      <c r="J30" s="643"/>
      <c r="K30" s="649" t="str">
        <f>IF(G29=E41,"","Note: Does not include Delinquent Taxes")</f>
        <v/>
      </c>
    </row>
    <row r="31" spans="2:11" x14ac:dyDescent="0.25">
      <c r="B31" s="770" t="str">
        <f>CONCATENATE("Cash Basis Reserve (",E1," column)")</f>
        <v>Cash Basis Reserve (2020 column)</v>
      </c>
      <c r="C31" s="400"/>
      <c r="D31" s="405"/>
      <c r="E31" s="73"/>
      <c r="G31" s="437"/>
      <c r="H31" s="435"/>
      <c r="I31" s="435"/>
      <c r="J31" s="643"/>
    </row>
    <row r="32" spans="2:11" x14ac:dyDescent="0.25">
      <c r="B32" s="309" t="s">
        <v>246</v>
      </c>
      <c r="C32" s="449"/>
      <c r="D32" s="405"/>
      <c r="E32" s="73"/>
      <c r="G32" s="436">
        <f>C34</f>
        <v>0</v>
      </c>
      <c r="H32" s="435" t="str">
        <f>CONCATENATE("Less ",E1-2," Expenditures")</f>
        <v>Less 2018 Expenditures</v>
      </c>
      <c r="I32" s="435"/>
      <c r="J32" s="643"/>
    </row>
    <row r="33" spans="2:10" x14ac:dyDescent="0.25">
      <c r="B33" s="309" t="s">
        <v>612</v>
      </c>
      <c r="C33" s="375" t="str">
        <f>IF(C34*0.1&lt;C32,"Exceed 10% Rule","")</f>
        <v/>
      </c>
      <c r="D33" s="375" t="str">
        <f>IF(D34*0.1&lt;D32,"Exceed 10% Rule","")</f>
        <v/>
      </c>
      <c r="E33" s="387" t="str">
        <f>IF(E34*0.1&lt;E32,"Exceed 10% Rule","")</f>
        <v/>
      </c>
      <c r="G33" s="645">
        <f>G30-G32</f>
        <v>0</v>
      </c>
      <c r="H33" s="646" t="str">
        <f>CONCATENATE("Projected ",E1+1," carryover (est.)")</f>
        <v>Projected 2021 carryover (est.)</v>
      </c>
      <c r="I33" s="439"/>
      <c r="J33" s="683"/>
    </row>
    <row r="34" spans="2:10" x14ac:dyDescent="0.25">
      <c r="B34" s="256" t="s">
        <v>162</v>
      </c>
      <c r="C34" s="402">
        <f>SUM(C25:C32)</f>
        <v>0</v>
      </c>
      <c r="D34" s="402">
        <f>SUM(D25:D32)</f>
        <v>0</v>
      </c>
      <c r="E34" s="306">
        <f>SUM(E25:E32)</f>
        <v>0</v>
      </c>
    </row>
    <row r="35" spans="2:10" x14ac:dyDescent="0.25">
      <c r="B35" s="152" t="s">
        <v>257</v>
      </c>
      <c r="C35" s="407">
        <f>C23-C34</f>
        <v>0</v>
      </c>
      <c r="D35" s="407">
        <f>D23-D34</f>
        <v>0</v>
      </c>
      <c r="E35" s="311" t="s">
        <v>140</v>
      </c>
      <c r="G35" s="970" t="s">
        <v>897</v>
      </c>
      <c r="H35" s="971"/>
      <c r="I35" s="971"/>
      <c r="J35" s="972"/>
    </row>
    <row r="36" spans="2:10" x14ac:dyDescent="0.25">
      <c r="B36" s="314" t="str">
        <f>CONCATENATE("",E1-2,"/",E1-1,"/",E1," Budget Authority Amount:")</f>
        <v>2018/2019/2020 Budget Authority Amount:</v>
      </c>
      <c r="C36" s="389">
        <f>inputOth!B59</f>
        <v>0</v>
      </c>
      <c r="D36" s="693">
        <f>inputPrYr!D23</f>
        <v>0</v>
      </c>
      <c r="E36" s="163">
        <f>E34</f>
        <v>0</v>
      </c>
      <c r="F36"/>
      <c r="G36" s="654"/>
      <c r="H36" s="433"/>
      <c r="I36" s="606"/>
      <c r="J36" s="607"/>
    </row>
    <row r="37" spans="2:10" x14ac:dyDescent="0.25">
      <c r="B37" s="181"/>
      <c r="C37" s="966" t="s">
        <v>608</v>
      </c>
      <c r="D37" s="967"/>
      <c r="E37" s="73"/>
      <c r="F37" s="260"/>
      <c r="G37" s="656" t="str">
        <f>summ!H17</f>
        <v xml:space="preserve">  </v>
      </c>
      <c r="H37" s="433" t="str">
        <f>CONCATENATE("",E1," Fund Mill Rate")</f>
        <v>2020 Fund Mill Rate</v>
      </c>
      <c r="I37" s="606"/>
      <c r="J37" s="607"/>
    </row>
    <row r="38" spans="2:10" x14ac:dyDescent="0.25">
      <c r="B38" s="412" t="str">
        <f>CONCATENATE(C98,"     ",D98)</f>
        <v xml:space="preserve">     </v>
      </c>
      <c r="C38" s="968" t="s">
        <v>609</v>
      </c>
      <c r="D38" s="969"/>
      <c r="E38" s="163">
        <f>E34+E37</f>
        <v>0</v>
      </c>
      <c r="F38" s="448" t="str">
        <f>IF(E34/0.95-E34&lt;E37,"Exceeds 5%","")</f>
        <v/>
      </c>
      <c r="G38" s="655" t="str">
        <f>summ!E17</f>
        <v xml:space="preserve">  </v>
      </c>
      <c r="H38" s="433" t="str">
        <f>CONCATENATE("",E1-1," Fund Mill Rate")</f>
        <v>2019 Fund Mill Rate</v>
      </c>
      <c r="I38" s="606"/>
      <c r="J38" s="607"/>
    </row>
    <row r="39" spans="2:10" x14ac:dyDescent="0.25">
      <c r="B39" s="412" t="str">
        <f>CONCATENATE(C99,"     ",D99)</f>
        <v xml:space="preserve">     </v>
      </c>
      <c r="C39" s="261"/>
      <c r="D39" s="185" t="s">
        <v>163</v>
      </c>
      <c r="E39" s="80">
        <f>IF(E38-E23&gt;0,E38-E23,0)</f>
        <v>0</v>
      </c>
      <c r="F39"/>
      <c r="G39" s="657">
        <f>summ!H31</f>
        <v>53.328000000000003</v>
      </c>
      <c r="H39" s="433" t="str">
        <f>CONCATENATE("Total ",E1," Mill Rate")</f>
        <v>Total 2020 Mill Rate</v>
      </c>
      <c r="I39" s="606"/>
      <c r="J39" s="607"/>
    </row>
    <row r="40" spans="2:10" x14ac:dyDescent="0.25">
      <c r="B40" s="185"/>
      <c r="C40" s="399" t="s">
        <v>610</v>
      </c>
      <c r="D40" s="652">
        <f>inputOth!E44</f>
        <v>0</v>
      </c>
      <c r="E40" s="163">
        <f>ROUND(IF(D40&gt;0,(E39*D40),0),0)</f>
        <v>0</v>
      </c>
      <c r="F40"/>
      <c r="G40" s="655">
        <f>summ!E31</f>
        <v>53.503</v>
      </c>
      <c r="H40" s="594" t="str">
        <f>CONCATENATE("Total ",E1-1," Mill Rate")</f>
        <v>Total 2019 Mill Rate</v>
      </c>
      <c r="I40" s="595"/>
      <c r="J40" s="596"/>
    </row>
    <row r="41" spans="2:10" ht="16.5" thickBot="1" x14ac:dyDescent="0.3">
      <c r="B41" s="56"/>
      <c r="C41" s="962" t="str">
        <f>CONCATENATE("Amount of  ",E1-1," Ad Valorem Tax")</f>
        <v>Amount of  2019 Ad Valorem Tax</v>
      </c>
      <c r="D41" s="963"/>
      <c r="E41" s="659">
        <f>SUM(E39:E40)</f>
        <v>0</v>
      </c>
      <c r="F41"/>
    </row>
    <row r="42" spans="2:10" ht="16.5" thickTop="1" x14ac:dyDescent="0.25">
      <c r="B42" s="56"/>
      <c r="C42" s="962"/>
      <c r="D42" s="963"/>
      <c r="E42" s="660"/>
      <c r="F42"/>
      <c r="G42" s="759"/>
      <c r="H42" s="757"/>
      <c r="I42" s="758"/>
      <c r="J42" s="761"/>
    </row>
    <row r="43" spans="2:10" x14ac:dyDescent="0.25">
      <c r="B43" s="56"/>
      <c r="C43" s="580"/>
      <c r="D43" s="56"/>
      <c r="E43" s="56"/>
      <c r="F43"/>
      <c r="G43" s="767" t="str">
        <f>CONCATENATE("Computed ",E1," tax levy limit amount")</f>
        <v>Computed 2020 tax levy limit amount</v>
      </c>
      <c r="H43" s="766"/>
      <c r="I43" s="766"/>
      <c r="J43" s="765">
        <f>Comp1!J47</f>
        <v>0</v>
      </c>
    </row>
    <row r="44" spans="2:10" x14ac:dyDescent="0.25">
      <c r="B44" s="59"/>
      <c r="C44" s="59"/>
      <c r="D44" s="243"/>
      <c r="E44" s="243"/>
      <c r="F44"/>
      <c r="G44" s="764" t="str">
        <f>CONCATENATE("Total ",E1," tax levy amount")</f>
        <v>Total 2020 tax levy amount</v>
      </c>
      <c r="H44" s="763"/>
      <c r="I44" s="763"/>
      <c r="J44" s="762">
        <f>summ!G31</f>
        <v>112449</v>
      </c>
    </row>
    <row r="45" spans="2:10" x14ac:dyDescent="0.25">
      <c r="B45" s="59" t="s">
        <v>151</v>
      </c>
      <c r="C45" s="662" t="s">
        <v>778</v>
      </c>
      <c r="D45" s="663" t="s">
        <v>779</v>
      </c>
      <c r="E45" s="148" t="s">
        <v>780</v>
      </c>
      <c r="F45"/>
    </row>
    <row r="46" spans="2:10" x14ac:dyDescent="0.25">
      <c r="B46" s="410" t="str">
        <f>inputPrYr!B24</f>
        <v>Library</v>
      </c>
      <c r="C46" s="299" t="str">
        <f>CONCATENATE("Actual for ",$E$1-2,"")</f>
        <v>Actual for 2018</v>
      </c>
      <c r="D46" s="376" t="str">
        <f>CONCATENATE("Estimate for ",$E$1-1,"")</f>
        <v>Estimate for 2019</v>
      </c>
      <c r="E46" s="196" t="str">
        <f>CONCATENATE("Year for ",$E$1,"")</f>
        <v>Year for 2020</v>
      </c>
      <c r="F46"/>
    </row>
    <row r="47" spans="2:10" x14ac:dyDescent="0.25">
      <c r="B47" s="152" t="s">
        <v>256</v>
      </c>
      <c r="C47" s="400">
        <v>0</v>
      </c>
      <c r="D47" s="403">
        <f>C76</f>
        <v>0</v>
      </c>
      <c r="E47" s="163">
        <f>D76</f>
        <v>0</v>
      </c>
      <c r="F47"/>
    </row>
    <row r="48" spans="2:10" x14ac:dyDescent="0.25">
      <c r="B48" s="245" t="s">
        <v>258</v>
      </c>
      <c r="C48" s="152"/>
      <c r="D48" s="403"/>
      <c r="E48" s="163"/>
      <c r="F48"/>
    </row>
    <row r="49" spans="2:10" x14ac:dyDescent="0.25">
      <c r="B49" s="152" t="s">
        <v>152</v>
      </c>
      <c r="C49" s="449"/>
      <c r="D49" s="403">
        <f>IF(inputPrYr!H21&gt;0,inputPrYr!G24,inputPrYr!E24)</f>
        <v>0</v>
      </c>
      <c r="E49" s="311" t="s">
        <v>140</v>
      </c>
      <c r="F49"/>
    </row>
    <row r="50" spans="2:10" x14ac:dyDescent="0.25">
      <c r="B50" s="152" t="s">
        <v>153</v>
      </c>
      <c r="C50" s="449"/>
      <c r="D50" s="405"/>
      <c r="E50" s="73"/>
      <c r="F50"/>
    </row>
    <row r="51" spans="2:10" x14ac:dyDescent="0.25">
      <c r="B51" s="152" t="s">
        <v>154</v>
      </c>
      <c r="C51" s="449"/>
      <c r="D51" s="405"/>
      <c r="E51" s="163" t="str">
        <f>Mvalloc!D11</f>
        <v xml:space="preserve">  </v>
      </c>
      <c r="F51"/>
    </row>
    <row r="52" spans="2:10" x14ac:dyDescent="0.25">
      <c r="B52" s="152" t="s">
        <v>155</v>
      </c>
      <c r="C52" s="449"/>
      <c r="D52" s="405"/>
      <c r="E52" s="163" t="str">
        <f>Mvalloc!E11</f>
        <v xml:space="preserve">  </v>
      </c>
      <c r="F52"/>
    </row>
    <row r="53" spans="2:10" x14ac:dyDescent="0.25">
      <c r="B53" s="165" t="s">
        <v>207</v>
      </c>
      <c r="C53" s="449"/>
      <c r="D53" s="405"/>
      <c r="E53" s="163" t="str">
        <f>Mvalloc!F11</f>
        <v xml:space="preserve">  </v>
      </c>
      <c r="F53"/>
    </row>
    <row r="54" spans="2:10" x14ac:dyDescent="0.25">
      <c r="B54" s="164" t="s">
        <v>988</v>
      </c>
      <c r="C54" s="449"/>
      <c r="D54" s="405"/>
      <c r="E54" s="163" t="str">
        <f>Mvalloc!G11</f>
        <v xml:space="preserve">  </v>
      </c>
    </row>
    <row r="55" spans="2:10" x14ac:dyDescent="0.25">
      <c r="B55" s="164" t="s">
        <v>989</v>
      </c>
      <c r="C55" s="449"/>
      <c r="D55" s="405"/>
      <c r="E55" s="163" t="str">
        <f>Mvalloc!H11</f>
        <v xml:space="preserve">  </v>
      </c>
    </row>
    <row r="56" spans="2:10" x14ac:dyDescent="0.25">
      <c r="B56" s="312"/>
      <c r="C56" s="449"/>
      <c r="D56" s="405"/>
      <c r="E56" s="317"/>
    </row>
    <row r="57" spans="2:10" x14ac:dyDescent="0.25">
      <c r="B57" s="312"/>
      <c r="C57" s="449"/>
      <c r="D57" s="405"/>
      <c r="E57" s="317"/>
    </row>
    <row r="58" spans="2:10" x14ac:dyDescent="0.25">
      <c r="B58" s="312"/>
      <c r="C58" s="449"/>
      <c r="D58" s="405"/>
      <c r="E58" s="73"/>
    </row>
    <row r="59" spans="2:10" x14ac:dyDescent="0.25">
      <c r="B59" s="303" t="s">
        <v>158</v>
      </c>
      <c r="C59" s="449"/>
      <c r="D59" s="405"/>
      <c r="E59" s="73"/>
    </row>
    <row r="60" spans="2:10" x14ac:dyDescent="0.25">
      <c r="B60" s="165" t="s">
        <v>49</v>
      </c>
      <c r="C60" s="449"/>
      <c r="D60" s="405"/>
      <c r="E60" s="389">
        <f>Nhood!E9*-1</f>
        <v>0</v>
      </c>
      <c r="G60" s="959" t="str">
        <f>CONCATENATE("Desired Carryover Into ",E1+1,"")</f>
        <v>Desired Carryover Into 2021</v>
      </c>
      <c r="H60" s="960"/>
      <c r="I60" s="960"/>
      <c r="J60" s="961"/>
    </row>
    <row r="61" spans="2:10" x14ac:dyDescent="0.25">
      <c r="B61" s="152" t="s">
        <v>246</v>
      </c>
      <c r="C61" s="449"/>
      <c r="D61" s="449"/>
      <c r="E61" s="539"/>
      <c r="G61" s="519"/>
      <c r="H61" s="419"/>
      <c r="I61" s="435"/>
      <c r="J61" s="520"/>
    </row>
    <row r="62" spans="2:10" x14ac:dyDescent="0.25">
      <c r="B62" s="152" t="s">
        <v>606</v>
      </c>
      <c r="C62" s="375" t="str">
        <f>IF(C63*0.1&lt;C61,"Exceed 10% Rule","")</f>
        <v/>
      </c>
      <c r="D62" s="375" t="str">
        <f>IF(D63*0.1&lt;D61,"Exceeds 10% Rule","")</f>
        <v/>
      </c>
      <c r="E62" s="387" t="str">
        <f>IF(E63*0.1&lt;E61,"Exceed 10% Rule","")</f>
        <v/>
      </c>
      <c r="G62" s="441" t="s">
        <v>615</v>
      </c>
      <c r="H62" s="435"/>
      <c r="I62" s="435"/>
      <c r="J62" s="429">
        <v>0</v>
      </c>
    </row>
    <row r="63" spans="2:10" x14ac:dyDescent="0.25">
      <c r="B63" s="256" t="s">
        <v>159</v>
      </c>
      <c r="C63" s="402">
        <f>SUM(C49:C61)</f>
        <v>0</v>
      </c>
      <c r="D63" s="402">
        <f>SUM(D49:D61)</f>
        <v>0</v>
      </c>
      <c r="E63" s="306">
        <f>SUM(E50:E61)</f>
        <v>0</v>
      </c>
      <c r="G63" s="519" t="s">
        <v>614</v>
      </c>
      <c r="H63" s="419"/>
      <c r="I63" s="419"/>
      <c r="J63" s="644" t="str">
        <f>IF(J62=0,"",ROUND((J62+E82-G75)/inputOth!E7*1000,3)-G80)</f>
        <v/>
      </c>
    </row>
    <row r="64" spans="2:10" x14ac:dyDescent="0.25">
      <c r="B64" s="256" t="s">
        <v>160</v>
      </c>
      <c r="C64" s="402">
        <f>C47+C63</f>
        <v>0</v>
      </c>
      <c r="D64" s="402">
        <f>D47+D63</f>
        <v>0</v>
      </c>
      <c r="E64" s="306">
        <f>E47+E63</f>
        <v>0</v>
      </c>
      <c r="G64" s="611" t="str">
        <f>CONCATENATE("",E1," Tot Exp/Non-Appr Must Be:")</f>
        <v>2020 Tot Exp/Non-Appr Must Be:</v>
      </c>
      <c r="H64" s="608"/>
      <c r="I64" s="609"/>
      <c r="J64" s="605">
        <f>IF(J62&gt;0,IF(E79&lt;E64,IF(J62=G75,E79,((J62-G75)*(1-D81))+E64),E79+(J62-G75)),0)</f>
        <v>0</v>
      </c>
    </row>
    <row r="65" spans="2:11" x14ac:dyDescent="0.25">
      <c r="B65" s="152" t="s">
        <v>161</v>
      </c>
      <c r="C65" s="152"/>
      <c r="D65" s="403"/>
      <c r="E65" s="163"/>
      <c r="G65" s="642" t="s">
        <v>781</v>
      </c>
      <c r="H65" s="647"/>
      <c r="I65" s="647"/>
      <c r="J65" s="612">
        <f>IF(J62&gt;0,J64-E79,0)</f>
        <v>0</v>
      </c>
    </row>
    <row r="66" spans="2:11" x14ac:dyDescent="0.25">
      <c r="B66" s="312"/>
      <c r="C66" s="400"/>
      <c r="D66" s="405"/>
      <c r="E66" s="73"/>
    </row>
    <row r="67" spans="2:11" x14ac:dyDescent="0.25">
      <c r="B67" s="312"/>
      <c r="C67" s="400"/>
      <c r="D67" s="405"/>
      <c r="E67" s="73"/>
      <c r="G67" s="959" t="str">
        <f>CONCATENATE("Projected Carryover Into ",E1+1,"")</f>
        <v>Projected Carryover Into 2021</v>
      </c>
      <c r="H67" s="975"/>
      <c r="I67" s="975"/>
      <c r="J67" s="974"/>
    </row>
    <row r="68" spans="2:11" x14ac:dyDescent="0.25">
      <c r="B68" s="312"/>
      <c r="C68" s="400"/>
      <c r="D68" s="405"/>
      <c r="E68" s="73"/>
      <c r="G68" s="430"/>
      <c r="H68" s="419"/>
      <c r="I68" s="419"/>
      <c r="J68" s="658"/>
    </row>
    <row r="69" spans="2:11" x14ac:dyDescent="0.25">
      <c r="B69" s="312"/>
      <c r="C69" s="400"/>
      <c r="D69" s="405"/>
      <c r="E69" s="73"/>
      <c r="G69" s="432">
        <f>D76</f>
        <v>0</v>
      </c>
      <c r="H69" s="433" t="str">
        <f>CONCATENATE("",E1-1," Ending Cash Balance (est.)")</f>
        <v>2019 Ending Cash Balance (est.)</v>
      </c>
      <c r="I69" s="434"/>
      <c r="J69" s="658"/>
    </row>
    <row r="70" spans="2:11" x14ac:dyDescent="0.25">
      <c r="B70" s="312"/>
      <c r="C70" s="400"/>
      <c r="D70" s="405"/>
      <c r="E70" s="73"/>
      <c r="G70" s="432">
        <f>E63</f>
        <v>0</v>
      </c>
      <c r="H70" s="435" t="str">
        <f>CONCATENATE("",E1," Non-AV Receipts (est.)")</f>
        <v>2020 Non-AV Receipts (est.)</v>
      </c>
      <c r="I70" s="434"/>
      <c r="J70" s="658"/>
    </row>
    <row r="71" spans="2:11" x14ac:dyDescent="0.25">
      <c r="B71" s="312"/>
      <c r="C71" s="400"/>
      <c r="D71" s="405"/>
      <c r="E71" s="73"/>
      <c r="G71" s="436">
        <f>IF(E81&gt;0,E80,E82)</f>
        <v>0</v>
      </c>
      <c r="H71" s="435" t="str">
        <f>CONCATENATE("",E1," Ad Valorem Tax (est.)")</f>
        <v>2020 Ad Valorem Tax (est.)</v>
      </c>
      <c r="I71" s="434"/>
      <c r="J71" s="658"/>
      <c r="K71" s="649" t="str">
        <f>IF(G71=E82,"","Note: Does not include Delinquent Taxes")</f>
        <v/>
      </c>
    </row>
    <row r="72" spans="2:11" x14ac:dyDescent="0.25">
      <c r="B72" s="312"/>
      <c r="C72" s="400"/>
      <c r="D72" s="405"/>
      <c r="E72" s="73"/>
      <c r="G72" s="521">
        <f>SUM(G69:G71)</f>
        <v>0</v>
      </c>
      <c r="H72" s="435" t="str">
        <f>CONCATENATE("Total ",E1," Resources Available")</f>
        <v>Total 2020 Resources Available</v>
      </c>
      <c r="I72" s="431"/>
      <c r="J72" s="658"/>
    </row>
    <row r="73" spans="2:11" x14ac:dyDescent="0.25">
      <c r="B73" s="165" t="s">
        <v>246</v>
      </c>
      <c r="C73" s="449"/>
      <c r="D73" s="405"/>
      <c r="E73" s="73"/>
      <c r="F73"/>
      <c r="G73" s="524"/>
      <c r="H73" s="522"/>
      <c r="I73" s="419"/>
      <c r="J73" s="658"/>
    </row>
    <row r="74" spans="2:11" x14ac:dyDescent="0.25">
      <c r="B74" s="165" t="s">
        <v>605</v>
      </c>
      <c r="C74" s="375" t="str">
        <f>IF(C75*0.1&lt;C73,"Exceed 10% Rule","")</f>
        <v/>
      </c>
      <c r="D74" s="375" t="str">
        <f>IF(D75*0.1&lt;D73,"Exceed 10% Rule","")</f>
        <v/>
      </c>
      <c r="E74" s="387" t="str">
        <f>IF(E75*0.1&lt;E73,"Exceed 10% Rule","")</f>
        <v/>
      </c>
      <c r="F74"/>
      <c r="G74" s="523">
        <f>ROUND(C75*0.05+C75,0)</f>
        <v>0</v>
      </c>
      <c r="H74" s="522" t="str">
        <f>CONCATENATE("Less ",E1-2," Expenditures + 5%")</f>
        <v>Less 2018 Expenditures + 5%</v>
      </c>
      <c r="I74" s="431"/>
      <c r="J74" s="658"/>
    </row>
    <row r="75" spans="2:11" x14ac:dyDescent="0.25">
      <c r="B75" s="256" t="s">
        <v>162</v>
      </c>
      <c r="C75" s="402">
        <f>SUM(C66:C73)</f>
        <v>0</v>
      </c>
      <c r="D75" s="402">
        <f>SUM(D66:D73)</f>
        <v>0</v>
      </c>
      <c r="E75" s="306">
        <f>SUM(E66:E73)</f>
        <v>0</v>
      </c>
      <c r="F75"/>
      <c r="G75" s="533">
        <f>G72-G74</f>
        <v>0</v>
      </c>
      <c r="H75" s="534" t="str">
        <f>CONCATENATE("Projected ",E1+1," carryover (est.)")</f>
        <v>Projected 2021 carryover (est.)</v>
      </c>
      <c r="I75" s="440"/>
      <c r="J75" s="684"/>
    </row>
    <row r="76" spans="2:11" x14ac:dyDescent="0.25">
      <c r="B76" s="152" t="s">
        <v>257</v>
      </c>
      <c r="C76" s="407">
        <f>C64-C75</f>
        <v>0</v>
      </c>
      <c r="D76" s="407">
        <f>D64-D75</f>
        <v>0</v>
      </c>
      <c r="E76" s="311" t="s">
        <v>140</v>
      </c>
      <c r="F76"/>
    </row>
    <row r="77" spans="2:11" x14ac:dyDescent="0.25">
      <c r="B77" s="314" t="str">
        <f>CONCATENATE("",E1-2,"/",E1-1,"/",E1," Budget Authority Amount:")</f>
        <v>2018/2019/2020 Budget Authority Amount:</v>
      </c>
      <c r="C77" s="389">
        <f>inputOth!B60</f>
        <v>0</v>
      </c>
      <c r="D77" s="389">
        <f>inputPrYr!D24</f>
        <v>0</v>
      </c>
      <c r="E77" s="163">
        <f>E75</f>
        <v>0</v>
      </c>
      <c r="F77"/>
      <c r="G77" s="970" t="s">
        <v>897</v>
      </c>
      <c r="H77" s="971"/>
      <c r="I77" s="971"/>
      <c r="J77" s="972"/>
    </row>
    <row r="78" spans="2:11" x14ac:dyDescent="0.25">
      <c r="B78" s="181"/>
      <c r="C78" s="966" t="s">
        <v>608</v>
      </c>
      <c r="D78" s="967"/>
      <c r="E78" s="73"/>
      <c r="F78" s="260"/>
      <c r="G78" s="654"/>
      <c r="H78" s="433"/>
      <c r="I78" s="606"/>
      <c r="J78" s="607"/>
    </row>
    <row r="79" spans="2:11" x14ac:dyDescent="0.25">
      <c r="B79" s="412" t="str">
        <f>CONCATENATE(C100,"     ",D100)</f>
        <v xml:space="preserve">     </v>
      </c>
      <c r="C79" s="968" t="s">
        <v>609</v>
      </c>
      <c r="D79" s="969"/>
      <c r="E79" s="163">
        <f>E75+E78</f>
        <v>0</v>
      </c>
      <c r="F79" s="640" t="str">
        <f>IF(E75/0.95-E75&lt;E78,"Exceeds 5%","")</f>
        <v/>
      </c>
      <c r="G79" s="656" t="str">
        <f>summ!H18</f>
        <v/>
      </c>
      <c r="H79" s="433" t="str">
        <f>CONCATENATE("",E1," Fund Mill Rate")</f>
        <v>2020 Fund Mill Rate</v>
      </c>
      <c r="I79" s="606"/>
      <c r="J79" s="607"/>
    </row>
    <row r="80" spans="2:11" x14ac:dyDescent="0.25">
      <c r="B80" s="412" t="str">
        <f>CONCATENATE(C101,"     ",D101)</f>
        <v xml:space="preserve">     </v>
      </c>
      <c r="C80" s="261"/>
      <c r="D80" s="185" t="s">
        <v>163</v>
      </c>
      <c r="E80" s="80">
        <f>IF(E79-E64&gt;0,E79-E64,0)</f>
        <v>0</v>
      </c>
      <c r="F80"/>
      <c r="G80" s="655" t="str">
        <f>summ!E18</f>
        <v xml:space="preserve">  </v>
      </c>
      <c r="H80" s="433" t="str">
        <f>CONCATENATE("",E1-1," Fund Mill Rate")</f>
        <v>2019 Fund Mill Rate</v>
      </c>
      <c r="I80" s="606"/>
      <c r="J80" s="607"/>
    </row>
    <row r="81" spans="2:10" x14ac:dyDescent="0.25">
      <c r="B81" s="185"/>
      <c r="C81" s="399" t="s">
        <v>610</v>
      </c>
      <c r="D81" s="652">
        <f>inputOth!E44</f>
        <v>0</v>
      </c>
      <c r="E81" s="163">
        <f>ROUND(IF(E80&gt;0,(E80*D81),0),0)</f>
        <v>0</v>
      </c>
      <c r="F81"/>
      <c r="G81" s="657">
        <f>summ!H31</f>
        <v>53.328000000000003</v>
      </c>
      <c r="H81" s="433" t="str">
        <f>CONCATENATE("Total ",E1," Mill Rate")</f>
        <v>Total 2020 Mill Rate</v>
      </c>
      <c r="I81" s="606"/>
      <c r="J81" s="607"/>
    </row>
    <row r="82" spans="2:10" ht="16.5" thickBot="1" x14ac:dyDescent="0.3">
      <c r="B82" s="56"/>
      <c r="C82" s="962" t="str">
        <f>CONCATENATE("Amount of  ",E1-1," Ad Valorem Tax")</f>
        <v>Amount of  2019 Ad Valorem Tax</v>
      </c>
      <c r="D82" s="963"/>
      <c r="E82" s="659">
        <f>E80+E81</f>
        <v>0</v>
      </c>
      <c r="F82"/>
      <c r="G82" s="655">
        <f>summ!E31</f>
        <v>53.503</v>
      </c>
      <c r="H82" s="594" t="str">
        <f>CONCATENATE("Total ",E1-1," Mill Rate")</f>
        <v>Total 2019 Mill Rate</v>
      </c>
      <c r="I82" s="595"/>
      <c r="J82" s="596"/>
    </row>
    <row r="83" spans="2:10" ht="16.5" thickTop="1" x14ac:dyDescent="0.25">
      <c r="B83" s="56"/>
      <c r="C83" s="580"/>
      <c r="D83" s="962"/>
      <c r="E83" s="963"/>
      <c r="F83" s="641" t="str">
        <f>IF('Library Grant'!F33="","",IF('Library Grant'!F33="Qualify","Qualifies for State Library Grant","See 'Library Grant' tab"))</f>
        <v>Qualifies for State Library Grant</v>
      </c>
      <c r="G83" s="661"/>
      <c r="H83" s="661"/>
      <c r="I83" s="661"/>
      <c r="J83" s="661"/>
    </row>
    <row r="84" spans="2:10" x14ac:dyDescent="0.25">
      <c r="B84" s="795" t="s">
        <v>1011</v>
      </c>
      <c r="C84" s="796"/>
      <c r="D84" s="976"/>
      <c r="E84" s="977"/>
      <c r="F84"/>
      <c r="G84" s="759"/>
      <c r="H84" s="757"/>
      <c r="I84" s="758"/>
      <c r="J84" s="761"/>
    </row>
    <row r="85" spans="2:10" x14ac:dyDescent="0.25">
      <c r="B85" s="86"/>
      <c r="C85" s="580"/>
      <c r="D85" s="962"/>
      <c r="E85" s="978"/>
      <c r="G85" s="767" t="str">
        <f>CONCATENATE("Computed ",E1," tax levy limit amount")</f>
        <v>Computed 2020 tax levy limit amount</v>
      </c>
      <c r="H85" s="766"/>
      <c r="I85" s="766"/>
      <c r="J85" s="765">
        <f>Comp1!J47</f>
        <v>0</v>
      </c>
    </row>
    <row r="86" spans="2:10" x14ac:dyDescent="0.25">
      <c r="B86" s="166"/>
      <c r="C86" s="799"/>
      <c r="D86" s="979"/>
      <c r="E86" s="980"/>
      <c r="G86" s="764" t="str">
        <f>CONCATENATE("Total ",E1," tax levy amount")</f>
        <v>Total 2020 tax levy amount</v>
      </c>
      <c r="H86" s="763"/>
      <c r="I86" s="763"/>
      <c r="J86" s="762">
        <f>summ!G31</f>
        <v>112449</v>
      </c>
    </row>
    <row r="87" spans="2:10" x14ac:dyDescent="0.25">
      <c r="B87" s="185"/>
      <c r="C87" s="962"/>
      <c r="D87" s="963"/>
      <c r="E87" s="660"/>
    </row>
    <row r="88" spans="2:10" x14ac:dyDescent="0.25">
      <c r="B88" s="185"/>
      <c r="C88" s="185"/>
      <c r="D88" s="185"/>
      <c r="E88" s="185"/>
    </row>
    <row r="89" spans="2:10" x14ac:dyDescent="0.25">
      <c r="B89" s="185" t="s">
        <v>165</v>
      </c>
      <c r="C89" s="745"/>
      <c r="D89" s="185"/>
      <c r="E89" s="185"/>
    </row>
    <row r="93" spans="2:10" x14ac:dyDescent="0.25">
      <c r="C93" s="57" t="s">
        <v>611</v>
      </c>
      <c r="D93" s="57" t="s">
        <v>611</v>
      </c>
    </row>
    <row r="94" spans="2:10" x14ac:dyDescent="0.25">
      <c r="C94" s="57" t="s">
        <v>611</v>
      </c>
      <c r="D94" s="57" t="s">
        <v>611</v>
      </c>
    </row>
    <row r="95" spans="2:10" hidden="1" x14ac:dyDescent="0.25"/>
    <row r="96" spans="2:10" hidden="1" x14ac:dyDescent="0.25">
      <c r="C96" s="57" t="s">
        <v>611</v>
      </c>
      <c r="D96" s="57" t="s">
        <v>611</v>
      </c>
    </row>
    <row r="97" spans="3:4" hidden="1" x14ac:dyDescent="0.25">
      <c r="C97" s="57" t="s">
        <v>611</v>
      </c>
      <c r="D97" s="57" t="s">
        <v>611</v>
      </c>
    </row>
    <row r="98" spans="3:4" hidden="1" x14ac:dyDescent="0.25">
      <c r="C98" s="418" t="str">
        <f>IF(C34&gt;C36,"See Tab A","")</f>
        <v/>
      </c>
      <c r="D98" s="418" t="str">
        <f>IF(D34&gt;D36,"See Tab C","")</f>
        <v/>
      </c>
    </row>
    <row r="99" spans="3:4" x14ac:dyDescent="0.25">
      <c r="C99" s="418" t="str">
        <f>IF(C35&lt;0,"See Tab B","")</f>
        <v/>
      </c>
      <c r="D99" s="418" t="str">
        <f>IF(D35&lt;0,"See Tab D","")</f>
        <v/>
      </c>
    </row>
    <row r="100" spans="3:4" x14ac:dyDescent="0.25">
      <c r="C100" s="413" t="str">
        <f>IF(C75&gt;C77,"See Tab A","")</f>
        <v/>
      </c>
      <c r="D100" s="413" t="str">
        <f>IF(D75&gt;D77,"See Tab C","")</f>
        <v/>
      </c>
    </row>
    <row r="101" spans="3:4" x14ac:dyDescent="0.25">
      <c r="C101" s="413" t="str">
        <f>IF(C76&lt;0,"See Tab B","")</f>
        <v/>
      </c>
      <c r="D101" s="413" t="str">
        <f>IF(D76&lt;0,"See Tab D","")</f>
        <v/>
      </c>
    </row>
  </sheetData>
  <sheetProtection sheet="1"/>
  <mergeCells count="18">
    <mergeCell ref="C42:D42"/>
    <mergeCell ref="C87:D87"/>
    <mergeCell ref="C82:D82"/>
    <mergeCell ref="C78:D78"/>
    <mergeCell ref="C79:D79"/>
    <mergeCell ref="D85:E85"/>
    <mergeCell ref="D86:E86"/>
    <mergeCell ref="G60:J60"/>
    <mergeCell ref="G67:J67"/>
    <mergeCell ref="G77:J77"/>
    <mergeCell ref="D83:E83"/>
    <mergeCell ref="D84:E84"/>
    <mergeCell ref="G35:J35"/>
    <mergeCell ref="C37:D37"/>
    <mergeCell ref="C38:D38"/>
    <mergeCell ref="C41:D41"/>
    <mergeCell ref="G18:J18"/>
    <mergeCell ref="G25:J25"/>
  </mergeCells>
  <phoneticPr fontId="10" type="noConversion"/>
  <conditionalFormatting sqref="C75">
    <cfRule type="cellIs" dxfId="124" priority="18" stopIfTrue="1" operator="greaterThan">
      <formula>$C$77</formula>
    </cfRule>
  </conditionalFormatting>
  <conditionalFormatting sqref="C76:D76 C35:D35">
    <cfRule type="cellIs" dxfId="123" priority="17" stopIfTrue="1" operator="lessThan">
      <formula>0</formula>
    </cfRule>
  </conditionalFormatting>
  <conditionalFormatting sqref="D75">
    <cfRule type="cellIs" dxfId="122" priority="16" stopIfTrue="1" operator="greaterThan">
      <formula>$D$77</formula>
    </cfRule>
  </conditionalFormatting>
  <conditionalFormatting sqref="C34">
    <cfRule type="cellIs" dxfId="121" priority="12" stopIfTrue="1" operator="greaterThan">
      <formula>$C$36</formula>
    </cfRule>
  </conditionalFormatting>
  <conditionalFormatting sqref="D34">
    <cfRule type="cellIs" dxfId="120" priority="11" stopIfTrue="1" operator="greaterThan">
      <formula>$D$36</formula>
    </cfRule>
  </conditionalFormatting>
  <conditionalFormatting sqref="C32">
    <cfRule type="cellIs" dxfId="119" priority="10" stopIfTrue="1" operator="greaterThan">
      <formula>$C$34*0.1</formula>
    </cfRule>
  </conditionalFormatting>
  <conditionalFormatting sqref="D32">
    <cfRule type="cellIs" dxfId="118" priority="9" stopIfTrue="1" operator="greaterThan">
      <formula>$D$34*0.1</formula>
    </cfRule>
  </conditionalFormatting>
  <conditionalFormatting sqref="E32">
    <cfRule type="cellIs" dxfId="117" priority="8" stopIfTrue="1" operator="greaterThan">
      <formula>$E$34*0.1</formula>
    </cfRule>
  </conditionalFormatting>
  <conditionalFormatting sqref="C20 C61:E61">
    <cfRule type="cellIs" dxfId="116" priority="7" stopIfTrue="1" operator="greaterThan">
      <formula>$C$22*0.1</formula>
    </cfRule>
  </conditionalFormatting>
  <conditionalFormatting sqref="D20">
    <cfRule type="cellIs" dxfId="115" priority="6" stopIfTrue="1" operator="greaterThan">
      <formula>$D$22*0.1</formula>
    </cfRule>
  </conditionalFormatting>
  <conditionalFormatting sqref="C73">
    <cfRule type="cellIs" dxfId="114" priority="3" stopIfTrue="1" operator="greaterThan">
      <formula>$C$75*0.1</formula>
    </cfRule>
  </conditionalFormatting>
  <conditionalFormatting sqref="D73">
    <cfRule type="cellIs" dxfId="113" priority="2" stopIfTrue="1" operator="greaterThan">
      <formula>$D$75*0.1</formula>
    </cfRule>
  </conditionalFormatting>
  <conditionalFormatting sqref="E73">
    <cfRule type="cellIs" dxfId="112" priority="1" stopIfTrue="1" operator="greaterThan">
      <formula>$E$75*0.1</formula>
    </cfRule>
  </conditionalFormatting>
  <conditionalFormatting sqref="E20">
    <cfRule type="cellIs" dxfId="111" priority="24" stopIfTrue="1" operator="greaterThan">
      <formula>$E$22*0.1+$E$41</formula>
    </cfRule>
  </conditionalFormatting>
  <pageMargins left="0.75" right="0.75" top="1" bottom="1" header="0.5" footer="0.5"/>
  <pageSetup scale="45" orientation="portrait" blackAndWhite="1"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B1:K102"/>
  <sheetViews>
    <sheetView zoomScaleNormal="100" workbookViewId="0">
      <selection activeCell="C129" sqref="C129"/>
    </sheetView>
  </sheetViews>
  <sheetFormatPr defaultColWidth="8.88671875" defaultRowHeight="15.75" x14ac:dyDescent="0.2"/>
  <cols>
    <col min="1" max="1" width="2.44140625" style="57" customWidth="1"/>
    <col min="2" max="2" width="31.109375" style="57" customWidth="1"/>
    <col min="3" max="4" width="15.77734375" style="57" customWidth="1"/>
    <col min="5" max="5" width="16.21875" style="57" customWidth="1"/>
    <col min="6" max="6" width="8.88671875" style="57"/>
    <col min="7" max="7" width="10.21875" style="57" customWidth="1"/>
    <col min="8" max="8" width="8.88671875" style="57"/>
    <col min="9" max="9" width="5.5546875" style="57" customWidth="1"/>
    <col min="10" max="10" width="10" style="57" customWidth="1"/>
    <col min="11" max="16384" width="8.88671875" style="57"/>
  </cols>
  <sheetData>
    <row r="1" spans="2:5" x14ac:dyDescent="0.2">
      <c r="B1" s="173" t="str">
        <f>(inputPrYr!D3)</f>
        <v>City of Strong City</v>
      </c>
      <c r="C1" s="173"/>
      <c r="D1" s="56"/>
      <c r="E1" s="135">
        <f>inputPrYr!$C$6</f>
        <v>2020</v>
      </c>
    </row>
    <row r="2" spans="2:5" x14ac:dyDescent="0.2">
      <c r="B2" s="56"/>
      <c r="C2" s="56"/>
      <c r="D2" s="56"/>
      <c r="E2" s="185"/>
    </row>
    <row r="3" spans="2:5" x14ac:dyDescent="0.2">
      <c r="B3" s="67" t="s">
        <v>211</v>
      </c>
      <c r="C3" s="67"/>
      <c r="D3" s="243"/>
      <c r="E3" s="137"/>
    </row>
    <row r="4" spans="2:5" x14ac:dyDescent="0.2">
      <c r="B4" s="59" t="s">
        <v>151</v>
      </c>
      <c r="C4" s="662" t="s">
        <v>778</v>
      </c>
      <c r="D4" s="663" t="s">
        <v>779</v>
      </c>
      <c r="E4" s="148" t="s">
        <v>780</v>
      </c>
    </row>
    <row r="5" spans="2:5" x14ac:dyDescent="0.2">
      <c r="B5" s="409">
        <f>(inputPrYr!B26)</f>
        <v>0</v>
      </c>
      <c r="C5" s="299" t="str">
        <f>CONCATENATE("Actual for ",$E$1-2,"")</f>
        <v>Actual for 2018</v>
      </c>
      <c r="D5" s="376" t="str">
        <f>CONCATENATE("Estimate for ",$E$1-1,"")</f>
        <v>Estimate for 2019</v>
      </c>
      <c r="E5" s="196" t="str">
        <f>CONCATENATE("Year for ",$E$1,"")</f>
        <v>Year for 2020</v>
      </c>
    </row>
    <row r="6" spans="2:5" x14ac:dyDescent="0.2">
      <c r="B6" s="152" t="s">
        <v>256</v>
      </c>
      <c r="C6" s="404"/>
      <c r="D6" s="403">
        <f>C35</f>
        <v>0</v>
      </c>
      <c r="E6" s="163">
        <f>D35</f>
        <v>0</v>
      </c>
    </row>
    <row r="7" spans="2:5" x14ac:dyDescent="0.2">
      <c r="B7" s="152" t="s">
        <v>258</v>
      </c>
      <c r="C7" s="164"/>
      <c r="D7" s="403"/>
      <c r="E7" s="163"/>
    </row>
    <row r="8" spans="2:5" x14ac:dyDescent="0.2">
      <c r="B8" s="152" t="s">
        <v>152</v>
      </c>
      <c r="C8" s="400"/>
      <c r="D8" s="403">
        <f>IF(inputPrYr!H21&gt;0,inputPrYr!G26,inputPrYr!E26)</f>
        <v>0</v>
      </c>
      <c r="E8" s="311" t="s">
        <v>140</v>
      </c>
    </row>
    <row r="9" spans="2:5" x14ac:dyDescent="0.2">
      <c r="B9" s="152" t="s">
        <v>153</v>
      </c>
      <c r="C9" s="400"/>
      <c r="D9" s="405"/>
      <c r="E9" s="73"/>
    </row>
    <row r="10" spans="2:5" x14ac:dyDescent="0.2">
      <c r="B10" s="152" t="s">
        <v>154</v>
      </c>
      <c r="C10" s="400"/>
      <c r="D10" s="405"/>
      <c r="E10" s="163" t="str">
        <f>Mvalloc!D12</f>
        <v xml:space="preserve">  </v>
      </c>
    </row>
    <row r="11" spans="2:5" x14ac:dyDescent="0.2">
      <c r="B11" s="152" t="s">
        <v>155</v>
      </c>
      <c r="C11" s="400"/>
      <c r="D11" s="405"/>
      <c r="E11" s="163" t="str">
        <f>Mvalloc!E12</f>
        <v xml:space="preserve">  </v>
      </c>
    </row>
    <row r="12" spans="2:5" x14ac:dyDescent="0.2">
      <c r="B12" s="165" t="s">
        <v>207</v>
      </c>
      <c r="C12" s="400"/>
      <c r="D12" s="405"/>
      <c r="E12" s="163" t="str">
        <f>Mvalloc!F12</f>
        <v xml:space="preserve">  </v>
      </c>
    </row>
    <row r="13" spans="2:5" x14ac:dyDescent="0.2">
      <c r="B13" s="164" t="s">
        <v>988</v>
      </c>
      <c r="C13" s="400"/>
      <c r="D13" s="405"/>
      <c r="E13" s="163" t="str">
        <f>Mvalloc!G12</f>
        <v xml:space="preserve">  </v>
      </c>
    </row>
    <row r="14" spans="2:5" x14ac:dyDescent="0.2">
      <c r="B14" s="164" t="s">
        <v>989</v>
      </c>
      <c r="C14" s="400"/>
      <c r="D14" s="405"/>
      <c r="E14" s="163" t="str">
        <f>Mvalloc!H12</f>
        <v xml:space="preserve">  </v>
      </c>
    </row>
    <row r="15" spans="2:5" x14ac:dyDescent="0.2">
      <c r="B15" s="312"/>
      <c r="C15" s="400"/>
      <c r="D15" s="405"/>
      <c r="E15" s="317"/>
    </row>
    <row r="16" spans="2:5" x14ac:dyDescent="0.2">
      <c r="B16" s="312"/>
      <c r="C16" s="400"/>
      <c r="D16" s="405"/>
      <c r="E16" s="73"/>
    </row>
    <row r="17" spans="2:11" x14ac:dyDescent="0.2">
      <c r="B17" s="312"/>
      <c r="C17" s="400"/>
      <c r="D17" s="405"/>
      <c r="E17" s="73"/>
    </row>
    <row r="18" spans="2:11" x14ac:dyDescent="0.2">
      <c r="B18" s="303" t="s">
        <v>158</v>
      </c>
      <c r="C18" s="400"/>
      <c r="D18" s="405"/>
      <c r="E18" s="73"/>
      <c r="G18" s="959" t="str">
        <f>CONCATENATE("Desired Carryover Into ",E1+1,"")</f>
        <v>Desired Carryover Into 2021</v>
      </c>
      <c r="H18" s="960"/>
      <c r="I18" s="960"/>
      <c r="J18" s="961"/>
    </row>
    <row r="19" spans="2:11" x14ac:dyDescent="0.2">
      <c r="B19" s="309" t="s">
        <v>49</v>
      </c>
      <c r="C19" s="400"/>
      <c r="D19" s="405"/>
      <c r="E19" s="389">
        <f>Nhood!E10*-1</f>
        <v>0</v>
      </c>
      <c r="G19" s="519"/>
      <c r="H19" s="419"/>
      <c r="I19" s="435"/>
      <c r="J19" s="520"/>
    </row>
    <row r="20" spans="2:11" x14ac:dyDescent="0.2">
      <c r="B20" s="152" t="s">
        <v>246</v>
      </c>
      <c r="C20" s="400"/>
      <c r="D20" s="405"/>
      <c r="E20" s="73"/>
      <c r="G20" s="441" t="s">
        <v>615</v>
      </c>
      <c r="H20" s="435"/>
      <c r="I20" s="435"/>
      <c r="J20" s="429">
        <v>0</v>
      </c>
    </row>
    <row r="21" spans="2:11" x14ac:dyDescent="0.2">
      <c r="B21" s="152" t="s">
        <v>606</v>
      </c>
      <c r="C21" s="401" t="str">
        <f>IF(C22*0.1&lt;C20,"Exceed 10% Rule","")</f>
        <v/>
      </c>
      <c r="D21" s="411" t="str">
        <f>IF(D22*0.1&lt;D20,"Exceed 10% Rule","")</f>
        <v/>
      </c>
      <c r="E21" s="304" t="str">
        <f>IF(E22*0.1+E41&lt;E20,"Exceed 10% Rule","")</f>
        <v/>
      </c>
      <c r="G21" s="519" t="s">
        <v>614</v>
      </c>
      <c r="H21" s="419"/>
      <c r="I21" s="419"/>
      <c r="J21" s="644" t="str">
        <f>IF(J20=0,"",ROUND((J20+E41-G33)/inputOth!E7*1000,3)-G38)</f>
        <v/>
      </c>
    </row>
    <row r="22" spans="2:11" x14ac:dyDescent="0.2">
      <c r="B22" s="256" t="s">
        <v>159</v>
      </c>
      <c r="C22" s="406">
        <f>SUM(C8:C20)</f>
        <v>0</v>
      </c>
      <c r="D22" s="406">
        <f>SUM(D8:D20)</f>
        <v>0</v>
      </c>
      <c r="E22" s="313">
        <f>SUM(E8:E20)</f>
        <v>0</v>
      </c>
      <c r="G22" s="611" t="str">
        <f>CONCATENATE("",E1," Tot Exp/Non-Appr Must Be:")</f>
        <v>2020 Tot Exp/Non-Appr Must Be:</v>
      </c>
      <c r="H22" s="608"/>
      <c r="I22" s="609"/>
      <c r="J22" s="605">
        <f>IF(J20&gt;0,IF(E38&lt;E23,IF(J20=G33,E39,((J20-G33)*(1-D40))+E23),E39+(J20-G33)),0)</f>
        <v>0</v>
      </c>
    </row>
    <row r="23" spans="2:11" x14ac:dyDescent="0.2">
      <c r="B23" s="256" t="s">
        <v>160</v>
      </c>
      <c r="C23" s="406">
        <f>C6+C22</f>
        <v>0</v>
      </c>
      <c r="D23" s="406">
        <f>D6+D22</f>
        <v>0</v>
      </c>
      <c r="E23" s="313">
        <f>E6+E22</f>
        <v>0</v>
      </c>
      <c r="G23" s="642" t="s">
        <v>781</v>
      </c>
      <c r="H23" s="647"/>
      <c r="I23" s="647"/>
      <c r="J23" s="612">
        <f>IF(J20&gt;0,J22-E39,0)</f>
        <v>0</v>
      </c>
    </row>
    <row r="24" spans="2:11" x14ac:dyDescent="0.25">
      <c r="B24" s="152" t="s">
        <v>161</v>
      </c>
      <c r="C24" s="152"/>
      <c r="D24" s="403"/>
      <c r="E24" s="163"/>
      <c r="J24" s="2"/>
    </row>
    <row r="25" spans="2:11" x14ac:dyDescent="0.2">
      <c r="B25" s="312"/>
      <c r="C25" s="400"/>
      <c r="D25" s="405"/>
      <c r="E25" s="73"/>
      <c r="G25" s="959" t="str">
        <f>CONCATENATE("Projected Carryover Into ",E1+1,"")</f>
        <v>Projected Carryover Into 2021</v>
      </c>
      <c r="H25" s="973"/>
      <c r="I25" s="973"/>
      <c r="J25" s="974"/>
    </row>
    <row r="26" spans="2:11" x14ac:dyDescent="0.25">
      <c r="B26" s="312"/>
      <c r="C26" s="400"/>
      <c r="D26" s="405"/>
      <c r="E26" s="73"/>
      <c r="G26" s="519"/>
      <c r="H26" s="435"/>
      <c r="I26" s="435"/>
      <c r="J26" s="658"/>
    </row>
    <row r="27" spans="2:11" x14ac:dyDescent="0.25">
      <c r="B27" s="312"/>
      <c r="C27" s="400"/>
      <c r="D27" s="405"/>
      <c r="E27" s="73"/>
      <c r="G27" s="432">
        <f>D35</f>
        <v>0</v>
      </c>
      <c r="H27" s="433" t="str">
        <f>CONCATENATE("",E1-1," Ending Cash Balance (est.)")</f>
        <v>2019 Ending Cash Balance (est.)</v>
      </c>
      <c r="I27" s="434"/>
      <c r="J27" s="658"/>
    </row>
    <row r="28" spans="2:11" x14ac:dyDescent="0.25">
      <c r="B28" s="312"/>
      <c r="C28" s="400"/>
      <c r="D28" s="405"/>
      <c r="E28" s="73"/>
      <c r="G28" s="432">
        <f>E22</f>
        <v>0</v>
      </c>
      <c r="H28" s="435" t="str">
        <f>CONCATENATE("",E1," Non-AV Receipts (est.)")</f>
        <v>2020 Non-AV Receipts (est.)</v>
      </c>
      <c r="I28" s="434"/>
      <c r="J28" s="658"/>
    </row>
    <row r="29" spans="2:11" x14ac:dyDescent="0.2">
      <c r="B29" s="312"/>
      <c r="C29" s="400"/>
      <c r="D29" s="405"/>
      <c r="E29" s="73"/>
      <c r="G29" s="436">
        <f>IF(E40&gt;0,E39,E41)</f>
        <v>0</v>
      </c>
      <c r="H29" s="435" t="str">
        <f>CONCATENATE("",E1," Ad Valorem Tax (est.)")</f>
        <v>2020 Ad Valorem Tax (est.)</v>
      </c>
      <c r="I29" s="434"/>
      <c r="J29" s="685"/>
      <c r="K29" s="649" t="str">
        <f>IF(G29=E41,"","Note: Does not include Delinquent Taxes")</f>
        <v/>
      </c>
    </row>
    <row r="30" spans="2:11" x14ac:dyDescent="0.25">
      <c r="B30" s="312"/>
      <c r="C30" s="400"/>
      <c r="D30" s="405"/>
      <c r="E30" s="73"/>
      <c r="G30" s="432">
        <f>SUM(G27:G29)</f>
        <v>0</v>
      </c>
      <c r="H30" s="435" t="str">
        <f>CONCATENATE("Total ",E1," Resources Available")</f>
        <v>Total 2020 Resources Available</v>
      </c>
      <c r="I30" s="434"/>
      <c r="J30" s="658"/>
    </row>
    <row r="31" spans="2:11" x14ac:dyDescent="0.25">
      <c r="B31" s="771" t="str">
        <f>CONCATENATE("Cash Forward (",E1," column)")</f>
        <v>Cash Forward (2020 column)</v>
      </c>
      <c r="C31" s="400"/>
      <c r="D31" s="405"/>
      <c r="E31" s="73"/>
      <c r="G31" s="437"/>
      <c r="H31" s="435"/>
      <c r="I31" s="435"/>
      <c r="J31" s="658"/>
    </row>
    <row r="32" spans="2:11" x14ac:dyDescent="0.25">
      <c r="B32" s="309" t="s">
        <v>246</v>
      </c>
      <c r="C32" s="400"/>
      <c r="D32" s="405"/>
      <c r="E32" s="73"/>
      <c r="G32" s="436">
        <f>ROUND(C34*0.05+C34,0)</f>
        <v>0</v>
      </c>
      <c r="H32" s="435" t="str">
        <f>CONCATENATE("Less ",E1-2," Expenditures + 5%")</f>
        <v>Less 2018 Expenditures + 5%</v>
      </c>
      <c r="I32" s="434"/>
      <c r="J32" s="658"/>
    </row>
    <row r="33" spans="2:10" x14ac:dyDescent="0.25">
      <c r="B33" s="309" t="s">
        <v>612</v>
      </c>
      <c r="C33" s="375" t="str">
        <f>IF(C34*0.1&lt;C32,"Exceed 10% Rule","")</f>
        <v/>
      </c>
      <c r="D33" s="387" t="str">
        <f>IF(D34*0.1&lt;D32,"Exceed 10% Rule","")</f>
        <v/>
      </c>
      <c r="E33" s="255" t="str">
        <f>IF(E34*0.1&lt;E32,"Exceed 10% Rule","")</f>
        <v/>
      </c>
      <c r="G33" s="645">
        <f>G30-G32</f>
        <v>0</v>
      </c>
      <c r="H33" s="646" t="str">
        <f>CONCATENATE("Projected ",E1+1," carryover (est.)")</f>
        <v>Projected 2021 carryover (est.)</v>
      </c>
      <c r="I33" s="439"/>
      <c r="J33" s="684"/>
    </row>
    <row r="34" spans="2:10" x14ac:dyDescent="0.25">
      <c r="B34" s="256" t="s">
        <v>162</v>
      </c>
      <c r="C34" s="402">
        <f>SUM(C25:C32)</f>
        <v>0</v>
      </c>
      <c r="D34" s="402">
        <f>SUM(D25:D32)</f>
        <v>0</v>
      </c>
      <c r="E34" s="306">
        <f>SUM(E25:E32)</f>
        <v>0</v>
      </c>
      <c r="G34" s="2"/>
      <c r="H34" s="2"/>
      <c r="I34" s="2"/>
      <c r="J34" s="2"/>
    </row>
    <row r="35" spans="2:10" x14ac:dyDescent="0.2">
      <c r="B35" s="152" t="s">
        <v>257</v>
      </c>
      <c r="C35" s="407">
        <f>C23-C34</f>
        <v>0</v>
      </c>
      <c r="D35" s="407">
        <f>D23-D34</f>
        <v>0</v>
      </c>
      <c r="E35" s="311" t="s">
        <v>140</v>
      </c>
      <c r="G35" s="970" t="s">
        <v>897</v>
      </c>
      <c r="H35" s="971"/>
      <c r="I35" s="971"/>
      <c r="J35" s="972"/>
    </row>
    <row r="36" spans="2:10" x14ac:dyDescent="0.2">
      <c r="B36" s="314" t="str">
        <f>CONCATENATE("",E1-2,"/",E1-1,"/",E1," Budget Authority Amount:")</f>
        <v>2018/2019/2020 Budget Authority Amount:</v>
      </c>
      <c r="C36" s="383">
        <f>inputOth!B61</f>
        <v>0</v>
      </c>
      <c r="D36" s="389">
        <f>inputPrYr!D26</f>
        <v>0</v>
      </c>
      <c r="E36" s="163">
        <f>E34</f>
        <v>0</v>
      </c>
      <c r="F36" s="260"/>
      <c r="G36" s="654"/>
      <c r="H36" s="433"/>
      <c r="I36" s="606"/>
      <c r="J36" s="607"/>
    </row>
    <row r="37" spans="2:10" x14ac:dyDescent="0.2">
      <c r="B37" s="181"/>
      <c r="C37" s="966" t="s">
        <v>608</v>
      </c>
      <c r="D37" s="967"/>
      <c r="E37" s="73"/>
      <c r="F37" s="260" t="str">
        <f>IF(E34/0.95-E34&lt;E37,"Exceeds 5%","")</f>
        <v/>
      </c>
      <c r="G37" s="656" t="str">
        <f>summ!H19</f>
        <v xml:space="preserve">  </v>
      </c>
      <c r="H37" s="433" t="str">
        <f>CONCATENATE("",E1," Fund Mill Rate")</f>
        <v>2020 Fund Mill Rate</v>
      </c>
      <c r="I37" s="606"/>
      <c r="J37" s="607"/>
    </row>
    <row r="38" spans="2:10" x14ac:dyDescent="0.2">
      <c r="B38" s="412" t="str">
        <f>CONCATENATE(C99,"     ",D99)</f>
        <v xml:space="preserve">     </v>
      </c>
      <c r="C38" s="968" t="s">
        <v>609</v>
      </c>
      <c r="D38" s="969"/>
      <c r="E38" s="163">
        <f>E34+E37</f>
        <v>0</v>
      </c>
      <c r="G38" s="655" t="str">
        <f>summ!E19</f>
        <v xml:space="preserve">  </v>
      </c>
      <c r="H38" s="433" t="str">
        <f>CONCATENATE("",E1-1," Fund Mill Rate")</f>
        <v>2019 Fund Mill Rate</v>
      </c>
      <c r="I38" s="606"/>
      <c r="J38" s="607"/>
    </row>
    <row r="39" spans="2:10" x14ac:dyDescent="0.2">
      <c r="B39" s="412" t="str">
        <f>CONCATENATE(C100,"     ",D100)</f>
        <v xml:space="preserve">     </v>
      </c>
      <c r="C39" s="261"/>
      <c r="D39" s="185" t="s">
        <v>163</v>
      </c>
      <c r="E39" s="80">
        <f>IF(E38-E23&gt;0,E38-E23,0)</f>
        <v>0</v>
      </c>
      <c r="G39" s="657">
        <f>summ!H31</f>
        <v>53.328000000000003</v>
      </c>
      <c r="H39" s="433" t="str">
        <f>CONCATENATE("Total ",E1," Mill Rate")</f>
        <v>Total 2020 Mill Rate</v>
      </c>
      <c r="I39" s="606"/>
      <c r="J39" s="607"/>
    </row>
    <row r="40" spans="2:10" x14ac:dyDescent="0.2">
      <c r="B40" s="185"/>
      <c r="C40" s="399" t="s">
        <v>610</v>
      </c>
      <c r="D40" s="652">
        <f>inputOth!E44</f>
        <v>0</v>
      </c>
      <c r="E40" s="163">
        <f>ROUND(IF(D40&gt;0,(E39*D40),0),0)</f>
        <v>0</v>
      </c>
      <c r="G40" s="655">
        <f>summ!E31</f>
        <v>53.503</v>
      </c>
      <c r="H40" s="594" t="str">
        <f>CONCATENATE("Total ",E1-1," Mill Rate")</f>
        <v>Total 2019 Mill Rate</v>
      </c>
      <c r="I40" s="595"/>
      <c r="J40" s="596"/>
    </row>
    <row r="41" spans="2:10" ht="16.5" thickBot="1" x14ac:dyDescent="0.25">
      <c r="B41" s="56"/>
      <c r="C41" s="962" t="str">
        <f>CONCATENATE("Amount of  ",E1-1," Ad Valorem Tax")</f>
        <v>Amount of  2019 Ad Valorem Tax</v>
      </c>
      <c r="D41" s="963"/>
      <c r="E41" s="659">
        <f>E39+E40</f>
        <v>0</v>
      </c>
    </row>
    <row r="42" spans="2:10" ht="16.5" thickTop="1" x14ac:dyDescent="0.2">
      <c r="B42" s="56"/>
      <c r="C42" s="962"/>
      <c r="D42" s="963"/>
      <c r="E42" s="56"/>
      <c r="G42" s="759"/>
      <c r="H42" s="757"/>
      <c r="I42" s="768"/>
      <c r="J42" s="761"/>
    </row>
    <row r="43" spans="2:10" x14ac:dyDescent="0.2">
      <c r="B43" s="56"/>
      <c r="C43" s="580"/>
      <c r="D43" s="56"/>
      <c r="E43" s="56"/>
      <c r="G43" s="767" t="str">
        <f>CONCATENATE("Computed ",E1," tax levy limit amount")</f>
        <v>Computed 2020 tax levy limit amount</v>
      </c>
      <c r="H43" s="766"/>
      <c r="I43" s="766"/>
      <c r="J43" s="765">
        <f>Comp1!J47</f>
        <v>0</v>
      </c>
    </row>
    <row r="44" spans="2:10" x14ac:dyDescent="0.2">
      <c r="B44" s="59" t="s">
        <v>151</v>
      </c>
      <c r="C44" s="59"/>
      <c r="D44" s="243"/>
      <c r="E44" s="243"/>
      <c r="G44" s="764" t="str">
        <f>CONCATENATE("Total ",E1," tax levy amount")</f>
        <v>Total 2020 tax levy amount</v>
      </c>
      <c r="H44" s="763"/>
      <c r="I44" s="763"/>
      <c r="J44" s="762">
        <f>summ!G31</f>
        <v>112449</v>
      </c>
    </row>
    <row r="45" spans="2:10" x14ac:dyDescent="0.2">
      <c r="B45" s="56"/>
      <c r="C45" s="662" t="s">
        <v>778</v>
      </c>
      <c r="D45" s="663" t="s">
        <v>779</v>
      </c>
      <c r="E45" s="148" t="s">
        <v>780</v>
      </c>
    </row>
    <row r="46" spans="2:10" x14ac:dyDescent="0.2">
      <c r="B46" s="410">
        <f>(inputPrYr!B27)</f>
        <v>0</v>
      </c>
      <c r="C46" s="299" t="str">
        <f>CONCATENATE("Actual for ",$E$1-2,"")</f>
        <v>Actual for 2018</v>
      </c>
      <c r="D46" s="376" t="str">
        <f>CONCATENATE("Estimate for ",$E$1-1,"")</f>
        <v>Estimate for 2019</v>
      </c>
      <c r="E46" s="196" t="str">
        <f>CONCATENATE("Year for ",$E$1,"")</f>
        <v>Year for 2020</v>
      </c>
    </row>
    <row r="47" spans="2:10" x14ac:dyDescent="0.2">
      <c r="B47" s="152" t="s">
        <v>256</v>
      </c>
      <c r="C47" s="400"/>
      <c r="D47" s="403">
        <f>C76</f>
        <v>0</v>
      </c>
      <c r="E47" s="163">
        <f>D76</f>
        <v>0</v>
      </c>
    </row>
    <row r="48" spans="2:10" x14ac:dyDescent="0.2">
      <c r="B48" s="245" t="s">
        <v>258</v>
      </c>
      <c r="C48" s="152"/>
      <c r="D48" s="403"/>
      <c r="E48" s="163"/>
    </row>
    <row r="49" spans="2:10" x14ac:dyDescent="0.2">
      <c r="B49" s="152" t="s">
        <v>152</v>
      </c>
      <c r="C49" s="400"/>
      <c r="D49" s="403">
        <f>IF(inputPrYr!H21&gt;0,inputPrYr!G27,inputPrYr!E27)</f>
        <v>0</v>
      </c>
      <c r="E49" s="311" t="s">
        <v>140</v>
      </c>
    </row>
    <row r="50" spans="2:10" x14ac:dyDescent="0.2">
      <c r="B50" s="152" t="s">
        <v>153</v>
      </c>
      <c r="C50" s="400"/>
      <c r="D50" s="405"/>
      <c r="E50" s="73"/>
    </row>
    <row r="51" spans="2:10" x14ac:dyDescent="0.2">
      <c r="B51" s="152" t="s">
        <v>154</v>
      </c>
      <c r="C51" s="400"/>
      <c r="D51" s="405"/>
      <c r="E51" s="163" t="str">
        <f>Mvalloc!D13</f>
        <v xml:space="preserve">  </v>
      </c>
    </row>
    <row r="52" spans="2:10" x14ac:dyDescent="0.2">
      <c r="B52" s="152" t="s">
        <v>155</v>
      </c>
      <c r="C52" s="400"/>
      <c r="D52" s="405"/>
      <c r="E52" s="163" t="str">
        <f>Mvalloc!E13</f>
        <v xml:space="preserve">  </v>
      </c>
    </row>
    <row r="53" spans="2:10" x14ac:dyDescent="0.2">
      <c r="B53" s="165" t="s">
        <v>207</v>
      </c>
      <c r="C53" s="400"/>
      <c r="D53" s="405"/>
      <c r="E53" s="163" t="str">
        <f>Mvalloc!F13</f>
        <v xml:space="preserve">  </v>
      </c>
    </row>
    <row r="54" spans="2:10" x14ac:dyDescent="0.2">
      <c r="B54" s="164" t="s">
        <v>988</v>
      </c>
      <c r="C54" s="400"/>
      <c r="D54" s="405"/>
      <c r="E54" s="163" t="str">
        <f>Mvalloc!G13</f>
        <v xml:space="preserve">  </v>
      </c>
    </row>
    <row r="55" spans="2:10" x14ac:dyDescent="0.2">
      <c r="B55" s="164" t="s">
        <v>989</v>
      </c>
      <c r="C55" s="400"/>
      <c r="D55" s="405"/>
      <c r="E55" s="163" t="str">
        <f>Mvalloc!H13</f>
        <v xml:space="preserve">  </v>
      </c>
    </row>
    <row r="56" spans="2:10" x14ac:dyDescent="0.2">
      <c r="B56" s="312"/>
      <c r="C56" s="400"/>
      <c r="D56" s="405"/>
      <c r="E56" s="317"/>
    </row>
    <row r="57" spans="2:10" x14ac:dyDescent="0.2">
      <c r="B57" s="312"/>
      <c r="C57" s="400"/>
      <c r="D57" s="405"/>
      <c r="E57" s="317"/>
    </row>
    <row r="58" spans="2:10" x14ac:dyDescent="0.2">
      <c r="B58" s="312"/>
      <c r="C58" s="400"/>
      <c r="D58" s="405"/>
      <c r="E58" s="73"/>
    </row>
    <row r="59" spans="2:10" x14ac:dyDescent="0.2">
      <c r="B59" s="303" t="s">
        <v>158</v>
      </c>
      <c r="C59" s="400"/>
      <c r="D59" s="405"/>
      <c r="E59" s="73"/>
      <c r="G59" s="959" t="str">
        <f>CONCATENATE("Desired Carryover Into ",E1+1,"")</f>
        <v>Desired Carryover Into 2021</v>
      </c>
      <c r="H59" s="960"/>
      <c r="I59" s="960"/>
      <c r="J59" s="961"/>
    </row>
    <row r="60" spans="2:10" x14ac:dyDescent="0.2">
      <c r="B60" s="165" t="s">
        <v>49</v>
      </c>
      <c r="C60" s="400"/>
      <c r="D60" s="405"/>
      <c r="E60" s="389">
        <f>Nhood!E11*-1</f>
        <v>0</v>
      </c>
      <c r="G60" s="519"/>
      <c r="H60" s="419"/>
      <c r="I60" s="435"/>
      <c r="J60" s="520"/>
    </row>
    <row r="61" spans="2:10" x14ac:dyDescent="0.2">
      <c r="B61" s="152" t="s">
        <v>246</v>
      </c>
      <c r="C61" s="400"/>
      <c r="D61" s="405"/>
      <c r="E61" s="73"/>
      <c r="G61" s="441" t="s">
        <v>615</v>
      </c>
      <c r="H61" s="435"/>
      <c r="I61" s="435"/>
      <c r="J61" s="429">
        <v>0</v>
      </c>
    </row>
    <row r="62" spans="2:10" x14ac:dyDescent="0.2">
      <c r="B62" s="152" t="s">
        <v>606</v>
      </c>
      <c r="C62" s="401" t="str">
        <f>IF(C63*0.1&lt;C61,"Exceed 10% Rule","")</f>
        <v/>
      </c>
      <c r="D62" s="411" t="str">
        <f>IF(D63*0.1&lt;D61,"Exceed 10% Rule","")</f>
        <v/>
      </c>
      <c r="E62" s="304" t="str">
        <f>IF(E63*0.1+E81&lt;E61,"Exceed 10% Rule","")</f>
        <v/>
      </c>
      <c r="G62" s="519" t="s">
        <v>614</v>
      </c>
      <c r="H62" s="419"/>
      <c r="I62" s="419"/>
      <c r="J62" s="644" t="str">
        <f>IF(J61=0,"",ROUND((J61+E82-G74)/inputOth!E7*1000,3)-G79)</f>
        <v/>
      </c>
    </row>
    <row r="63" spans="2:10" x14ac:dyDescent="0.2">
      <c r="B63" s="256" t="s">
        <v>159</v>
      </c>
      <c r="C63" s="402">
        <f>SUM(C49:C61)</f>
        <v>0</v>
      </c>
      <c r="D63" s="402">
        <f>SUM(D49:D61)</f>
        <v>0</v>
      </c>
      <c r="E63" s="306">
        <f>SUM(E49:E61)</f>
        <v>0</v>
      </c>
      <c r="G63" s="611" t="str">
        <f>CONCATENATE("",E1," Tot Exp/Non-Appr Must Be:")</f>
        <v>2020 Tot Exp/Non-Appr Must Be:</v>
      </c>
      <c r="H63" s="608"/>
      <c r="I63" s="609"/>
      <c r="J63" s="605">
        <f>IF(J61&gt;0,IF(E79&lt;E64,IF(J61=G74,E79,((J61-G74)*(1-D81))+E64),E79+(J61-G74)),0)</f>
        <v>0</v>
      </c>
    </row>
    <row r="64" spans="2:10" x14ac:dyDescent="0.2">
      <c r="B64" s="256" t="s">
        <v>160</v>
      </c>
      <c r="C64" s="402">
        <f>C47+C63</f>
        <v>0</v>
      </c>
      <c r="D64" s="402">
        <f>D47+D63</f>
        <v>0</v>
      </c>
      <c r="E64" s="306">
        <f>E47+E63</f>
        <v>0</v>
      </c>
      <c r="G64" s="642" t="s">
        <v>781</v>
      </c>
      <c r="H64" s="647"/>
      <c r="I64" s="647"/>
      <c r="J64" s="612">
        <f>IF(J61&gt;0,J63-E79,0)</f>
        <v>0</v>
      </c>
    </row>
    <row r="65" spans="2:11" x14ac:dyDescent="0.25">
      <c r="B65" s="152" t="s">
        <v>161</v>
      </c>
      <c r="C65" s="152"/>
      <c r="D65" s="403"/>
      <c r="E65" s="163"/>
      <c r="J65" s="2"/>
    </row>
    <row r="66" spans="2:11" x14ac:dyDescent="0.2">
      <c r="B66" s="312"/>
      <c r="C66" s="400"/>
      <c r="D66" s="405"/>
      <c r="E66" s="73"/>
      <c r="G66" s="959" t="str">
        <f>CONCATENATE("Projected Carryover Into ",E1+1,"")</f>
        <v>Projected Carryover Into 2021</v>
      </c>
      <c r="H66" s="975"/>
      <c r="I66" s="975"/>
      <c r="J66" s="974"/>
    </row>
    <row r="67" spans="2:11" x14ac:dyDescent="0.2">
      <c r="B67" s="312"/>
      <c r="C67" s="400"/>
      <c r="D67" s="405"/>
      <c r="E67" s="73"/>
      <c r="G67" s="430"/>
      <c r="H67" s="419"/>
      <c r="I67" s="419"/>
      <c r="J67" s="142"/>
    </row>
    <row r="68" spans="2:11" x14ac:dyDescent="0.2">
      <c r="B68" s="312"/>
      <c r="C68" s="400"/>
      <c r="D68" s="405"/>
      <c r="E68" s="73"/>
      <c r="G68" s="432">
        <f>D76</f>
        <v>0</v>
      </c>
      <c r="H68" s="433" t="str">
        <f>CONCATENATE("",E1-1," Ending Cash Balance (est.)")</f>
        <v>2019 Ending Cash Balance (est.)</v>
      </c>
      <c r="I68" s="434"/>
      <c r="J68" s="142"/>
    </row>
    <row r="69" spans="2:11" x14ac:dyDescent="0.2">
      <c r="B69" s="312"/>
      <c r="C69" s="400"/>
      <c r="D69" s="405"/>
      <c r="E69" s="73"/>
      <c r="G69" s="432">
        <f>E63</f>
        <v>0</v>
      </c>
      <c r="H69" s="435" t="str">
        <f>CONCATENATE("",E1," Non-AV Receipts (est.)")</f>
        <v>2020 Non-AV Receipts (est.)</v>
      </c>
      <c r="I69" s="434"/>
      <c r="J69" s="142"/>
    </row>
    <row r="70" spans="2:11" x14ac:dyDescent="0.2">
      <c r="B70" s="312"/>
      <c r="C70" s="400"/>
      <c r="D70" s="405"/>
      <c r="E70" s="73"/>
      <c r="G70" s="436">
        <f>IF(D81&gt;0,E80,E82)</f>
        <v>0</v>
      </c>
      <c r="H70" s="435" t="str">
        <f>CONCATENATE("",E1," Ad Valorem Tax (est.)")</f>
        <v>2020 Ad Valorem Tax (est.)</v>
      </c>
      <c r="I70" s="434"/>
      <c r="J70" s="142"/>
      <c r="K70" s="649" t="str">
        <f>IF(G70=E82,"","Note: Does not include Delinquent Taxes")</f>
        <v/>
      </c>
    </row>
    <row r="71" spans="2:11" x14ac:dyDescent="0.2">
      <c r="B71" s="312"/>
      <c r="C71" s="400"/>
      <c r="D71" s="405"/>
      <c r="E71" s="73"/>
      <c r="G71" s="521">
        <f>SUM(G68:G70)</f>
        <v>0</v>
      </c>
      <c r="H71" s="435" t="str">
        <f>CONCATENATE("Total ",E1," Resources Available")</f>
        <v>Total 2020 Resources Available</v>
      </c>
      <c r="I71" s="431"/>
      <c r="J71" s="142"/>
    </row>
    <row r="72" spans="2:11" x14ac:dyDescent="0.2">
      <c r="B72" s="772" t="str">
        <f>CONCATENATE("Cash Forward (",E1," column)")</f>
        <v>Cash Forward (2020 column)</v>
      </c>
      <c r="C72" s="400"/>
      <c r="D72" s="405"/>
      <c r="E72" s="73"/>
      <c r="G72" s="524"/>
      <c r="H72" s="522"/>
      <c r="I72" s="419"/>
      <c r="J72" s="142"/>
    </row>
    <row r="73" spans="2:11" x14ac:dyDescent="0.2">
      <c r="B73" s="165" t="s">
        <v>246</v>
      </c>
      <c r="C73" s="400"/>
      <c r="D73" s="405"/>
      <c r="E73" s="73"/>
      <c r="G73" s="523">
        <f>ROUND(C75*0.05+C75,0)</f>
        <v>0</v>
      </c>
      <c r="H73" s="522" t="str">
        <f>CONCATENATE("Less ",E1-2," Expenditures + 5%")</f>
        <v>Less 2018 Expenditures + 5%</v>
      </c>
      <c r="I73" s="431"/>
      <c r="J73" s="142"/>
    </row>
    <row r="74" spans="2:11" x14ac:dyDescent="0.25">
      <c r="B74" s="165" t="s">
        <v>605</v>
      </c>
      <c r="C74" s="401" t="str">
        <f>IF(C75*0.1&lt;C73,"Exceed 10% Rule","")</f>
        <v/>
      </c>
      <c r="D74" s="411" t="str">
        <f>IF(D75*0.1&lt;D73,"Exceed 10% Rule","")</f>
        <v/>
      </c>
      <c r="E74" s="304" t="str">
        <f>IF(E75*0.1&lt;E73,"Exceed 10% Rule","")</f>
        <v/>
      </c>
      <c r="G74" s="533">
        <f>G71-G73</f>
        <v>0</v>
      </c>
      <c r="H74" s="534" t="str">
        <f>CONCATENATE("Projected ",E1+1," carryover (est.)")</f>
        <v>Projected 2021 carryover (est.)</v>
      </c>
      <c r="I74" s="440"/>
      <c r="J74" s="684"/>
    </row>
    <row r="75" spans="2:11" x14ac:dyDescent="0.25">
      <c r="B75" s="256" t="s">
        <v>162</v>
      </c>
      <c r="C75" s="402">
        <f>SUM(C66:C73)</f>
        <v>0</v>
      </c>
      <c r="D75" s="402">
        <f>SUM(D66:D73)</f>
        <v>0</v>
      </c>
      <c r="E75" s="306">
        <f>SUM(E66:E73)</f>
        <v>0</v>
      </c>
      <c r="G75" s="2"/>
      <c r="H75" s="2"/>
      <c r="I75" s="2"/>
    </row>
    <row r="76" spans="2:11" x14ac:dyDescent="0.2">
      <c r="B76" s="152" t="s">
        <v>257</v>
      </c>
      <c r="C76" s="407">
        <f>C64-C75</f>
        <v>0</v>
      </c>
      <c r="D76" s="407">
        <f>D64-D75</f>
        <v>0</v>
      </c>
      <c r="E76" s="311" t="s">
        <v>140</v>
      </c>
      <c r="G76" s="970" t="s">
        <v>897</v>
      </c>
      <c r="H76" s="971"/>
      <c r="I76" s="971"/>
      <c r="J76" s="972"/>
    </row>
    <row r="77" spans="2:11" x14ac:dyDescent="0.2">
      <c r="B77" s="314" t="str">
        <f>CONCATENATE("",E1-2,"/",E1-1,"/",E1," Budget Authority Amount:")</f>
        <v>2018/2019/2020 Budget Authority Amount:</v>
      </c>
      <c r="C77" s="389">
        <f>inputOth!B62</f>
        <v>0</v>
      </c>
      <c r="D77" s="389">
        <f>inputPrYr!D27</f>
        <v>0</v>
      </c>
      <c r="E77" s="163">
        <f>E75</f>
        <v>0</v>
      </c>
      <c r="F77" s="260"/>
      <c r="G77" s="654"/>
      <c r="H77" s="433"/>
      <c r="I77" s="606"/>
      <c r="J77" s="607"/>
    </row>
    <row r="78" spans="2:11" x14ac:dyDescent="0.2">
      <c r="B78" s="181"/>
      <c r="C78" s="966" t="s">
        <v>608</v>
      </c>
      <c r="D78" s="967"/>
      <c r="E78" s="73"/>
      <c r="F78" s="260" t="str">
        <f>IF(E75/0.95-E75&lt;E78,"Exceeds 5%","")</f>
        <v/>
      </c>
      <c r="G78" s="656" t="str">
        <f>summ!H20</f>
        <v xml:space="preserve">  </v>
      </c>
      <c r="H78" s="433" t="str">
        <f>CONCATENATE("",E1," Fund Mill Rate")</f>
        <v>2020 Fund Mill Rate</v>
      </c>
      <c r="I78" s="606"/>
      <c r="J78" s="607"/>
    </row>
    <row r="79" spans="2:11" x14ac:dyDescent="0.2">
      <c r="B79" s="412" t="str">
        <f>CONCATENATE(C101,"     ",D101)</f>
        <v xml:space="preserve">     </v>
      </c>
      <c r="C79" s="968" t="s">
        <v>609</v>
      </c>
      <c r="D79" s="969"/>
      <c r="E79" s="163">
        <f>E75+E78</f>
        <v>0</v>
      </c>
      <c r="G79" s="655" t="str">
        <f>summ!E20</f>
        <v xml:space="preserve">  </v>
      </c>
      <c r="H79" s="433" t="str">
        <f>CONCATENATE("",E1-1," Fund Mill Rate")</f>
        <v>2019 Fund Mill Rate</v>
      </c>
      <c r="I79" s="606"/>
      <c r="J79" s="607"/>
    </row>
    <row r="80" spans="2:11" x14ac:dyDescent="0.2">
      <c r="B80" s="412" t="str">
        <f>CONCATENATE(C102,"     ",D102)</f>
        <v xml:space="preserve">     </v>
      </c>
      <c r="C80" s="261"/>
      <c r="D80" s="185" t="s">
        <v>163</v>
      </c>
      <c r="E80" s="80">
        <f>IF(E79-E64&gt;0,E79-E64,0)</f>
        <v>0</v>
      </c>
      <c r="G80" s="657">
        <f>summ!H31</f>
        <v>53.328000000000003</v>
      </c>
      <c r="H80" s="433" t="str">
        <f>CONCATENATE("Total ",E1," Mill Rate")</f>
        <v>Total 2020 Mill Rate</v>
      </c>
      <c r="I80" s="606"/>
      <c r="J80" s="607"/>
    </row>
    <row r="81" spans="2:10" x14ac:dyDescent="0.2">
      <c r="B81" s="185"/>
      <c r="C81" s="399" t="s">
        <v>610</v>
      </c>
      <c r="D81" s="652">
        <f>inputOth!E44</f>
        <v>0</v>
      </c>
      <c r="E81" s="163">
        <f>ROUND(IF(D81&gt;0,(E80*D81),0),0)</f>
        <v>0</v>
      </c>
      <c r="G81" s="655">
        <f>summ!E31</f>
        <v>53.503</v>
      </c>
      <c r="H81" s="594" t="str">
        <f>CONCATENATE("Total ",E1-1," Mill Rate")</f>
        <v>Total 2019 Mill Rate</v>
      </c>
      <c r="I81" s="595"/>
      <c r="J81" s="596"/>
    </row>
    <row r="82" spans="2:10" ht="16.5" thickBot="1" x14ac:dyDescent="0.25">
      <c r="B82" s="56"/>
      <c r="C82" s="962" t="str">
        <f>CONCATENATE("Amount of  ",E1-1," Ad Valorem Tax")</f>
        <v>Amount of  2019 Ad Valorem Tax</v>
      </c>
      <c r="D82" s="963"/>
      <c r="E82" s="659">
        <f>E80+E81</f>
        <v>0</v>
      </c>
    </row>
    <row r="83" spans="2:10" ht="16.5" thickTop="1" x14ac:dyDescent="0.2">
      <c r="B83" s="56"/>
      <c r="C83" s="962"/>
      <c r="D83" s="963"/>
      <c r="E83" s="56"/>
      <c r="G83" s="759"/>
      <c r="H83" s="757"/>
      <c r="I83" s="768"/>
      <c r="J83" s="761"/>
    </row>
    <row r="84" spans="2:10" x14ac:dyDescent="0.2">
      <c r="B84" s="795" t="s">
        <v>1011</v>
      </c>
      <c r="C84" s="796"/>
      <c r="D84" s="796"/>
      <c r="E84" s="155"/>
      <c r="G84" s="767" t="str">
        <f>CONCATENATE("Computed ",E1," tax levy limit amount")</f>
        <v>Computed 2020 tax levy limit amount</v>
      </c>
      <c r="H84" s="766"/>
      <c r="I84" s="766"/>
      <c r="J84" s="765">
        <f>Comp1!J47</f>
        <v>0</v>
      </c>
    </row>
    <row r="85" spans="2:10" x14ac:dyDescent="0.2">
      <c r="B85" s="86"/>
      <c r="C85" s="580"/>
      <c r="D85" s="580"/>
      <c r="E85" s="142"/>
      <c r="G85" s="764" t="str">
        <f>CONCATENATE("Total ",E1," tax levy amount")</f>
        <v>Total 2020 tax levy amount</v>
      </c>
      <c r="H85" s="763"/>
      <c r="I85" s="763"/>
      <c r="J85" s="762">
        <f>summ!G31</f>
        <v>112449</v>
      </c>
    </row>
    <row r="86" spans="2:10" x14ac:dyDescent="0.2">
      <c r="B86" s="166"/>
      <c r="C86" s="799"/>
      <c r="D86" s="799"/>
      <c r="E86" s="89"/>
    </row>
    <row r="87" spans="2:10" x14ac:dyDescent="0.2">
      <c r="B87" s="56"/>
      <c r="C87" s="580"/>
      <c r="D87" s="56"/>
      <c r="E87" s="56"/>
    </row>
    <row r="88" spans="2:10" x14ac:dyDescent="0.2">
      <c r="B88" s="185" t="s">
        <v>165</v>
      </c>
      <c r="C88" s="745"/>
      <c r="D88" s="99"/>
      <c r="E88" s="56"/>
    </row>
    <row r="90" spans="2:10" x14ac:dyDescent="0.2">
      <c r="B90" s="105"/>
      <c r="C90" s="105"/>
    </row>
    <row r="96" spans="2:10" hidden="1" x14ac:dyDescent="0.2"/>
    <row r="97" spans="3:4" hidden="1" x14ac:dyDescent="0.2"/>
    <row r="98" spans="3:4" hidden="1" x14ac:dyDescent="0.2"/>
    <row r="99" spans="3:4" hidden="1" x14ac:dyDescent="0.25">
      <c r="C99" s="418" t="str">
        <f>IF(C34&gt;C36,"See Tab A","")</f>
        <v/>
      </c>
      <c r="D99" s="418" t="str">
        <f>IF(D34&gt;D36,"See Tab C","")</f>
        <v/>
      </c>
    </row>
    <row r="100" spans="3:4" x14ac:dyDescent="0.25">
      <c r="C100" s="418" t="str">
        <f>IF(C35&lt;0,"See Tab B","")</f>
        <v/>
      </c>
      <c r="D100" s="418" t="str">
        <f>IF(D35&lt;0,"See Tab D","")</f>
        <v/>
      </c>
    </row>
    <row r="101" spans="3:4" x14ac:dyDescent="0.2">
      <c r="C101" s="413" t="str">
        <f>IF(C75&gt;C77,"See Tab A","")</f>
        <v/>
      </c>
      <c r="D101" s="413" t="str">
        <f>IF(D75&gt;D77,"See Tab C","")</f>
        <v/>
      </c>
    </row>
    <row r="102" spans="3:4" x14ac:dyDescent="0.2">
      <c r="C102" s="413" t="str">
        <f>IF(C76&lt;0,"See Tab B","")</f>
        <v/>
      </c>
      <c r="D102" s="413" t="str">
        <f>IF(D76&lt;0,"See Tab D","")</f>
        <v/>
      </c>
    </row>
  </sheetData>
  <sheetProtection sheet="1"/>
  <mergeCells count="14">
    <mergeCell ref="G18:J18"/>
    <mergeCell ref="G59:J59"/>
    <mergeCell ref="C41:D41"/>
    <mergeCell ref="C82:D82"/>
    <mergeCell ref="C78:D78"/>
    <mergeCell ref="C79:D79"/>
    <mergeCell ref="C83:D83"/>
    <mergeCell ref="C42:D42"/>
    <mergeCell ref="C37:D37"/>
    <mergeCell ref="C38:D38"/>
    <mergeCell ref="G25:J25"/>
    <mergeCell ref="G66:J66"/>
    <mergeCell ref="G76:J76"/>
    <mergeCell ref="G35:J35"/>
  </mergeCells>
  <phoneticPr fontId="0" type="noConversion"/>
  <conditionalFormatting sqref="E73">
    <cfRule type="cellIs" dxfId="110" priority="3" stopIfTrue="1" operator="greaterThan">
      <formula>$E$75*0.1</formula>
    </cfRule>
  </conditionalFormatting>
  <conditionalFormatting sqref="E78">
    <cfRule type="cellIs" dxfId="109" priority="4" stopIfTrue="1" operator="greaterThan">
      <formula>$E$75/0.95-$E$75</formula>
    </cfRule>
  </conditionalFormatting>
  <conditionalFormatting sqref="E32">
    <cfRule type="cellIs" dxfId="108" priority="5" stopIfTrue="1" operator="greaterThan">
      <formula>$E$34*0.1</formula>
    </cfRule>
  </conditionalFormatting>
  <conditionalFormatting sqref="E37">
    <cfRule type="cellIs" dxfId="107" priority="6" stopIfTrue="1" operator="greaterThan">
      <formula>$E$34/0.95-$E$34</formula>
    </cfRule>
  </conditionalFormatting>
  <conditionalFormatting sqref="C75">
    <cfRule type="cellIs" dxfId="106" priority="7" stopIfTrue="1" operator="greaterThan">
      <formula>$C$77</formula>
    </cfRule>
  </conditionalFormatting>
  <conditionalFormatting sqref="C76 C35">
    <cfRule type="cellIs" dxfId="105" priority="8" stopIfTrue="1" operator="lessThan">
      <formula>0</formula>
    </cfRule>
  </conditionalFormatting>
  <conditionalFormatting sqref="D75">
    <cfRule type="cellIs" dxfId="104" priority="9" stopIfTrue="1" operator="greaterThan">
      <formula>$D$77</formula>
    </cfRule>
  </conditionalFormatting>
  <conditionalFormatting sqref="C34">
    <cfRule type="cellIs" dxfId="103" priority="10" stopIfTrue="1" operator="greaterThan">
      <formula>$C$36</formula>
    </cfRule>
  </conditionalFormatting>
  <conditionalFormatting sqref="D34">
    <cfRule type="cellIs" dxfId="102" priority="11" stopIfTrue="1" operator="greaterThan">
      <formula>$D$36</formula>
    </cfRule>
  </conditionalFormatting>
  <conditionalFormatting sqref="C32">
    <cfRule type="cellIs" dxfId="101" priority="12" stopIfTrue="1" operator="greaterThan">
      <formula>$C$34*0.1</formula>
    </cfRule>
  </conditionalFormatting>
  <conditionalFormatting sqref="D32">
    <cfRule type="cellIs" dxfId="100" priority="13" stopIfTrue="1" operator="greaterThan">
      <formula>$D$34*0.1</formula>
    </cfRule>
  </conditionalFormatting>
  <conditionalFormatting sqref="C73">
    <cfRule type="cellIs" dxfId="99" priority="14" stopIfTrue="1" operator="greaterThan">
      <formula>$C$75*0.1</formula>
    </cfRule>
  </conditionalFormatting>
  <conditionalFormatting sqref="D73">
    <cfRule type="cellIs" dxfId="98" priority="15" stopIfTrue="1" operator="greaterThan">
      <formula>$D$75*0.1</formula>
    </cfRule>
  </conditionalFormatting>
  <conditionalFormatting sqref="D20">
    <cfRule type="cellIs" dxfId="97" priority="16" stopIfTrue="1" operator="greaterThan">
      <formula>$D$22*0.1</formula>
    </cfRule>
  </conditionalFormatting>
  <conditionalFormatting sqref="C20">
    <cfRule type="cellIs" dxfId="96" priority="17" stopIfTrue="1" operator="greaterThan">
      <formula>$C$22*0.1</formula>
    </cfRule>
  </conditionalFormatting>
  <conditionalFormatting sqref="E20">
    <cfRule type="cellIs" dxfId="95" priority="18" stopIfTrue="1" operator="greaterThan">
      <formula>$E$22*0.1+E40</formula>
    </cfRule>
  </conditionalFormatting>
  <conditionalFormatting sqref="C61">
    <cfRule type="cellIs" dxfId="94" priority="19" stopIfTrue="1" operator="greaterThan">
      <formula>$C$63*0.1</formula>
    </cfRule>
  </conditionalFormatting>
  <conditionalFormatting sqref="D61">
    <cfRule type="cellIs" dxfId="93" priority="20" stopIfTrue="1" operator="greaterThan">
      <formula>$D$63*0.1</formula>
    </cfRule>
  </conditionalFormatting>
  <conditionalFormatting sqref="E61">
    <cfRule type="cellIs" dxfId="92" priority="21" stopIfTrue="1" operator="greaterThan">
      <formula>$E$63*0.1+E81</formula>
    </cfRule>
  </conditionalFormatting>
  <conditionalFormatting sqref="D76 D35">
    <cfRule type="cellIs" dxfId="91" priority="2" stopIfTrue="1" operator="lessThan">
      <formula>0</formula>
    </cfRule>
  </conditionalFormatting>
  <pageMargins left="0.5" right="0.5" top="1" bottom="0.5" header="0.5" footer="0.5"/>
  <pageSetup scale="48"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5"/>
  <sheetViews>
    <sheetView zoomScaleNormal="100" workbookViewId="0">
      <selection activeCell="D53" sqref="D53"/>
    </sheetView>
  </sheetViews>
  <sheetFormatPr defaultColWidth="8.88671875" defaultRowHeight="15.75" x14ac:dyDescent="0.2"/>
  <cols>
    <col min="1" max="1" width="15.77734375" style="57" customWidth="1"/>
    <col min="2" max="2" width="20.77734375" style="57" customWidth="1"/>
    <col min="3" max="3" width="9.77734375" style="57" customWidth="1"/>
    <col min="4" max="4" width="15.109375" style="57" customWidth="1"/>
    <col min="5" max="5" width="15.77734375" style="57" customWidth="1"/>
    <col min="6" max="6" width="1.77734375" style="57" customWidth="1"/>
    <col min="7" max="7" width="18.6640625" style="57" customWidth="1"/>
    <col min="8" max="16384" width="8.88671875" style="57"/>
  </cols>
  <sheetData>
    <row r="1" spans="1:8" x14ac:dyDescent="0.2">
      <c r="A1" s="912" t="s">
        <v>976</v>
      </c>
      <c r="B1" s="913"/>
      <c r="C1" s="913"/>
      <c r="D1" s="913"/>
      <c r="E1" s="913"/>
    </row>
    <row r="2" spans="1:8" x14ac:dyDescent="0.2">
      <c r="A2" s="55"/>
      <c r="B2" s="56"/>
      <c r="C2" s="56"/>
      <c r="D2" s="56"/>
      <c r="E2" s="56"/>
    </row>
    <row r="3" spans="1:8" x14ac:dyDescent="0.25">
      <c r="A3" s="58" t="s">
        <v>968</v>
      </c>
      <c r="B3" s="56"/>
      <c r="C3" s="56"/>
      <c r="D3" s="702" t="s">
        <v>1082</v>
      </c>
      <c r="E3" s="703"/>
    </row>
    <row r="4" spans="1:8" x14ac:dyDescent="0.25">
      <c r="A4" s="58" t="s">
        <v>969</v>
      </c>
      <c r="B4" s="56"/>
      <c r="C4" s="56"/>
      <c r="D4" s="702" t="s">
        <v>1083</v>
      </c>
      <c r="E4" s="703"/>
    </row>
    <row r="5" spans="1:8" x14ac:dyDescent="0.2">
      <c r="A5" s="59"/>
      <c r="B5" s="56"/>
      <c r="C5" s="56"/>
      <c r="D5" s="60"/>
      <c r="E5" s="56"/>
    </row>
    <row r="6" spans="1:8" x14ac:dyDescent="0.2">
      <c r="A6" s="58" t="s">
        <v>970</v>
      </c>
      <c r="B6" s="56"/>
      <c r="C6" s="61">
        <v>2020</v>
      </c>
      <c r="D6" s="60"/>
      <c r="E6" s="56"/>
    </row>
    <row r="7" spans="1:8" x14ac:dyDescent="0.2">
      <c r="A7" s="58"/>
      <c r="B7" s="56"/>
      <c r="C7" s="60"/>
      <c r="D7" s="60"/>
      <c r="E7" s="56"/>
    </row>
    <row r="8" spans="1:8" x14ac:dyDescent="0.2">
      <c r="A8" s="58" t="s">
        <v>1057</v>
      </c>
      <c r="B8" s="56"/>
      <c r="C8" s="903">
        <v>1.4999999999999999E-2</v>
      </c>
      <c r="D8" s="60"/>
      <c r="E8" s="56"/>
    </row>
    <row r="9" spans="1:8" x14ac:dyDescent="0.2">
      <c r="A9" s="58"/>
      <c r="B9" s="56"/>
      <c r="C9" s="60"/>
      <c r="D9" s="60"/>
      <c r="E9" s="56"/>
    </row>
    <row r="10" spans="1:8" x14ac:dyDescent="0.2">
      <c r="A10" s="58" t="s">
        <v>1058</v>
      </c>
      <c r="B10" s="56"/>
      <c r="C10" s="903">
        <v>2.5000000000000001E-2</v>
      </c>
      <c r="D10" s="60"/>
      <c r="E10" s="56"/>
    </row>
    <row r="11" spans="1:8" x14ac:dyDescent="0.2">
      <c r="A11" s="56"/>
      <c r="B11" s="56"/>
      <c r="C11" s="56"/>
      <c r="D11" s="56"/>
      <c r="E11" s="56"/>
    </row>
    <row r="12" spans="1:8" x14ac:dyDescent="0.2">
      <c r="A12" s="914" t="s">
        <v>971</v>
      </c>
      <c r="B12" s="914"/>
      <c r="C12" s="914"/>
      <c r="D12" s="914"/>
      <c r="E12" s="914"/>
    </row>
    <row r="13" spans="1:8" ht="15.75" customHeight="1" x14ac:dyDescent="0.2">
      <c r="A13" s="914"/>
      <c r="B13" s="914"/>
      <c r="C13" s="914"/>
      <c r="D13" s="914"/>
      <c r="E13" s="914"/>
      <c r="F13" s="56"/>
      <c r="G13" s="915" t="s">
        <v>973</v>
      </c>
      <c r="H13" s="916"/>
    </row>
    <row r="14" spans="1:8" ht="15.75" customHeight="1" x14ac:dyDescent="0.2">
      <c r="A14" s="914"/>
      <c r="B14" s="914"/>
      <c r="C14" s="914"/>
      <c r="D14" s="914"/>
      <c r="E14" s="914"/>
      <c r="F14" s="56"/>
      <c r="G14" s="917"/>
      <c r="H14" s="918"/>
    </row>
    <row r="15" spans="1:8" x14ac:dyDescent="0.2">
      <c r="A15" s="910" t="s">
        <v>972</v>
      </c>
      <c r="B15" s="911"/>
      <c r="C15" s="911"/>
      <c r="D15" s="911"/>
      <c r="E15" s="911"/>
      <c r="F15" s="56"/>
      <c r="G15" s="917"/>
      <c r="H15" s="918"/>
    </row>
    <row r="16" spans="1:8" x14ac:dyDescent="0.2">
      <c r="A16" s="64"/>
      <c r="B16" s="63"/>
      <c r="C16" s="63"/>
      <c r="D16" s="63"/>
      <c r="E16" s="63"/>
      <c r="F16" s="56"/>
      <c r="G16" s="917"/>
      <c r="H16" s="918"/>
    </row>
    <row r="17" spans="1:8" x14ac:dyDescent="0.2">
      <c r="A17" s="718" t="s">
        <v>20</v>
      </c>
      <c r="B17" s="719"/>
      <c r="C17" s="56"/>
      <c r="D17" s="56"/>
      <c r="E17" s="56"/>
      <c r="F17" s="56"/>
      <c r="G17" s="917"/>
      <c r="H17" s="918"/>
    </row>
    <row r="18" spans="1:8" x14ac:dyDescent="0.2">
      <c r="A18" s="720" t="str">
        <f>CONCATENATE("the ",C6-1," Budget, Certificate Page:")</f>
        <v>the 2019 Budget, Certificate Page:</v>
      </c>
      <c r="B18" s="721"/>
      <c r="C18" s="66"/>
      <c r="D18" s="56"/>
      <c r="E18" s="56"/>
      <c r="F18" s="56"/>
      <c r="G18" s="917"/>
      <c r="H18" s="918"/>
    </row>
    <row r="19" spans="1:8" x14ac:dyDescent="0.2">
      <c r="A19" s="722" t="s">
        <v>307</v>
      </c>
      <c r="B19" s="723"/>
      <c r="C19" s="66"/>
      <c r="D19" s="56"/>
      <c r="E19" s="56"/>
      <c r="F19" s="56"/>
      <c r="G19" s="919"/>
      <c r="H19" s="920"/>
    </row>
    <row r="20" spans="1:8" x14ac:dyDescent="0.2">
      <c r="A20" s="67"/>
      <c r="B20" s="56"/>
      <c r="C20" s="56"/>
      <c r="D20" s="68">
        <f>$C$6-1</f>
        <v>2019</v>
      </c>
      <c r="E20" s="68">
        <f>$C$6-2</f>
        <v>2018</v>
      </c>
      <c r="F20" s="710"/>
      <c r="G20" s="186" t="s">
        <v>769</v>
      </c>
      <c r="H20" s="161" t="s">
        <v>164</v>
      </c>
    </row>
    <row r="21" spans="1:8" x14ac:dyDescent="0.2">
      <c r="A21" s="59" t="s">
        <v>117</v>
      </c>
      <c r="B21" s="56"/>
      <c r="C21" s="69" t="s">
        <v>118</v>
      </c>
      <c r="D21" s="70" t="s">
        <v>306</v>
      </c>
      <c r="E21" s="70" t="s">
        <v>106</v>
      </c>
      <c r="F21" s="710"/>
      <c r="G21" s="213" t="str">
        <f>CONCATENATE("",E20," Ad Valorem Tax")</f>
        <v>2018 Ad Valorem Tax</v>
      </c>
      <c r="H21" s="650">
        <v>0</v>
      </c>
    </row>
    <row r="22" spans="1:8" x14ac:dyDescent="0.2">
      <c r="A22" s="56"/>
      <c r="B22" s="71" t="s">
        <v>119</v>
      </c>
      <c r="C22" s="161" t="s">
        <v>261</v>
      </c>
      <c r="D22" s="73">
        <v>362800</v>
      </c>
      <c r="E22" s="73">
        <v>110544</v>
      </c>
      <c r="F22" s="710"/>
      <c r="G22" s="163">
        <f>IF(H21&gt;0,ROUND(E22-(E22*H21),0),0)</f>
        <v>0</v>
      </c>
    </row>
    <row r="23" spans="1:8" x14ac:dyDescent="0.2">
      <c r="A23" s="56"/>
      <c r="B23" s="71" t="s">
        <v>101</v>
      </c>
      <c r="C23" s="161" t="s">
        <v>276</v>
      </c>
      <c r="D23" s="73"/>
      <c r="E23" s="73"/>
      <c r="F23" s="710"/>
      <c r="G23" s="163">
        <f>IF(H21&gt;0,ROUND(E23-(E23*H21),0),0)</f>
        <v>0</v>
      </c>
    </row>
    <row r="24" spans="1:8" x14ac:dyDescent="0.2">
      <c r="A24" s="56"/>
      <c r="B24" s="71" t="s">
        <v>783</v>
      </c>
      <c r="C24" s="161" t="s">
        <v>784</v>
      </c>
      <c r="D24" s="73"/>
      <c r="E24" s="73"/>
      <c r="F24" s="710"/>
      <c r="G24" s="163">
        <f>IF(H21&gt;0,ROUND(E24-(E24*H21),0),0)</f>
        <v>0</v>
      </c>
    </row>
    <row r="25" spans="1:8" x14ac:dyDescent="0.2">
      <c r="A25" s="59" t="s">
        <v>120</v>
      </c>
      <c r="B25" s="56"/>
      <c r="C25" s="56"/>
      <c r="D25" s="74"/>
      <c r="E25" s="74"/>
      <c r="F25" s="710"/>
      <c r="G25" s="56"/>
    </row>
    <row r="26" spans="1:8" x14ac:dyDescent="0.2">
      <c r="A26" s="56"/>
      <c r="B26" s="75"/>
      <c r="C26" s="537"/>
      <c r="D26" s="73"/>
      <c r="E26" s="73"/>
      <c r="F26" s="710"/>
      <c r="G26" s="163">
        <f>IF(H21&gt;0,ROUND(E26-(E26*H21),0),0)</f>
        <v>0</v>
      </c>
    </row>
    <row r="27" spans="1:8" x14ac:dyDescent="0.25">
      <c r="A27" s="56"/>
      <c r="B27" s="76"/>
      <c r="C27" s="538"/>
      <c r="D27" s="73"/>
      <c r="E27" s="73"/>
      <c r="F27" s="710"/>
      <c r="G27" s="163">
        <f>IF(H21&gt;0,ROUND(E27-(E27*H21),0),0)</f>
        <v>0</v>
      </c>
    </row>
    <row r="28" spans="1:8" x14ac:dyDescent="0.2">
      <c r="A28" s="56"/>
      <c r="B28" s="76"/>
      <c r="C28" s="537"/>
      <c r="D28" s="73"/>
      <c r="E28" s="73"/>
      <c r="F28" s="710"/>
      <c r="G28" s="163">
        <f>IF(H21&gt;0,ROUND(E28-(E28*H21),0),0)</f>
        <v>0</v>
      </c>
    </row>
    <row r="29" spans="1:8" x14ac:dyDescent="0.2">
      <c r="A29" s="56"/>
      <c r="B29" s="76"/>
      <c r="C29" s="537"/>
      <c r="D29" s="73"/>
      <c r="E29" s="73"/>
      <c r="F29" s="710"/>
      <c r="G29" s="163">
        <f>IF(H21&gt;0,ROUND(E29-(E29*H21),0),0)</f>
        <v>0</v>
      </c>
    </row>
    <row r="30" spans="1:8" x14ac:dyDescent="0.2">
      <c r="A30" s="77" t="str">
        <f>CONCATENATE("Total Ad Valorem Tax Levy Funds for ",C6-1," Budgeted Year")</f>
        <v>Total Ad Valorem Tax Levy Funds for 2019 Budgeted Year</v>
      </c>
      <c r="B30" s="78"/>
      <c r="C30" s="78"/>
      <c r="D30" s="79"/>
      <c r="E30" s="80">
        <f>SUM(E22:E29)</f>
        <v>110544</v>
      </c>
      <c r="F30" s="744"/>
    </row>
    <row r="31" spans="1:8" x14ac:dyDescent="0.2">
      <c r="A31" s="85"/>
      <c r="B31" s="82"/>
      <c r="C31" s="82"/>
      <c r="D31" s="179"/>
      <c r="E31" s="82"/>
      <c r="F31" s="744"/>
    </row>
    <row r="32" spans="1:8" x14ac:dyDescent="0.2">
      <c r="A32" s="59" t="s">
        <v>121</v>
      </c>
      <c r="B32" s="56"/>
      <c r="C32" s="56"/>
      <c r="D32" s="56"/>
      <c r="E32" s="56"/>
    </row>
    <row r="33" spans="1:5" x14ac:dyDescent="0.2">
      <c r="A33" s="56"/>
      <c r="B33" s="81" t="s">
        <v>122</v>
      </c>
      <c r="C33" s="82"/>
      <c r="D33" s="73">
        <v>25501</v>
      </c>
      <c r="E33" s="82"/>
    </row>
    <row r="34" spans="1:5" x14ac:dyDescent="0.25">
      <c r="A34" s="56"/>
      <c r="B34" s="373" t="s">
        <v>1084</v>
      </c>
      <c r="C34" s="82"/>
      <c r="D34" s="73">
        <v>121008</v>
      </c>
      <c r="E34" s="82"/>
    </row>
    <row r="35" spans="1:5" x14ac:dyDescent="0.25">
      <c r="A35" s="56"/>
      <c r="B35" s="373" t="s">
        <v>1085</v>
      </c>
      <c r="C35" s="82"/>
      <c r="D35" s="73">
        <v>5123</v>
      </c>
      <c r="E35" s="82"/>
    </row>
    <row r="36" spans="1:5" x14ac:dyDescent="0.25">
      <c r="A36" s="56"/>
      <c r="B36" s="373" t="s">
        <v>1086</v>
      </c>
      <c r="C36" s="82"/>
      <c r="D36" s="73">
        <v>305506</v>
      </c>
      <c r="E36" s="82"/>
    </row>
    <row r="37" spans="1:5" x14ac:dyDescent="0.2">
      <c r="A37" s="56"/>
      <c r="B37" s="83" t="s">
        <v>1087</v>
      </c>
      <c r="C37" s="82"/>
      <c r="D37" s="73">
        <v>64240</v>
      </c>
      <c r="E37" s="82"/>
    </row>
    <row r="38" spans="1:5" x14ac:dyDescent="0.2">
      <c r="A38" s="56"/>
      <c r="B38" s="83"/>
      <c r="C38" s="82"/>
      <c r="D38" s="73"/>
      <c r="E38" s="82"/>
    </row>
    <row r="39" spans="1:5" x14ac:dyDescent="0.2">
      <c r="A39" s="56" t="s">
        <v>97</v>
      </c>
      <c r="B39" s="84"/>
      <c r="C39" s="82"/>
      <c r="D39" s="82"/>
      <c r="E39" s="82"/>
    </row>
    <row r="40" spans="1:5" x14ac:dyDescent="0.2">
      <c r="A40" s="85"/>
      <c r="B40" s="75"/>
      <c r="C40" s="86"/>
      <c r="D40" s="73"/>
      <c r="E40" s="87"/>
    </row>
    <row r="41" spans="1:5" x14ac:dyDescent="0.2">
      <c r="A41" s="77" t="str">
        <f>CONCATENATE("Total Expenditures for ",C6-1," Budgeted Year")</f>
        <v>Total Expenditures for 2019 Budgeted Year</v>
      </c>
      <c r="B41" s="88"/>
      <c r="C41" s="89"/>
      <c r="D41" s="80">
        <f>SUM(D22:D24,D26:D29,D33:D38,D40)</f>
        <v>884178</v>
      </c>
      <c r="E41" s="87"/>
    </row>
    <row r="42" spans="1:5" x14ac:dyDescent="0.2">
      <c r="A42" s="85" t="s">
        <v>32</v>
      </c>
      <c r="B42" s="82"/>
      <c r="C42" s="82"/>
      <c r="D42" s="82"/>
      <c r="E42" s="56"/>
    </row>
    <row r="43" spans="1:5" x14ac:dyDescent="0.2">
      <c r="A43" s="90">
        <v>1</v>
      </c>
      <c r="B43" s="75" t="s">
        <v>1088</v>
      </c>
      <c r="C43" s="82"/>
      <c r="D43" s="82"/>
      <c r="E43" s="56"/>
    </row>
    <row r="44" spans="1:5" x14ac:dyDescent="0.2">
      <c r="A44" s="90">
        <v>2</v>
      </c>
      <c r="B44" s="75" t="s">
        <v>1089</v>
      </c>
      <c r="C44" s="82"/>
      <c r="D44" s="82"/>
      <c r="E44" s="56"/>
    </row>
    <row r="45" spans="1:5" x14ac:dyDescent="0.2">
      <c r="A45" s="90">
        <v>3</v>
      </c>
      <c r="B45" s="75" t="s">
        <v>1090</v>
      </c>
      <c r="C45" s="82"/>
      <c r="D45" s="82"/>
      <c r="E45" s="56"/>
    </row>
    <row r="46" spans="1:5" x14ac:dyDescent="0.2">
      <c r="A46" s="90">
        <v>4</v>
      </c>
      <c r="B46" s="75"/>
      <c r="C46" s="82"/>
      <c r="D46" s="82"/>
      <c r="E46" s="56"/>
    </row>
    <row r="47" spans="1:5" x14ac:dyDescent="0.2">
      <c r="A47" s="90">
        <v>5</v>
      </c>
      <c r="B47" s="75"/>
      <c r="C47" s="82"/>
      <c r="D47" s="82"/>
      <c r="E47" s="56"/>
    </row>
    <row r="48" spans="1:5" x14ac:dyDescent="0.2">
      <c r="A48" s="91"/>
      <c r="B48" s="82"/>
      <c r="C48" s="82"/>
      <c r="D48" s="82"/>
      <c r="E48" s="56"/>
    </row>
    <row r="49" spans="1:5" ht="18" customHeight="1" x14ac:dyDescent="0.2">
      <c r="A49" s="56"/>
      <c r="B49" s="56"/>
      <c r="C49" s="56"/>
      <c r="D49" s="56"/>
      <c r="E49" s="56"/>
    </row>
    <row r="50" spans="1:5" x14ac:dyDescent="0.2">
      <c r="A50" s="718" t="s">
        <v>20</v>
      </c>
      <c r="B50" s="719"/>
      <c r="C50" s="56"/>
      <c r="D50" s="725" t="str">
        <f>CONCATENATE("",C6-3," Tax Rate")</f>
        <v>2017 Tax Rate</v>
      </c>
      <c r="E50" s="56"/>
    </row>
    <row r="51" spans="1:5" x14ac:dyDescent="0.2">
      <c r="A51" s="722" t="str">
        <f>CONCATENATE("the ",C6-1," Budget, Budget Summary Page")</f>
        <v>the 2019 Budget, Budget Summary Page</v>
      </c>
      <c r="B51" s="723"/>
      <c r="C51" s="56"/>
      <c r="D51" s="726" t="str">
        <f>CONCATENATE("(",C6-2," Column)")</f>
        <v>(2018 Column)</v>
      </c>
      <c r="E51" s="56"/>
    </row>
    <row r="52" spans="1:5" x14ac:dyDescent="0.2">
      <c r="A52" s="56"/>
      <c r="B52" s="724" t="str">
        <f>B22</f>
        <v>General</v>
      </c>
      <c r="C52" s="93"/>
      <c r="D52" s="94">
        <v>53.488</v>
      </c>
      <c r="E52" s="56"/>
    </row>
    <row r="53" spans="1:5" x14ac:dyDescent="0.2">
      <c r="A53" s="56"/>
      <c r="B53" s="92" t="str">
        <f>B23</f>
        <v>Debt Service</v>
      </c>
      <c r="C53" s="93"/>
      <c r="D53" s="94"/>
      <c r="E53" s="56"/>
    </row>
    <row r="54" spans="1:5" x14ac:dyDescent="0.2">
      <c r="A54" s="56"/>
      <c r="B54" s="92" t="str">
        <f>B24</f>
        <v>Library</v>
      </c>
      <c r="C54" s="93"/>
      <c r="D54" s="94"/>
      <c r="E54" s="56"/>
    </row>
    <row r="55" spans="1:5" x14ac:dyDescent="0.2">
      <c r="A55" s="56"/>
      <c r="B55" s="92">
        <f>B26</f>
        <v>0</v>
      </c>
      <c r="C55" s="72"/>
      <c r="D55" s="94"/>
      <c r="E55" s="56"/>
    </row>
    <row r="56" spans="1:5" x14ac:dyDescent="0.2">
      <c r="A56" s="56"/>
      <c r="B56" s="92">
        <f>B27</f>
        <v>0</v>
      </c>
      <c r="C56" s="72"/>
      <c r="D56" s="94"/>
      <c r="E56" s="56"/>
    </row>
    <row r="57" spans="1:5" x14ac:dyDescent="0.2">
      <c r="A57" s="56"/>
      <c r="B57" s="92">
        <f>B28</f>
        <v>0</v>
      </c>
      <c r="C57" s="72"/>
      <c r="D57" s="94"/>
      <c r="E57" s="56"/>
    </row>
    <row r="58" spans="1:5" x14ac:dyDescent="0.2">
      <c r="A58" s="56"/>
      <c r="B58" s="92">
        <f>B29</f>
        <v>0</v>
      </c>
      <c r="C58" s="72"/>
      <c r="D58" s="94"/>
      <c r="E58" s="56"/>
    </row>
    <row r="59" spans="1:5" x14ac:dyDescent="0.2">
      <c r="A59" s="77" t="s">
        <v>123</v>
      </c>
      <c r="B59" s="78"/>
      <c r="C59" s="89"/>
      <c r="D59" s="95">
        <f>SUM(D52:D58)</f>
        <v>53.488</v>
      </c>
      <c r="E59" s="56"/>
    </row>
    <row r="60" spans="1:5" x14ac:dyDescent="0.2">
      <c r="A60" s="56"/>
      <c r="B60" s="56"/>
      <c r="C60" s="56"/>
      <c r="D60" s="56"/>
      <c r="E60" s="56"/>
    </row>
    <row r="61" spans="1:5" x14ac:dyDescent="0.2">
      <c r="A61" s="727" t="str">
        <f>CONCATENATE("Total Tax Levied (",C6-2," budget column)")</f>
        <v>Total Tax Levied (2018 budget column)</v>
      </c>
      <c r="B61" s="728"/>
      <c r="C61" s="78"/>
      <c r="D61" s="89"/>
      <c r="E61" s="73">
        <v>108512</v>
      </c>
    </row>
    <row r="62" spans="1:5" x14ac:dyDescent="0.2">
      <c r="A62" s="729" t="str">
        <f>CONCATENATE("Assessed Valuation  (",C6-2," budget column)")</f>
        <v>Assessed Valuation  (2018 budget column)</v>
      </c>
      <c r="B62" s="728"/>
      <c r="C62" s="97"/>
      <c r="D62" s="98"/>
      <c r="E62" s="73">
        <v>2028705</v>
      </c>
    </row>
    <row r="63" spans="1:5" x14ac:dyDescent="0.2">
      <c r="A63" s="56"/>
      <c r="B63" s="56"/>
      <c r="C63" s="56"/>
      <c r="D63" s="66"/>
      <c r="E63" s="74"/>
    </row>
    <row r="64" spans="1:5" x14ac:dyDescent="0.2">
      <c r="A64" s="730" t="s">
        <v>41</v>
      </c>
      <c r="B64" s="731"/>
      <c r="C64" s="99"/>
      <c r="D64" s="100">
        <f>C6-3</f>
        <v>2017</v>
      </c>
      <c r="E64" s="101">
        <f>C6-2</f>
        <v>2018</v>
      </c>
    </row>
    <row r="65" spans="1:6" x14ac:dyDescent="0.2">
      <c r="A65" s="732" t="s">
        <v>286</v>
      </c>
      <c r="B65" s="733"/>
      <c r="C65" s="102"/>
      <c r="D65" s="103">
        <v>641639</v>
      </c>
      <c r="E65" s="103">
        <v>632257</v>
      </c>
    </row>
    <row r="66" spans="1:6" x14ac:dyDescent="0.2">
      <c r="A66" s="734" t="s">
        <v>287</v>
      </c>
      <c r="B66" s="735"/>
      <c r="C66" s="104"/>
      <c r="D66" s="103">
        <v>0</v>
      </c>
      <c r="E66" s="103">
        <v>0</v>
      </c>
    </row>
    <row r="67" spans="1:6" x14ac:dyDescent="0.2">
      <c r="A67" s="734" t="s">
        <v>288</v>
      </c>
      <c r="B67" s="735"/>
      <c r="C67" s="104"/>
      <c r="D67" s="103">
        <v>94512</v>
      </c>
      <c r="E67" s="103">
        <v>0</v>
      </c>
    </row>
    <row r="68" spans="1:6" x14ac:dyDescent="0.2">
      <c r="A68" s="734" t="s">
        <v>289</v>
      </c>
      <c r="B68" s="735"/>
      <c r="C68" s="104"/>
      <c r="D68" s="103">
        <v>0</v>
      </c>
      <c r="E68" s="103">
        <v>0</v>
      </c>
    </row>
    <row r="75" spans="1:6" s="105" customFormat="1" x14ac:dyDescent="0.2">
      <c r="A75" s="57"/>
      <c r="B75" s="57"/>
      <c r="C75" s="57"/>
      <c r="D75" s="57"/>
      <c r="E75" s="57"/>
      <c r="F75" s="590"/>
    </row>
  </sheetData>
  <mergeCells count="4">
    <mergeCell ref="A15:E15"/>
    <mergeCell ref="A1:E1"/>
    <mergeCell ref="A12:E14"/>
    <mergeCell ref="G13:H19"/>
  </mergeCells>
  <phoneticPr fontId="0" type="noConversion"/>
  <pageMargins left="0.5" right="0.5" top="0.75" bottom="0.5" header="0.5" footer="0.5"/>
  <pageSetup scale="7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B1:K103"/>
  <sheetViews>
    <sheetView zoomScaleNormal="100" workbookViewId="0">
      <selection activeCell="C101" sqref="C101"/>
    </sheetView>
  </sheetViews>
  <sheetFormatPr defaultColWidth="8.88671875" defaultRowHeight="15.75" x14ac:dyDescent="0.2"/>
  <cols>
    <col min="1" max="1" width="2.44140625" style="57" customWidth="1"/>
    <col min="2" max="2" width="31.109375" style="57" customWidth="1"/>
    <col min="3" max="4" width="15.77734375" style="57" customWidth="1"/>
    <col min="5" max="5" width="16.21875" style="57" customWidth="1"/>
    <col min="6" max="6" width="8.88671875" style="57"/>
    <col min="7" max="7" width="10.21875" style="57" customWidth="1"/>
    <col min="8" max="8" width="8.88671875" style="57"/>
    <col min="9" max="9" width="5.6640625" style="57" customWidth="1"/>
    <col min="10" max="10" width="10" style="57" customWidth="1"/>
    <col min="11" max="16384" width="8.88671875" style="57"/>
  </cols>
  <sheetData>
    <row r="1" spans="2:5" x14ac:dyDescent="0.2">
      <c r="B1" s="173" t="str">
        <f>(inputPrYr!D3)</f>
        <v>City of Strong City</v>
      </c>
      <c r="C1" s="173"/>
      <c r="D1" s="56"/>
      <c r="E1" s="135">
        <f>inputPrYr!$C$6</f>
        <v>2020</v>
      </c>
    </row>
    <row r="2" spans="2:5" x14ac:dyDescent="0.2">
      <c r="B2" s="56"/>
      <c r="C2" s="56"/>
      <c r="D2" s="56"/>
      <c r="E2" s="185"/>
    </row>
    <row r="3" spans="2:5" x14ac:dyDescent="0.2">
      <c r="B3" s="67" t="s">
        <v>211</v>
      </c>
      <c r="C3" s="310"/>
      <c r="D3" s="146"/>
      <c r="E3" s="137"/>
    </row>
    <row r="4" spans="2:5" x14ac:dyDescent="0.2">
      <c r="B4" s="59" t="s">
        <v>151</v>
      </c>
      <c r="C4" s="662" t="s">
        <v>778</v>
      </c>
      <c r="D4" s="663" t="s">
        <v>779</v>
      </c>
      <c r="E4" s="148" t="s">
        <v>780</v>
      </c>
    </row>
    <row r="5" spans="2:5" x14ac:dyDescent="0.2">
      <c r="B5" s="410">
        <f>(inputPrYr!B28)</f>
        <v>0</v>
      </c>
      <c r="C5" s="299" t="str">
        <f>CONCATENATE("Actual for ",$E$1-2,"")</f>
        <v>Actual for 2018</v>
      </c>
      <c r="D5" s="376" t="str">
        <f>CONCATENATE("Estimate for ",$E$1-1,"")</f>
        <v>Estimate for 2019</v>
      </c>
      <c r="E5" s="196" t="str">
        <f>CONCATENATE("Year for ",$E$1,"")</f>
        <v>Year for 2020</v>
      </c>
    </row>
    <row r="6" spans="2:5" x14ac:dyDescent="0.2">
      <c r="B6" s="152" t="s">
        <v>256</v>
      </c>
      <c r="C6" s="400"/>
      <c r="D6" s="403">
        <f>C35</f>
        <v>0</v>
      </c>
      <c r="E6" s="163">
        <f>D35</f>
        <v>0</v>
      </c>
    </row>
    <row r="7" spans="2:5" x14ac:dyDescent="0.2">
      <c r="B7" s="245" t="s">
        <v>258</v>
      </c>
      <c r="C7" s="152"/>
      <c r="D7" s="403"/>
      <c r="E7" s="163"/>
    </row>
    <row r="8" spans="2:5" x14ac:dyDescent="0.2">
      <c r="B8" s="152" t="s">
        <v>152</v>
      </c>
      <c r="C8" s="405"/>
      <c r="D8" s="403">
        <f>IF(inputPrYr!H21&gt;0,inputPrYr!G28,inputPrYr!E28)</f>
        <v>0</v>
      </c>
      <c r="E8" s="311" t="s">
        <v>140</v>
      </c>
    </row>
    <row r="9" spans="2:5" x14ac:dyDescent="0.2">
      <c r="B9" s="152" t="s">
        <v>153</v>
      </c>
      <c r="C9" s="405"/>
      <c r="D9" s="405"/>
      <c r="E9" s="73"/>
    </row>
    <row r="10" spans="2:5" x14ac:dyDescent="0.2">
      <c r="B10" s="152" t="s">
        <v>154</v>
      </c>
      <c r="C10" s="405"/>
      <c r="D10" s="405"/>
      <c r="E10" s="163" t="str">
        <f>Mvalloc!D14</f>
        <v xml:space="preserve">  </v>
      </c>
    </row>
    <row r="11" spans="2:5" x14ac:dyDescent="0.2">
      <c r="B11" s="152" t="s">
        <v>155</v>
      </c>
      <c r="C11" s="405"/>
      <c r="D11" s="405"/>
      <c r="E11" s="163" t="str">
        <f>Mvalloc!E14</f>
        <v xml:space="preserve">  </v>
      </c>
    </row>
    <row r="12" spans="2:5" x14ac:dyDescent="0.2">
      <c r="B12" s="165" t="s">
        <v>207</v>
      </c>
      <c r="C12" s="405"/>
      <c r="D12" s="405"/>
      <c r="E12" s="163" t="str">
        <f>Mvalloc!F14</f>
        <v xml:space="preserve">  </v>
      </c>
    </row>
    <row r="13" spans="2:5" x14ac:dyDescent="0.2">
      <c r="B13" s="164" t="s">
        <v>988</v>
      </c>
      <c r="C13" s="405"/>
      <c r="D13" s="405"/>
      <c r="E13" s="163" t="str">
        <f>Mvalloc!G14</f>
        <v xml:space="preserve">  </v>
      </c>
    </row>
    <row r="14" spans="2:5" x14ac:dyDescent="0.2">
      <c r="B14" s="164" t="s">
        <v>989</v>
      </c>
      <c r="C14" s="405"/>
      <c r="D14" s="405"/>
      <c r="E14" s="163" t="str">
        <f>Mvalloc!H14</f>
        <v xml:space="preserve">  </v>
      </c>
    </row>
    <row r="15" spans="2:5" x14ac:dyDescent="0.2">
      <c r="B15" s="259"/>
      <c r="C15" s="405"/>
      <c r="D15" s="405"/>
      <c r="E15" s="76"/>
    </row>
    <row r="16" spans="2:5" x14ac:dyDescent="0.2">
      <c r="B16" s="259"/>
      <c r="C16" s="405"/>
      <c r="D16" s="405"/>
      <c r="E16" s="73"/>
    </row>
    <row r="17" spans="2:11" x14ac:dyDescent="0.2">
      <c r="B17" s="259"/>
      <c r="C17" s="405"/>
      <c r="D17" s="405"/>
      <c r="E17" s="73"/>
    </row>
    <row r="18" spans="2:11" x14ac:dyDescent="0.2">
      <c r="B18" s="303" t="s">
        <v>158</v>
      </c>
      <c r="C18" s="405"/>
      <c r="D18" s="405"/>
      <c r="E18" s="73"/>
      <c r="G18" s="959" t="str">
        <f>CONCATENATE("Desired Carryover Into ",E1+1,"")</f>
        <v>Desired Carryover Into 2021</v>
      </c>
      <c r="H18" s="960"/>
      <c r="I18" s="960"/>
      <c r="J18" s="961"/>
    </row>
    <row r="19" spans="2:11" x14ac:dyDescent="0.2">
      <c r="B19" s="165" t="s">
        <v>49</v>
      </c>
      <c r="C19" s="405"/>
      <c r="D19" s="405"/>
      <c r="E19" s="389">
        <f>Nhood!E12*-1</f>
        <v>0</v>
      </c>
      <c r="G19" s="519"/>
      <c r="H19" s="419"/>
      <c r="I19" s="435"/>
      <c r="J19" s="520"/>
    </row>
    <row r="20" spans="2:11" x14ac:dyDescent="0.2">
      <c r="B20" s="307" t="s">
        <v>246</v>
      </c>
      <c r="C20" s="405"/>
      <c r="D20" s="405"/>
      <c r="E20" s="73"/>
      <c r="G20" s="441" t="s">
        <v>615</v>
      </c>
      <c r="H20" s="435"/>
      <c r="I20" s="435"/>
      <c r="J20" s="429">
        <v>0</v>
      </c>
    </row>
    <row r="21" spans="2:11" x14ac:dyDescent="0.2">
      <c r="B21" s="307" t="s">
        <v>606</v>
      </c>
      <c r="C21" s="401" t="str">
        <f>IF(C22*0.1&lt;C20,"Exceed 10% Rule","")</f>
        <v/>
      </c>
      <c r="D21" s="401" t="str">
        <f>IF(D22*0.1&lt;D20,"Exceed 10% Rule","")</f>
        <v/>
      </c>
      <c r="E21" s="411" t="str">
        <f>IF(E22*0.1+E41&lt;E20,"Exceed 10% Rule","")</f>
        <v/>
      </c>
      <c r="G21" s="519" t="s">
        <v>614</v>
      </c>
      <c r="H21" s="419"/>
      <c r="I21" s="419"/>
      <c r="J21" s="644" t="str">
        <f>IF(J20=0,"",ROUND((J20+E41-G33)/inputOth!E7*1000,3)-G38)</f>
        <v/>
      </c>
    </row>
    <row r="22" spans="2:11" x14ac:dyDescent="0.2">
      <c r="B22" s="256" t="s">
        <v>159</v>
      </c>
      <c r="C22" s="402">
        <f>SUM(C8:C20)</f>
        <v>0</v>
      </c>
      <c r="D22" s="402">
        <f>SUM(D8:D20)</f>
        <v>0</v>
      </c>
      <c r="E22" s="306">
        <f>SUM(E8:E20)</f>
        <v>0</v>
      </c>
      <c r="G22" s="611" t="str">
        <f>CONCATENATE("",E1," Tot Exp/Non-Appr Must Be:")</f>
        <v>2020 Tot Exp/Non-Appr Must Be:</v>
      </c>
      <c r="H22" s="608"/>
      <c r="I22" s="609"/>
      <c r="J22" s="605">
        <f>IF(J20&gt;0,IF(E38&lt;E23,IF(J20=G33,E39,((J20-G33)*(1-D40))+E23),E39+(J20-G33)),0)</f>
        <v>0</v>
      </c>
    </row>
    <row r="23" spans="2:11" x14ac:dyDescent="0.2">
      <c r="B23" s="256" t="s">
        <v>160</v>
      </c>
      <c r="C23" s="402">
        <f>C6+C22</f>
        <v>0</v>
      </c>
      <c r="D23" s="402">
        <f>D6+D22</f>
        <v>0</v>
      </c>
      <c r="E23" s="306">
        <f>E6+E22</f>
        <v>0</v>
      </c>
      <c r="G23" s="642" t="s">
        <v>781</v>
      </c>
      <c r="H23" s="647"/>
      <c r="I23" s="647"/>
      <c r="J23" s="612">
        <f>IF(J20&gt;0,J22-E39,0)</f>
        <v>0</v>
      </c>
    </row>
    <row r="24" spans="2:11" x14ac:dyDescent="0.25">
      <c r="B24" s="152" t="s">
        <v>161</v>
      </c>
      <c r="C24" s="152"/>
      <c r="D24" s="403"/>
      <c r="E24" s="163"/>
      <c r="J24" s="2"/>
    </row>
    <row r="25" spans="2:11" x14ac:dyDescent="0.2">
      <c r="B25" s="259"/>
      <c r="C25" s="405"/>
      <c r="D25" s="405"/>
      <c r="E25" s="73"/>
      <c r="G25" s="959" t="str">
        <f>CONCATENATE("Projected Carryover Into ",E1+1,"")</f>
        <v>Projected Carryover Into 2021</v>
      </c>
      <c r="H25" s="973"/>
      <c r="I25" s="973"/>
      <c r="J25" s="974"/>
    </row>
    <row r="26" spans="2:11" x14ac:dyDescent="0.2">
      <c r="B26" s="259"/>
      <c r="C26" s="405"/>
      <c r="D26" s="405"/>
      <c r="E26" s="73"/>
      <c r="G26" s="519"/>
      <c r="H26" s="435"/>
      <c r="I26" s="435"/>
      <c r="J26" s="686"/>
    </row>
    <row r="27" spans="2:11" x14ac:dyDescent="0.2">
      <c r="B27" s="259"/>
      <c r="C27" s="405"/>
      <c r="D27" s="405"/>
      <c r="E27" s="73"/>
      <c r="G27" s="432">
        <f>D35</f>
        <v>0</v>
      </c>
      <c r="H27" s="433" t="str">
        <f>CONCATENATE("",E1-1," Ending Cash Balance (est.)")</f>
        <v>2019 Ending Cash Balance (est.)</v>
      </c>
      <c r="I27" s="434"/>
      <c r="J27" s="686"/>
    </row>
    <row r="28" spans="2:11" x14ac:dyDescent="0.2">
      <c r="B28" s="259"/>
      <c r="C28" s="405"/>
      <c r="D28" s="405"/>
      <c r="E28" s="73"/>
      <c r="G28" s="432">
        <f>E22</f>
        <v>0</v>
      </c>
      <c r="H28" s="435" t="str">
        <f>CONCATENATE("",E1," Non-AV Receipts (est.)")</f>
        <v>2020 Non-AV Receipts (est.)</v>
      </c>
      <c r="I28" s="434"/>
      <c r="J28" s="686"/>
    </row>
    <row r="29" spans="2:11" x14ac:dyDescent="0.2">
      <c r="B29" s="259"/>
      <c r="C29" s="405"/>
      <c r="D29" s="405"/>
      <c r="E29" s="73"/>
      <c r="G29" s="436">
        <f>IF(D40&gt;0,E39,E41)</f>
        <v>0</v>
      </c>
      <c r="H29" s="435" t="str">
        <f>CONCATENATE("",E1," Ad Valorem Tax (est.)")</f>
        <v>2020 Ad Valorem Tax (est.)</v>
      </c>
      <c r="I29" s="434"/>
      <c r="J29" s="686"/>
      <c r="K29" s="649" t="str">
        <f>IF(G29=E41,"","Note: Does not include Delinquent Taxes")</f>
        <v/>
      </c>
    </row>
    <row r="30" spans="2:11" x14ac:dyDescent="0.2">
      <c r="B30" s="259"/>
      <c r="C30" s="405"/>
      <c r="D30" s="405"/>
      <c r="E30" s="73"/>
      <c r="G30" s="432">
        <f>SUM(G27:G29)</f>
        <v>0</v>
      </c>
      <c r="H30" s="435" t="str">
        <f>CONCATENATE("Total ",E1," Resources Available")</f>
        <v>Total 2020 Resources Available</v>
      </c>
      <c r="I30" s="434"/>
      <c r="J30" s="686"/>
    </row>
    <row r="31" spans="2:11" x14ac:dyDescent="0.2">
      <c r="B31" s="780" t="str">
        <f>CONCATENATE("Cash Forward (",E1," column)")</f>
        <v>Cash Forward (2020 column)</v>
      </c>
      <c r="C31" s="405"/>
      <c r="D31" s="405"/>
      <c r="E31" s="73"/>
      <c r="G31" s="437"/>
      <c r="H31" s="435"/>
      <c r="I31" s="435"/>
      <c r="J31" s="686"/>
    </row>
    <row r="32" spans="2:11" x14ac:dyDescent="0.2">
      <c r="B32" s="165" t="s">
        <v>246</v>
      </c>
      <c r="C32" s="405"/>
      <c r="D32" s="405"/>
      <c r="E32" s="73"/>
      <c r="G32" s="436">
        <f>ROUND(C34*0.05+C34,0)</f>
        <v>0</v>
      </c>
      <c r="H32" s="435" t="str">
        <f>CONCATENATE("Less ",E1-2," Expenditures + 5%")</f>
        <v>Less 2018 Expenditures + 5%</v>
      </c>
      <c r="I32" s="434"/>
      <c r="J32" s="686"/>
    </row>
    <row r="33" spans="2:10" x14ac:dyDescent="0.25">
      <c r="B33" s="165" t="s">
        <v>605</v>
      </c>
      <c r="C33" s="401" t="str">
        <f>IF(C34*0.1&lt;C32,"Exceed 10% Rule","")</f>
        <v/>
      </c>
      <c r="D33" s="401" t="str">
        <f>IF(D34*0.1&lt;D32,"Exceed 10% Rule","")</f>
        <v/>
      </c>
      <c r="E33" s="411" t="str">
        <f>IF(E34*0.1&lt;E32,"Exceed 10% Rule","")</f>
        <v/>
      </c>
      <c r="G33" s="645">
        <f>G30-G32</f>
        <v>0</v>
      </c>
      <c r="H33" s="646" t="str">
        <f>CONCATENATE("Projected ",E1+1," carryover (est.)")</f>
        <v>Projected 2021 carryover (est.)</v>
      </c>
      <c r="I33" s="439"/>
      <c r="J33" s="684"/>
    </row>
    <row r="34" spans="2:10" x14ac:dyDescent="0.25">
      <c r="B34" s="256" t="s">
        <v>162</v>
      </c>
      <c r="C34" s="402">
        <f>SUM(C25:C32)</f>
        <v>0</v>
      </c>
      <c r="D34" s="402">
        <f>SUM(D25:D32)</f>
        <v>0</v>
      </c>
      <c r="E34" s="306">
        <f>SUM(E25:E32)</f>
        <v>0</v>
      </c>
      <c r="G34" s="2"/>
      <c r="H34" s="2"/>
      <c r="I34" s="2"/>
      <c r="J34" s="2"/>
    </row>
    <row r="35" spans="2:10" x14ac:dyDescent="0.2">
      <c r="B35" s="152" t="s">
        <v>257</v>
      </c>
      <c r="C35" s="407">
        <f>C23-C34</f>
        <v>0</v>
      </c>
      <c r="D35" s="407">
        <f>D23-D34</f>
        <v>0</v>
      </c>
      <c r="E35" s="311" t="s">
        <v>140</v>
      </c>
      <c r="G35" s="970" t="s">
        <v>897</v>
      </c>
      <c r="H35" s="971"/>
      <c r="I35" s="971"/>
      <c r="J35" s="972"/>
    </row>
    <row r="36" spans="2:10" x14ac:dyDescent="0.2">
      <c r="B36" s="314" t="str">
        <f>CONCATENATE("",E1-2,"/",E1-1,"/",E1," Budget Authority Amount:")</f>
        <v>2018/2019/2020 Budget Authority Amount:</v>
      </c>
      <c r="C36" s="389">
        <f>inputOth!B63</f>
        <v>0</v>
      </c>
      <c r="D36" s="389">
        <f>inputPrYr!D28</f>
        <v>0</v>
      </c>
      <c r="E36" s="389">
        <f>E34</f>
        <v>0</v>
      </c>
      <c r="F36" s="260"/>
      <c r="G36" s="654"/>
      <c r="H36" s="433"/>
      <c r="I36" s="606"/>
      <c r="J36" s="607"/>
    </row>
    <row r="37" spans="2:10" x14ac:dyDescent="0.2">
      <c r="B37" s="181"/>
      <c r="C37" s="966" t="s">
        <v>608</v>
      </c>
      <c r="D37" s="967"/>
      <c r="E37" s="73"/>
      <c r="F37" s="260" t="str">
        <f>IF(E34/0.95-E34&lt;E37,"Exceeds 5%","")</f>
        <v/>
      </c>
      <c r="G37" s="656" t="str">
        <f>summ!H21</f>
        <v xml:space="preserve">  </v>
      </c>
      <c r="H37" s="433" t="str">
        <f>CONCATENATE("",E1," Fund Mill Rate")</f>
        <v>2020 Fund Mill Rate</v>
      </c>
      <c r="I37" s="606"/>
      <c r="J37" s="607"/>
    </row>
    <row r="38" spans="2:10" x14ac:dyDescent="0.2">
      <c r="B38" s="412" t="str">
        <f>CONCATENATE(C98,"     ",D98)</f>
        <v xml:space="preserve">     </v>
      </c>
      <c r="C38" s="968" t="s">
        <v>609</v>
      </c>
      <c r="D38" s="969"/>
      <c r="E38" s="163">
        <f>E34+E37</f>
        <v>0</v>
      </c>
      <c r="G38" s="655" t="str">
        <f>summ!E21</f>
        <v xml:space="preserve">  </v>
      </c>
      <c r="H38" s="433" t="str">
        <f>CONCATENATE("",E1-1," Fund Mill Rate")</f>
        <v>2019 Fund Mill Rate</v>
      </c>
      <c r="I38" s="606"/>
      <c r="J38" s="607"/>
    </row>
    <row r="39" spans="2:10" x14ac:dyDescent="0.2">
      <c r="B39" s="412" t="str">
        <f>CONCATENATE(C99,"     ",D99)</f>
        <v xml:space="preserve">     </v>
      </c>
      <c r="C39" s="261"/>
      <c r="D39" s="185" t="s">
        <v>163</v>
      </c>
      <c r="E39" s="80">
        <f>IF(E38-E23&gt;0,E38-E23,0)</f>
        <v>0</v>
      </c>
      <c r="G39" s="657">
        <f>summ!H31</f>
        <v>53.328000000000003</v>
      </c>
      <c r="H39" s="433" t="str">
        <f>CONCATENATE("Total ",E1," Mill Rate")</f>
        <v>Total 2020 Mill Rate</v>
      </c>
      <c r="I39" s="606"/>
      <c r="J39" s="607"/>
    </row>
    <row r="40" spans="2:10" x14ac:dyDescent="0.2">
      <c r="B40" s="185"/>
      <c r="C40" s="399" t="s">
        <v>610</v>
      </c>
      <c r="D40" s="652">
        <f>inputOth!E44</f>
        <v>0</v>
      </c>
      <c r="E40" s="163">
        <f>ROUND(IF(D40&gt;0,(E39*D40),0),0)</f>
        <v>0</v>
      </c>
      <c r="G40" s="655">
        <f>summ!E31</f>
        <v>53.503</v>
      </c>
      <c r="H40" s="594" t="str">
        <f>CONCATENATE("Total ",E1-1," Mill Rate")</f>
        <v>Total 2019 Mill Rate</v>
      </c>
      <c r="I40" s="595"/>
      <c r="J40" s="596"/>
    </row>
    <row r="41" spans="2:10" ht="16.5" thickBot="1" x14ac:dyDescent="0.25">
      <c r="B41" s="56"/>
      <c r="C41" s="982" t="str">
        <f>CONCATENATE("Amount of  ",E1-1," Ad Valorem Tax")</f>
        <v>Amount of  2019 Ad Valorem Tax</v>
      </c>
      <c r="D41" s="983"/>
      <c r="E41" s="659">
        <f>E39+E40</f>
        <v>0</v>
      </c>
    </row>
    <row r="42" spans="2:10" ht="16.5" thickTop="1" x14ac:dyDescent="0.2">
      <c r="B42" s="56"/>
      <c r="C42" s="962"/>
      <c r="D42" s="963"/>
      <c r="E42" s="56"/>
      <c r="G42" s="759"/>
      <c r="H42" s="757"/>
      <c r="I42" s="768"/>
      <c r="J42" s="761"/>
    </row>
    <row r="43" spans="2:10" x14ac:dyDescent="0.2">
      <c r="B43" s="56"/>
      <c r="C43" s="581"/>
      <c r="D43" s="56"/>
      <c r="E43" s="56"/>
      <c r="G43" s="781" t="str">
        <f>CONCATENATE("Computed ",E1," tax levy limit amount")</f>
        <v>Computed 2020 tax levy limit amount</v>
      </c>
      <c r="H43" s="782"/>
      <c r="I43" s="782"/>
      <c r="J43" s="783">
        <f>Comp1!J47</f>
        <v>0</v>
      </c>
    </row>
    <row r="44" spans="2:10" x14ac:dyDescent="0.2">
      <c r="B44" s="59" t="s">
        <v>151</v>
      </c>
      <c r="C44" s="77"/>
      <c r="D44" s="146"/>
      <c r="E44" s="146"/>
      <c r="G44" s="784" t="str">
        <f>CONCATENATE("Total ",E1," tax levy amount")</f>
        <v>Total 2020 tax levy amount</v>
      </c>
      <c r="H44" s="785"/>
      <c r="I44" s="785"/>
      <c r="J44" s="786">
        <f>summ!G31</f>
        <v>112449</v>
      </c>
    </row>
    <row r="45" spans="2:10" x14ac:dyDescent="0.2">
      <c r="B45" s="56"/>
      <c r="C45" s="662" t="s">
        <v>778</v>
      </c>
      <c r="D45" s="663" t="s">
        <v>779</v>
      </c>
      <c r="E45" s="148" t="s">
        <v>780</v>
      </c>
    </row>
    <row r="46" spans="2:10" x14ac:dyDescent="0.2">
      <c r="B46" s="409">
        <f>(inputPrYr!B29)</f>
        <v>0</v>
      </c>
      <c r="C46" s="299" t="str">
        <f>CONCATENATE("Actual for ",$E$1-2,"")</f>
        <v>Actual for 2018</v>
      </c>
      <c r="D46" s="376" t="str">
        <f>CONCATENATE("Estimate for ",$E$1-1,"")</f>
        <v>Estimate for 2019</v>
      </c>
      <c r="E46" s="196" t="str">
        <f>CONCATENATE("Year for ",$E$1,"")</f>
        <v>Year for 2020</v>
      </c>
    </row>
    <row r="47" spans="2:10" x14ac:dyDescent="0.2">
      <c r="B47" s="152" t="s">
        <v>256</v>
      </c>
      <c r="C47" s="404"/>
      <c r="D47" s="403">
        <f>C76</f>
        <v>0</v>
      </c>
      <c r="E47" s="163">
        <f>D76</f>
        <v>0</v>
      </c>
    </row>
    <row r="48" spans="2:10" x14ac:dyDescent="0.2">
      <c r="B48" s="152" t="s">
        <v>258</v>
      </c>
      <c r="C48" s="152"/>
      <c r="D48" s="403"/>
      <c r="E48" s="163"/>
    </row>
    <row r="49" spans="2:10" x14ac:dyDescent="0.2">
      <c r="B49" s="152" t="s">
        <v>152</v>
      </c>
      <c r="C49" s="400"/>
      <c r="D49" s="403">
        <f>IF(inputPrYr!H21&gt;0,inputPrYr!G29,inputPrYr!E29)</f>
        <v>0</v>
      </c>
      <c r="E49" s="311" t="s">
        <v>140</v>
      </c>
    </row>
    <row r="50" spans="2:10" x14ac:dyDescent="0.2">
      <c r="B50" s="152" t="s">
        <v>153</v>
      </c>
      <c r="C50" s="400"/>
      <c r="D50" s="400"/>
      <c r="E50" s="73"/>
    </row>
    <row r="51" spans="2:10" x14ac:dyDescent="0.2">
      <c r="B51" s="152" t="s">
        <v>154</v>
      </c>
      <c r="C51" s="400"/>
      <c r="D51" s="400"/>
      <c r="E51" s="163" t="str">
        <f>Mvalloc!D15</f>
        <v xml:space="preserve">  </v>
      </c>
    </row>
    <row r="52" spans="2:10" x14ac:dyDescent="0.2">
      <c r="B52" s="152" t="s">
        <v>155</v>
      </c>
      <c r="C52" s="400"/>
      <c r="D52" s="400"/>
      <c r="E52" s="163" t="str">
        <f>Mvalloc!E15</f>
        <v xml:space="preserve">  </v>
      </c>
    </row>
    <row r="53" spans="2:10" x14ac:dyDescent="0.2">
      <c r="B53" s="165" t="s">
        <v>207</v>
      </c>
      <c r="C53" s="400"/>
      <c r="D53" s="400"/>
      <c r="E53" s="163" t="str">
        <f>Mvalloc!F15</f>
        <v xml:space="preserve">  </v>
      </c>
    </row>
    <row r="54" spans="2:10" x14ac:dyDescent="0.2">
      <c r="B54" s="164" t="s">
        <v>988</v>
      </c>
      <c r="C54" s="400"/>
      <c r="D54" s="400"/>
      <c r="E54" s="163" t="str">
        <f>Mvalloc!G15</f>
        <v xml:space="preserve">  </v>
      </c>
    </row>
    <row r="55" spans="2:10" x14ac:dyDescent="0.2">
      <c r="B55" s="164" t="s">
        <v>989</v>
      </c>
      <c r="C55" s="400"/>
      <c r="D55" s="400"/>
      <c r="E55" s="163" t="str">
        <f>Mvalloc!H15</f>
        <v xml:space="preserve">  </v>
      </c>
    </row>
    <row r="56" spans="2:10" x14ac:dyDescent="0.2">
      <c r="B56" s="259"/>
      <c r="C56" s="400"/>
      <c r="D56" s="400"/>
      <c r="E56" s="76"/>
    </row>
    <row r="57" spans="2:10" x14ac:dyDescent="0.2">
      <c r="B57" s="259"/>
      <c r="C57" s="400"/>
      <c r="D57" s="400"/>
      <c r="E57" s="73"/>
    </row>
    <row r="58" spans="2:10" x14ac:dyDescent="0.2">
      <c r="B58" s="259"/>
      <c r="C58" s="400"/>
      <c r="D58" s="400"/>
      <c r="E58" s="73"/>
    </row>
    <row r="59" spans="2:10" x14ac:dyDescent="0.2">
      <c r="B59" s="303" t="s">
        <v>158</v>
      </c>
      <c r="C59" s="400"/>
      <c r="D59" s="400"/>
      <c r="E59" s="73"/>
      <c r="G59" s="959" t="str">
        <f>CONCATENATE("Desired Carryover Into ",E1+1,"")</f>
        <v>Desired Carryover Into 2021</v>
      </c>
      <c r="H59" s="960"/>
      <c r="I59" s="960"/>
      <c r="J59" s="961"/>
    </row>
    <row r="60" spans="2:10" x14ac:dyDescent="0.2">
      <c r="B60" s="165" t="s">
        <v>49</v>
      </c>
      <c r="C60" s="400"/>
      <c r="D60" s="400"/>
      <c r="E60" s="389">
        <f>Nhood!E13*-1</f>
        <v>0</v>
      </c>
      <c r="G60" s="519"/>
      <c r="H60" s="419"/>
      <c r="I60" s="435"/>
      <c r="J60" s="520"/>
    </row>
    <row r="61" spans="2:10" x14ac:dyDescent="0.2">
      <c r="B61" s="152" t="s">
        <v>246</v>
      </c>
      <c r="C61" s="400"/>
      <c r="D61" s="400"/>
      <c r="E61" s="73"/>
      <c r="G61" s="441" t="s">
        <v>615</v>
      </c>
      <c r="H61" s="435"/>
      <c r="I61" s="435"/>
      <c r="J61" s="429">
        <v>0</v>
      </c>
    </row>
    <row r="62" spans="2:10" x14ac:dyDescent="0.2">
      <c r="B62" s="152" t="s">
        <v>50</v>
      </c>
      <c r="C62" s="408" t="str">
        <f>IF(C63*0.1&lt;C61,"Exceed 10% Rule","")</f>
        <v/>
      </c>
      <c r="D62" s="401" t="str">
        <f>IF(D63*0.1&lt;D61,"Exceed 10% Rule","")</f>
        <v/>
      </c>
      <c r="E62" s="411" t="str">
        <f>IF(E63*0.1+E82&lt;E61,"Exceed 10% Rule","")</f>
        <v/>
      </c>
      <c r="G62" s="519" t="s">
        <v>614</v>
      </c>
      <c r="H62" s="419"/>
      <c r="I62" s="419"/>
      <c r="J62" s="644" t="str">
        <f>IF(J61=0,"",ROUND((J61+E82-G74)/inputOth!E7*1000,3)-G79)</f>
        <v/>
      </c>
    </row>
    <row r="63" spans="2:10" x14ac:dyDescent="0.2">
      <c r="B63" s="256" t="s">
        <v>159</v>
      </c>
      <c r="C63" s="402">
        <f>SUM(C49:C61)</f>
        <v>0</v>
      </c>
      <c r="D63" s="402">
        <f>SUM(D49:D61)</f>
        <v>0</v>
      </c>
      <c r="E63" s="306">
        <f>SUM(E49:E61)</f>
        <v>0</v>
      </c>
      <c r="G63" s="611" t="str">
        <f>CONCATENATE("",E1," Tot Exp/Non-Appr Must Be:")</f>
        <v>2020 Tot Exp/Non-Appr Must Be:</v>
      </c>
      <c r="H63" s="608"/>
      <c r="I63" s="609"/>
      <c r="J63" s="605">
        <f>IF(J61&gt;0,IF(E79&lt;E64,IF(J61=G74,E79,((J61-G74)*(1-D81))+E64),E79+(J61-G74)),0)</f>
        <v>0</v>
      </c>
    </row>
    <row r="64" spans="2:10" x14ac:dyDescent="0.2">
      <c r="B64" s="256" t="s">
        <v>160</v>
      </c>
      <c r="C64" s="402">
        <f>C47+C63</f>
        <v>0</v>
      </c>
      <c r="D64" s="402">
        <f>D47+D63</f>
        <v>0</v>
      </c>
      <c r="E64" s="306">
        <f>E47+E63</f>
        <v>0</v>
      </c>
      <c r="G64" s="642" t="s">
        <v>781</v>
      </c>
      <c r="H64" s="647"/>
      <c r="I64" s="647"/>
      <c r="J64" s="612">
        <f>IF(J61&gt;0,J63-E79,0)</f>
        <v>0</v>
      </c>
    </row>
    <row r="65" spans="2:11" x14ac:dyDescent="0.25">
      <c r="B65" s="152" t="s">
        <v>161</v>
      </c>
      <c r="C65" s="152"/>
      <c r="D65" s="403"/>
      <c r="E65" s="163"/>
      <c r="J65" s="2"/>
    </row>
    <row r="66" spans="2:11" x14ac:dyDescent="0.2">
      <c r="B66" s="259"/>
      <c r="C66" s="400"/>
      <c r="D66" s="400"/>
      <c r="E66" s="73"/>
      <c r="G66" s="959" t="str">
        <f>CONCATENATE("Projected Carryover Into ",E1+1,"")</f>
        <v>Projected Carryover Into 2021</v>
      </c>
      <c r="H66" s="975"/>
      <c r="I66" s="975"/>
      <c r="J66" s="974"/>
    </row>
    <row r="67" spans="2:11" x14ac:dyDescent="0.2">
      <c r="B67" s="259"/>
      <c r="C67" s="400"/>
      <c r="D67" s="400"/>
      <c r="E67" s="73"/>
      <c r="G67" s="430"/>
      <c r="H67" s="419"/>
      <c r="I67" s="419"/>
      <c r="J67" s="686"/>
    </row>
    <row r="68" spans="2:11" x14ac:dyDescent="0.2">
      <c r="B68" s="259"/>
      <c r="C68" s="400"/>
      <c r="D68" s="400"/>
      <c r="E68" s="73"/>
      <c r="G68" s="432">
        <f>D76</f>
        <v>0</v>
      </c>
      <c r="H68" s="433" t="str">
        <f>CONCATENATE("",E1-1," Ending Cash Balance (est.)")</f>
        <v>2019 Ending Cash Balance (est.)</v>
      </c>
      <c r="I68" s="434"/>
      <c r="J68" s="686"/>
    </row>
    <row r="69" spans="2:11" x14ac:dyDescent="0.2">
      <c r="B69" s="259"/>
      <c r="C69" s="400"/>
      <c r="D69" s="400"/>
      <c r="E69" s="73"/>
      <c r="G69" s="432">
        <f>E63</f>
        <v>0</v>
      </c>
      <c r="H69" s="435" t="str">
        <f>CONCATENATE("",E1," Non-AV Receipts (est.)")</f>
        <v>2020 Non-AV Receipts (est.)</v>
      </c>
      <c r="I69" s="434"/>
      <c r="J69" s="686"/>
    </row>
    <row r="70" spans="2:11" x14ac:dyDescent="0.2">
      <c r="B70" s="259"/>
      <c r="C70" s="400"/>
      <c r="D70" s="400"/>
      <c r="E70" s="73"/>
      <c r="G70" s="436">
        <f>IF(D81&gt;0,E80,E82)</f>
        <v>0</v>
      </c>
      <c r="H70" s="435" t="str">
        <f>CONCATENATE("",E1," Ad Valorem Tax (est.)")</f>
        <v>2020 Ad Valorem Tax (est.)</v>
      </c>
      <c r="I70" s="434"/>
      <c r="J70" s="686"/>
      <c r="K70" s="649" t="str">
        <f>IF(G70=E82,"","Note: Does not include Delinquent Taxes")</f>
        <v/>
      </c>
    </row>
    <row r="71" spans="2:11" x14ac:dyDescent="0.2">
      <c r="B71" s="259"/>
      <c r="C71" s="400"/>
      <c r="D71" s="400"/>
      <c r="E71" s="73"/>
      <c r="G71" s="521">
        <f>SUM(G68:G70)</f>
        <v>0</v>
      </c>
      <c r="H71" s="435" t="str">
        <f>CONCATENATE("Total ",E1," Resources Available")</f>
        <v>Total 2020 Resources Available</v>
      </c>
      <c r="I71" s="431"/>
      <c r="J71" s="686"/>
    </row>
    <row r="72" spans="2:11" x14ac:dyDescent="0.2">
      <c r="B72" s="779" t="str">
        <f>CONCATENATE("Cash Forward (",E1," column)")</f>
        <v>Cash Forward (2020 column)</v>
      </c>
      <c r="C72" s="400"/>
      <c r="D72" s="400"/>
      <c r="E72" s="73"/>
      <c r="G72" s="524"/>
      <c r="H72" s="522"/>
      <c r="I72" s="419"/>
      <c r="J72" s="686"/>
    </row>
    <row r="73" spans="2:11" x14ac:dyDescent="0.2">
      <c r="B73" s="165" t="s">
        <v>246</v>
      </c>
      <c r="C73" s="400"/>
      <c r="D73" s="400"/>
      <c r="E73" s="73"/>
      <c r="G73" s="523">
        <f>ROUND(C75*0.05+C75,0)</f>
        <v>0</v>
      </c>
      <c r="H73" s="522" t="str">
        <f>CONCATENATE("Less ",E1-2," Expenditures + 5%")</f>
        <v>Less 2018 Expenditures + 5%</v>
      </c>
      <c r="I73" s="431"/>
      <c r="J73" s="686"/>
    </row>
    <row r="74" spans="2:11" x14ac:dyDescent="0.25">
      <c r="B74" s="165" t="s">
        <v>51</v>
      </c>
      <c r="C74" s="401" t="str">
        <f>IF(C75*0.1&lt;C73,"Exceed 10% Rule","")</f>
        <v/>
      </c>
      <c r="D74" s="401" t="str">
        <f>IF(D75*0.1&lt;D73,"Exceed 10% Rule","")</f>
        <v/>
      </c>
      <c r="E74" s="411" t="str">
        <f>IF(E75*0.1&lt;E73,"Exceed 10% Rule","")</f>
        <v/>
      </c>
      <c r="G74" s="533">
        <f>G71-G73</f>
        <v>0</v>
      </c>
      <c r="H74" s="534" t="str">
        <f>CONCATENATE("Projected ",E1+1," carryover (est.)")</f>
        <v>Projected 2021 carryover (est.)</v>
      </c>
      <c r="I74" s="440"/>
      <c r="J74" s="684"/>
    </row>
    <row r="75" spans="2:11" x14ac:dyDescent="0.25">
      <c r="B75" s="256" t="s">
        <v>162</v>
      </c>
      <c r="C75" s="402">
        <f>SUM(C66:C73)</f>
        <v>0</v>
      </c>
      <c r="D75" s="402">
        <f>SUM(D66:D73)</f>
        <v>0</v>
      </c>
      <c r="E75" s="306">
        <f>SUM(E66:E73)</f>
        <v>0</v>
      </c>
      <c r="G75" s="2"/>
      <c r="H75" s="2"/>
      <c r="I75" s="2"/>
    </row>
    <row r="76" spans="2:11" x14ac:dyDescent="0.2">
      <c r="B76" s="152" t="s">
        <v>257</v>
      </c>
      <c r="C76" s="407">
        <f>C64-C75</f>
        <v>0</v>
      </c>
      <c r="D76" s="407">
        <f>D64-D75</f>
        <v>0</v>
      </c>
      <c r="E76" s="311" t="s">
        <v>140</v>
      </c>
      <c r="G76" s="970" t="s">
        <v>897</v>
      </c>
      <c r="H76" s="971"/>
      <c r="I76" s="971"/>
      <c r="J76" s="972"/>
    </row>
    <row r="77" spans="2:11" x14ac:dyDescent="0.2">
      <c r="B77" s="314" t="str">
        <f>CONCATENATE("",E1-2,"/",E1-1,"/",E1," Budget Authority Amount:")</f>
        <v>2018/2019/2020 Budget Authority Amount:</v>
      </c>
      <c r="C77" s="389">
        <f>inputOth!B64</f>
        <v>0</v>
      </c>
      <c r="D77" s="389">
        <f>inputPrYr!D29</f>
        <v>0</v>
      </c>
      <c r="E77" s="389">
        <f>E75</f>
        <v>0</v>
      </c>
      <c r="F77" s="260"/>
      <c r="G77" s="654"/>
      <c r="H77" s="433"/>
      <c r="I77" s="606"/>
      <c r="J77" s="607"/>
    </row>
    <row r="78" spans="2:11" x14ac:dyDescent="0.2">
      <c r="B78" s="181"/>
      <c r="C78" s="966" t="s">
        <v>608</v>
      </c>
      <c r="D78" s="967"/>
      <c r="E78" s="73"/>
      <c r="F78" s="260" t="str">
        <f>IF(E75/0.95-E75&lt;E78,"Exceeds 5%","")</f>
        <v/>
      </c>
      <c r="G78" s="656" t="str">
        <f>summ!H22</f>
        <v xml:space="preserve">  </v>
      </c>
      <c r="H78" s="433" t="str">
        <f>CONCATENATE("",E1," Fund Mill Rate")</f>
        <v>2020 Fund Mill Rate</v>
      </c>
      <c r="I78" s="606"/>
      <c r="J78" s="607"/>
    </row>
    <row r="79" spans="2:11" x14ac:dyDescent="0.2">
      <c r="B79" s="412" t="str">
        <f>CONCATENATE(C100,"     ",D100)</f>
        <v xml:space="preserve">     </v>
      </c>
      <c r="C79" s="968" t="s">
        <v>609</v>
      </c>
      <c r="D79" s="969"/>
      <c r="E79" s="163">
        <f>E75+E78</f>
        <v>0</v>
      </c>
      <c r="G79" s="655" t="str">
        <f>summ!E22</f>
        <v xml:space="preserve">  </v>
      </c>
      <c r="H79" s="433" t="str">
        <f>CONCATENATE("",E1-1," Fund Mill Rate")</f>
        <v>2019 Fund Mill Rate</v>
      </c>
      <c r="I79" s="606"/>
      <c r="J79" s="607"/>
    </row>
    <row r="80" spans="2:11" x14ac:dyDescent="0.2">
      <c r="B80" s="412" t="str">
        <f>CONCATENATE(C101,"     ",D101)</f>
        <v xml:space="preserve">     </v>
      </c>
      <c r="C80" s="261"/>
      <c r="D80" s="185" t="s">
        <v>163</v>
      </c>
      <c r="E80" s="80">
        <f>IF(E79-E64&gt;0,E79-E64,0)</f>
        <v>0</v>
      </c>
      <c r="G80" s="657">
        <f>summ!H31</f>
        <v>53.328000000000003</v>
      </c>
      <c r="H80" s="433" t="str">
        <f>CONCATENATE("Total ",E1," Mill Rate")</f>
        <v>Total 2020 Mill Rate</v>
      </c>
      <c r="I80" s="606"/>
      <c r="J80" s="607"/>
    </row>
    <row r="81" spans="2:10" x14ac:dyDescent="0.2">
      <c r="B81" s="185"/>
      <c r="C81" s="399" t="s">
        <v>610</v>
      </c>
      <c r="D81" s="652">
        <f>inputOth!E44</f>
        <v>0</v>
      </c>
      <c r="E81" s="163">
        <f>ROUND(IF(D81&gt;0,(E80*D81),0),0)</f>
        <v>0</v>
      </c>
      <c r="G81" s="655">
        <f>summ!E31</f>
        <v>53.503</v>
      </c>
      <c r="H81" s="594" t="str">
        <f>CONCATENATE("Total ",E1-1," Mill Rate")</f>
        <v>Total 2019 Mill Rate</v>
      </c>
      <c r="I81" s="595"/>
      <c r="J81" s="596"/>
    </row>
    <row r="82" spans="2:10" ht="16.5" thickBot="1" x14ac:dyDescent="0.25">
      <c r="B82" s="56"/>
      <c r="C82" s="982" t="str">
        <f>CONCATENATE("Amount of  ",E1-1," Ad Valorem Tax")</f>
        <v>Amount of  2019 Ad Valorem Tax</v>
      </c>
      <c r="D82" s="983"/>
      <c r="E82" s="659">
        <f>E80+E81</f>
        <v>0</v>
      </c>
    </row>
    <row r="83" spans="2:10" ht="16.5" thickTop="1" x14ac:dyDescent="0.2">
      <c r="B83" s="56"/>
      <c r="C83" s="581"/>
      <c r="D83" s="581"/>
      <c r="E83" s="581"/>
      <c r="G83" s="759"/>
      <c r="H83" s="757"/>
      <c r="I83" s="768"/>
      <c r="J83" s="761"/>
    </row>
    <row r="84" spans="2:10" x14ac:dyDescent="0.2">
      <c r="B84" s="795" t="s">
        <v>1011</v>
      </c>
      <c r="C84" s="801"/>
      <c r="D84" s="801"/>
      <c r="E84" s="802"/>
      <c r="G84" s="773" t="str">
        <f>CONCATENATE("Computed ",E1," tax levy limit amount")</f>
        <v>Computed 2020 tax levy limit amount</v>
      </c>
      <c r="H84" s="774"/>
      <c r="I84" s="774"/>
      <c r="J84" s="775">
        <f>Comp1!J47</f>
        <v>0</v>
      </c>
    </row>
    <row r="85" spans="2:10" x14ac:dyDescent="0.2">
      <c r="B85" s="86"/>
      <c r="C85" s="581"/>
      <c r="D85" s="581"/>
      <c r="E85" s="803"/>
      <c r="G85" s="776" t="str">
        <f>CONCATENATE("Total ",E1," tax levy amount")</f>
        <v>Total 2020 tax levy amount</v>
      </c>
      <c r="H85" s="777"/>
      <c r="I85" s="777"/>
      <c r="J85" s="778">
        <f>summ!G31</f>
        <v>112449</v>
      </c>
    </row>
    <row r="86" spans="2:10" x14ac:dyDescent="0.2">
      <c r="B86" s="166"/>
      <c r="C86" s="979"/>
      <c r="D86" s="981"/>
      <c r="E86" s="89"/>
    </row>
    <row r="87" spans="2:10" x14ac:dyDescent="0.2">
      <c r="B87" s="56"/>
      <c r="C87" s="56"/>
      <c r="D87" s="56"/>
      <c r="E87" s="56"/>
    </row>
    <row r="88" spans="2:10" x14ac:dyDescent="0.2">
      <c r="B88" s="185" t="s">
        <v>165</v>
      </c>
      <c r="C88" s="745"/>
      <c r="D88" s="99"/>
      <c r="E88" s="56"/>
    </row>
    <row r="90" spans="2:10" x14ac:dyDescent="0.2">
      <c r="B90" s="105"/>
      <c r="C90" s="105"/>
    </row>
    <row r="95" spans="2:10" hidden="1" x14ac:dyDescent="0.2"/>
    <row r="96" spans="2:10" hidden="1" x14ac:dyDescent="0.2"/>
    <row r="97" spans="3:4" hidden="1" x14ac:dyDescent="0.2"/>
    <row r="98" spans="3:4" hidden="1" x14ac:dyDescent="0.25">
      <c r="C98" s="418" t="str">
        <f>IF(C34&gt;C36,"See Tab A","")</f>
        <v/>
      </c>
      <c r="D98" s="418" t="str">
        <f>IF(D34&gt;D36,"See Tab C","")</f>
        <v/>
      </c>
    </row>
    <row r="99" spans="3:4" x14ac:dyDescent="0.25">
      <c r="C99" s="418" t="str">
        <f>IF(C35&lt;0,"See Tab B","")</f>
        <v/>
      </c>
      <c r="D99" s="418" t="str">
        <f>IF(D35&lt;0,"See Tab D","")</f>
        <v/>
      </c>
    </row>
    <row r="100" spans="3:4" x14ac:dyDescent="0.2">
      <c r="C100" s="413" t="str">
        <f>IF(C75&gt;C77,"See Tab A","")</f>
        <v/>
      </c>
      <c r="D100" s="413" t="str">
        <f>IF(D75&gt;D77,"See Tab C","")</f>
        <v/>
      </c>
    </row>
    <row r="101" spans="3:4" x14ac:dyDescent="0.2">
      <c r="C101" s="413" t="str">
        <f>IF(C76&lt;0,"See Tab B","")</f>
        <v/>
      </c>
      <c r="D101" s="413" t="str">
        <f>IF(D76&lt;0,"See Tab D","")</f>
        <v/>
      </c>
    </row>
    <row r="102" spans="3:4" x14ac:dyDescent="0.2">
      <c r="C102" s="413"/>
      <c r="D102" s="413"/>
    </row>
    <row r="103" spans="3:4" x14ac:dyDescent="0.2">
      <c r="C103" s="413"/>
      <c r="D103" s="413"/>
    </row>
  </sheetData>
  <sheetProtection sheet="1"/>
  <mergeCells count="14">
    <mergeCell ref="G35:J35"/>
    <mergeCell ref="C37:D37"/>
    <mergeCell ref="C38:D38"/>
    <mergeCell ref="G18:J18"/>
    <mergeCell ref="G59:J59"/>
    <mergeCell ref="G25:J25"/>
    <mergeCell ref="G76:J76"/>
    <mergeCell ref="C86:D86"/>
    <mergeCell ref="C42:D42"/>
    <mergeCell ref="C41:D41"/>
    <mergeCell ref="C82:D82"/>
    <mergeCell ref="C78:D78"/>
    <mergeCell ref="C79:D79"/>
    <mergeCell ref="G66:J66"/>
  </mergeCells>
  <phoneticPr fontId="0" type="noConversion"/>
  <conditionalFormatting sqref="E73">
    <cfRule type="cellIs" dxfId="90" priority="3" stopIfTrue="1" operator="greaterThan">
      <formula>$E$75*0.1</formula>
    </cfRule>
  </conditionalFormatting>
  <conditionalFormatting sqref="E78">
    <cfRule type="cellIs" dxfId="89" priority="4" stopIfTrue="1" operator="greaterThan">
      <formula>$E$75/0.95-$E$75</formula>
    </cfRule>
  </conditionalFormatting>
  <conditionalFormatting sqref="E32">
    <cfRule type="cellIs" dxfId="88" priority="5" stopIfTrue="1" operator="greaterThan">
      <formula>$E$34*0.1</formula>
    </cfRule>
  </conditionalFormatting>
  <conditionalFormatting sqref="E37">
    <cfRule type="cellIs" dxfId="87" priority="6" stopIfTrue="1" operator="greaterThan">
      <formula>$E$34/0.95-$E$34</formula>
    </cfRule>
  </conditionalFormatting>
  <conditionalFormatting sqref="C76 C35">
    <cfRule type="cellIs" dxfId="86" priority="7" stopIfTrue="1" operator="lessThan">
      <formula>0</formula>
    </cfRule>
  </conditionalFormatting>
  <conditionalFormatting sqref="C75">
    <cfRule type="cellIs" dxfId="85" priority="8" stopIfTrue="1" operator="greaterThan">
      <formula>$C$77</formula>
    </cfRule>
  </conditionalFormatting>
  <conditionalFormatting sqref="D75">
    <cfRule type="cellIs" dxfId="84" priority="9" stopIfTrue="1" operator="greaterThan">
      <formula>$D$77</formula>
    </cfRule>
  </conditionalFormatting>
  <conditionalFormatting sqref="C34">
    <cfRule type="cellIs" dxfId="83" priority="10" stopIfTrue="1" operator="greaterThan">
      <formula>$C$36</formula>
    </cfRule>
  </conditionalFormatting>
  <conditionalFormatting sqref="D34">
    <cfRule type="cellIs" dxfId="82" priority="11" stopIfTrue="1" operator="greaterThan">
      <formula>$D$36</formula>
    </cfRule>
  </conditionalFormatting>
  <conditionalFormatting sqref="E61">
    <cfRule type="cellIs" dxfId="81" priority="12" stopIfTrue="1" operator="greaterThan">
      <formula>$E$63*0.1+E82</formula>
    </cfRule>
  </conditionalFormatting>
  <conditionalFormatting sqref="E20">
    <cfRule type="cellIs" dxfId="80" priority="13" stopIfTrue="1" operator="greaterThan">
      <formula>$E$22*0.1+E41</formula>
    </cfRule>
  </conditionalFormatting>
  <conditionalFormatting sqref="D20">
    <cfRule type="cellIs" dxfId="79" priority="14" stopIfTrue="1" operator="greaterThan">
      <formula>$D$22*0.1</formula>
    </cfRule>
  </conditionalFormatting>
  <conditionalFormatting sqref="C20">
    <cfRule type="cellIs" dxfId="78" priority="15" stopIfTrue="1" operator="greaterThan">
      <formula>$C$22*0.1</formula>
    </cfRule>
  </conditionalFormatting>
  <conditionalFormatting sqref="C32">
    <cfRule type="cellIs" dxfId="77" priority="16" stopIfTrue="1" operator="greaterThan">
      <formula>$C$34*0.1</formula>
    </cfRule>
  </conditionalFormatting>
  <conditionalFormatting sqref="D32">
    <cfRule type="cellIs" dxfId="76" priority="17" stopIfTrue="1" operator="greaterThan">
      <formula>$D$34*0.1</formula>
    </cfRule>
  </conditionalFormatting>
  <conditionalFormatting sqref="D61">
    <cfRule type="cellIs" dxfId="75" priority="18" stopIfTrue="1" operator="greaterThan">
      <formula>$D$63*0.1</formula>
    </cfRule>
  </conditionalFormatting>
  <conditionalFormatting sqref="C61">
    <cfRule type="cellIs" dxfId="74" priority="19" stopIfTrue="1" operator="greaterThan">
      <formula>$C$63*0.1</formula>
    </cfRule>
  </conditionalFormatting>
  <conditionalFormatting sqref="C73">
    <cfRule type="cellIs" dxfId="73" priority="20" stopIfTrue="1" operator="greaterThan">
      <formula>$C$75*0.1</formula>
    </cfRule>
  </conditionalFormatting>
  <conditionalFormatting sqref="D73">
    <cfRule type="cellIs" dxfId="72" priority="21" stopIfTrue="1" operator="greaterThan">
      <formula>$D$75*0.1</formula>
    </cfRule>
  </conditionalFormatting>
  <conditionalFormatting sqref="D76 D35">
    <cfRule type="cellIs" dxfId="71" priority="2" stopIfTrue="1" operator="lessThan">
      <formula>0</formula>
    </cfRule>
  </conditionalFormatting>
  <pageMargins left="0.5" right="0.5" top="1" bottom="0.5" header="0.5" footer="0.5"/>
  <pageSetup scale="48"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pageSetUpPr fitToPage="1"/>
  </sheetPr>
  <dimension ref="B1:E67"/>
  <sheetViews>
    <sheetView topLeftCell="A42" workbookViewId="0">
      <selection activeCell="C68" sqref="C68"/>
    </sheetView>
  </sheetViews>
  <sheetFormatPr defaultColWidth="8.88671875" defaultRowHeight="15.75" x14ac:dyDescent="0.2"/>
  <cols>
    <col min="1" max="1" width="2.44140625" style="57" customWidth="1"/>
    <col min="2" max="2" width="31.109375" style="57" customWidth="1"/>
    <col min="3" max="4" width="15.77734375" style="57" customWidth="1"/>
    <col min="5" max="5" width="16.109375" style="57" customWidth="1"/>
    <col min="6" max="16384" width="8.88671875" style="57"/>
  </cols>
  <sheetData>
    <row r="1" spans="2:5" x14ac:dyDescent="0.2">
      <c r="B1" s="173" t="str">
        <f>(inputPrYr!D3)</f>
        <v>City of Strong City</v>
      </c>
      <c r="C1" s="56"/>
      <c r="D1" s="56"/>
      <c r="E1" s="135">
        <f>inputPrYr!$C$6</f>
        <v>2020</v>
      </c>
    </row>
    <row r="2" spans="2:5" x14ac:dyDescent="0.2">
      <c r="B2" s="56"/>
      <c r="C2" s="56"/>
      <c r="D2" s="56"/>
      <c r="E2" s="185"/>
    </row>
    <row r="3" spans="2:5" x14ac:dyDescent="0.2">
      <c r="B3" s="67" t="s">
        <v>212</v>
      </c>
      <c r="C3" s="297"/>
      <c r="D3" s="297"/>
      <c r="E3" s="298"/>
    </row>
    <row r="4" spans="2:5" x14ac:dyDescent="0.2">
      <c r="B4" s="59" t="s">
        <v>151</v>
      </c>
      <c r="C4" s="662" t="s">
        <v>778</v>
      </c>
      <c r="D4" s="663" t="s">
        <v>779</v>
      </c>
      <c r="E4" s="148" t="s">
        <v>780</v>
      </c>
    </row>
    <row r="5" spans="2:5" x14ac:dyDescent="0.2">
      <c r="B5" s="410" t="str">
        <f>(inputPrYr!B33)</f>
        <v>Special Highway</v>
      </c>
      <c r="C5" s="299" t="str">
        <f>CONCATENATE("Actual for ",$E$1-2,"")</f>
        <v>Actual for 2018</v>
      </c>
      <c r="D5" s="376" t="str">
        <f>CONCATENATE("Estimate for ",$E$1-1,"")</f>
        <v>Estimate for 2019</v>
      </c>
      <c r="E5" s="196" t="str">
        <f>CONCATENATE("Year for ",$E$1,"")</f>
        <v>Year for 2020</v>
      </c>
    </row>
    <row r="6" spans="2:5" x14ac:dyDescent="0.2">
      <c r="B6" s="152" t="s">
        <v>256</v>
      </c>
      <c r="C6" s="73">
        <v>21083.7</v>
      </c>
      <c r="D6" s="163">
        <f>C26</f>
        <v>27448.699999999997</v>
      </c>
      <c r="E6" s="163">
        <f>D26</f>
        <v>14507.699999999997</v>
      </c>
    </row>
    <row r="7" spans="2:5" x14ac:dyDescent="0.2">
      <c r="B7" s="245" t="s">
        <v>258</v>
      </c>
      <c r="C7" s="163"/>
      <c r="D7" s="163"/>
      <c r="E7" s="163"/>
    </row>
    <row r="8" spans="2:5" x14ac:dyDescent="0.2">
      <c r="B8" s="309" t="s">
        <v>167</v>
      </c>
      <c r="C8" s="73">
        <v>12465</v>
      </c>
      <c r="D8" s="163">
        <f>inputOth!E50</f>
        <v>12560</v>
      </c>
      <c r="E8" s="163">
        <f>inputOth!E48</f>
        <v>12570</v>
      </c>
    </row>
    <row r="9" spans="2:5" x14ac:dyDescent="0.2">
      <c r="B9" s="309" t="s">
        <v>290</v>
      </c>
      <c r="C9" s="73">
        <v>0</v>
      </c>
      <c r="D9" s="163">
        <f>inputOth!E51</f>
        <v>0</v>
      </c>
      <c r="E9" s="163">
        <f>inputOth!E49</f>
        <v>0</v>
      </c>
    </row>
    <row r="10" spans="2:5" x14ac:dyDescent="0.2">
      <c r="B10" s="259"/>
      <c r="C10" s="73"/>
      <c r="D10" s="73"/>
      <c r="E10" s="73"/>
    </row>
    <row r="11" spans="2:5" x14ac:dyDescent="0.2">
      <c r="B11" s="259"/>
      <c r="C11" s="73"/>
      <c r="D11" s="73"/>
      <c r="E11" s="73"/>
    </row>
    <row r="12" spans="2:5" x14ac:dyDescent="0.2">
      <c r="B12" s="303" t="s">
        <v>158</v>
      </c>
      <c r="C12" s="73"/>
      <c r="D12" s="73"/>
      <c r="E12" s="73"/>
    </row>
    <row r="13" spans="2:5" x14ac:dyDescent="0.2">
      <c r="B13" s="307" t="s">
        <v>246</v>
      </c>
      <c r="C13" s="73"/>
      <c r="D13" s="73"/>
      <c r="E13" s="73"/>
    </row>
    <row r="14" spans="2:5" x14ac:dyDescent="0.2">
      <c r="B14" s="307" t="s">
        <v>606</v>
      </c>
      <c r="C14" s="411" t="str">
        <f>IF(C15*0.1&lt;C13,"Exceed 10% Rule","")</f>
        <v/>
      </c>
      <c r="D14" s="304" t="str">
        <f>IF(D15*0.1&lt;D13,"Exceed 10% Rule","")</f>
        <v/>
      </c>
      <c r="E14" s="304" t="str">
        <f>IF(E15*0.1&lt;E13,"Exceed 10% Rule","")</f>
        <v/>
      </c>
    </row>
    <row r="15" spans="2:5" x14ac:dyDescent="0.2">
      <c r="B15" s="256" t="s">
        <v>159</v>
      </c>
      <c r="C15" s="306">
        <f>SUM(C8:C13)</f>
        <v>12465</v>
      </c>
      <c r="D15" s="306">
        <f>SUM(D8:D13)</f>
        <v>12560</v>
      </c>
      <c r="E15" s="306">
        <f>SUM(E8:E13)</f>
        <v>12570</v>
      </c>
    </row>
    <row r="16" spans="2:5" x14ac:dyDescent="0.2">
      <c r="B16" s="256" t="s">
        <v>160</v>
      </c>
      <c r="C16" s="306">
        <f>C6+C15</f>
        <v>33548.699999999997</v>
      </c>
      <c r="D16" s="306">
        <f>D6+D15</f>
        <v>40008.699999999997</v>
      </c>
      <c r="E16" s="306">
        <f>E6+E15</f>
        <v>27077.699999999997</v>
      </c>
    </row>
    <row r="17" spans="2:5" x14ac:dyDescent="0.2">
      <c r="B17" s="152" t="s">
        <v>161</v>
      </c>
      <c r="C17" s="163"/>
      <c r="D17" s="163"/>
      <c r="E17" s="163"/>
    </row>
    <row r="18" spans="2:5" x14ac:dyDescent="0.2">
      <c r="B18" s="259" t="s">
        <v>168</v>
      </c>
      <c r="C18" s="73">
        <v>2966</v>
      </c>
      <c r="D18" s="73">
        <v>21501</v>
      </c>
      <c r="E18" s="73">
        <v>22000</v>
      </c>
    </row>
    <row r="19" spans="2:5" x14ac:dyDescent="0.25">
      <c r="B19" s="368" t="s">
        <v>1125</v>
      </c>
      <c r="C19" s="73">
        <v>1320</v>
      </c>
      <c r="D19" s="73">
        <v>2000</v>
      </c>
      <c r="E19" s="73">
        <v>2000</v>
      </c>
    </row>
    <row r="20" spans="2:5" x14ac:dyDescent="0.25">
      <c r="B20" s="368" t="s">
        <v>1126</v>
      </c>
      <c r="C20" s="73">
        <v>1378</v>
      </c>
      <c r="D20" s="73">
        <v>2000</v>
      </c>
      <c r="E20" s="73">
        <v>2000</v>
      </c>
    </row>
    <row r="21" spans="2:5" x14ac:dyDescent="0.2">
      <c r="B21" s="259" t="s">
        <v>1127</v>
      </c>
      <c r="C21" s="73">
        <v>436</v>
      </c>
      <c r="D21" s="73"/>
      <c r="E21" s="73"/>
    </row>
    <row r="22" spans="2:5" x14ac:dyDescent="0.2">
      <c r="B22" s="787" t="str">
        <f>CONCATENATE("Cash Forward (",E1," column)")</f>
        <v>Cash Forward (2020 column)</v>
      </c>
      <c r="C22" s="73"/>
      <c r="D22" s="73"/>
      <c r="E22" s="73"/>
    </row>
    <row r="23" spans="2:5" x14ac:dyDescent="0.2">
      <c r="B23" s="165" t="s">
        <v>246</v>
      </c>
      <c r="C23" s="73"/>
      <c r="D23" s="73"/>
      <c r="E23" s="73"/>
    </row>
    <row r="24" spans="2:5" x14ac:dyDescent="0.2">
      <c r="B24" s="72" t="s">
        <v>605</v>
      </c>
      <c r="C24" s="411" t="str">
        <f>IF(C25*0.1&lt;C23,"Exceed 10% Rule","")</f>
        <v/>
      </c>
      <c r="D24" s="304" t="str">
        <f>IF(D25*0.1&lt;D23,"Exceed 10% Rule","")</f>
        <v/>
      </c>
      <c r="E24" s="304" t="str">
        <f>IF(E25*0.1&lt;E23,"Exceed 10% Rule","")</f>
        <v/>
      </c>
    </row>
    <row r="25" spans="2:5" x14ac:dyDescent="0.2">
      <c r="B25" s="256" t="s">
        <v>162</v>
      </c>
      <c r="C25" s="306">
        <f>SUM(C18:C23)</f>
        <v>6100</v>
      </c>
      <c r="D25" s="306">
        <f>SUM(D18:D23)</f>
        <v>25501</v>
      </c>
      <c r="E25" s="306">
        <f>SUM(E18:E23)</f>
        <v>26000</v>
      </c>
    </row>
    <row r="26" spans="2:5" x14ac:dyDescent="0.2">
      <c r="B26" s="152" t="s">
        <v>257</v>
      </c>
      <c r="C26" s="80">
        <f>C16-C25</f>
        <v>27448.699999999997</v>
      </c>
      <c r="D26" s="80">
        <f>D16-D25</f>
        <v>14507.699999999997</v>
      </c>
      <c r="E26" s="80">
        <f>E16-E25</f>
        <v>1077.6999999999971</v>
      </c>
    </row>
    <row r="27" spans="2:5" x14ac:dyDescent="0.2">
      <c r="B27" s="314" t="str">
        <f>CONCATENATE("",E1-2,"/",E1-1,"/",E1," Budget Authority Amount:")</f>
        <v>2018/2019/2020 Budget Authority Amount:</v>
      </c>
      <c r="C27" s="389">
        <f>inputOth!B65</f>
        <v>25501</v>
      </c>
      <c r="D27" s="389">
        <f>inputPrYr!D33</f>
        <v>25501</v>
      </c>
      <c r="E27" s="389">
        <f>E25</f>
        <v>26000</v>
      </c>
    </row>
    <row r="28" spans="2:5" x14ac:dyDescent="0.2">
      <c r="B28" s="181"/>
      <c r="C28" s="261" t="str">
        <f>IF(C25&gt;C27,"See Tab A","")</f>
        <v/>
      </c>
      <c r="D28" s="261" t="str">
        <f>IF(D25&gt;D27,"See Tab C","")</f>
        <v/>
      </c>
      <c r="E28" s="694" t="str">
        <f>IF(E26&lt;0,"See Tab E","")</f>
        <v/>
      </c>
    </row>
    <row r="29" spans="2:5" x14ac:dyDescent="0.2">
      <c r="B29" s="181"/>
      <c r="C29" s="261" t="str">
        <f>IF(C26&lt;0,"See Tab B","")</f>
        <v/>
      </c>
      <c r="D29" s="261" t="str">
        <f>IF(D26&lt;0,"See Tab D","")</f>
        <v/>
      </c>
      <c r="E29" s="179"/>
    </row>
    <row r="30" spans="2:5" x14ac:dyDescent="0.2">
      <c r="B30" s="56"/>
      <c r="C30" s="179"/>
      <c r="D30" s="179"/>
      <c r="E30" s="179"/>
    </row>
    <row r="31" spans="2:5" x14ac:dyDescent="0.2">
      <c r="B31" s="59" t="s">
        <v>151</v>
      </c>
      <c r="C31" s="662" t="s">
        <v>778</v>
      </c>
      <c r="D31" s="663" t="s">
        <v>779</v>
      </c>
      <c r="E31" s="148" t="s">
        <v>780</v>
      </c>
    </row>
    <row r="32" spans="2:5" x14ac:dyDescent="0.2">
      <c r="B32" s="409" t="str">
        <f>(inputPrYr!B34)</f>
        <v>Special Parks</v>
      </c>
      <c r="C32" s="299" t="str">
        <f>CONCATENATE("Actual for ",$E$1-2,"")</f>
        <v>Actual for 2018</v>
      </c>
      <c r="D32" s="376" t="str">
        <f>CONCATENATE("Estimate for ",$E$1-1,"")</f>
        <v>Estimate for 2019</v>
      </c>
      <c r="E32" s="196" t="str">
        <f>CONCATENATE("Year for ",$E$1,"")</f>
        <v>Year for 2020</v>
      </c>
    </row>
    <row r="33" spans="2:5" x14ac:dyDescent="0.2">
      <c r="B33" s="152" t="s">
        <v>256</v>
      </c>
      <c r="C33" s="73">
        <v>1500.6</v>
      </c>
      <c r="D33" s="163">
        <f>C60</f>
        <v>469.60000000000036</v>
      </c>
      <c r="E33" s="163">
        <f>D60</f>
        <v>469.59999999999854</v>
      </c>
    </row>
    <row r="34" spans="2:5" x14ac:dyDescent="0.2">
      <c r="B34" s="152" t="s">
        <v>258</v>
      </c>
      <c r="C34" s="163"/>
      <c r="D34" s="163"/>
      <c r="E34" s="163"/>
    </row>
    <row r="35" spans="2:5" x14ac:dyDescent="0.2">
      <c r="B35" s="259" t="s">
        <v>1128</v>
      </c>
      <c r="C35" s="73">
        <v>2366</v>
      </c>
      <c r="D35" s="73">
        <v>2231</v>
      </c>
      <c r="E35" s="73">
        <v>2380</v>
      </c>
    </row>
    <row r="36" spans="2:5" x14ac:dyDescent="0.2">
      <c r="B36" s="259"/>
      <c r="C36" s="73"/>
      <c r="D36" s="73"/>
      <c r="E36" s="73"/>
    </row>
    <row r="37" spans="2:5" x14ac:dyDescent="0.2">
      <c r="B37" s="259" t="s">
        <v>1129</v>
      </c>
      <c r="C37" s="73">
        <v>400</v>
      </c>
      <c r="D37" s="73">
        <v>100</v>
      </c>
      <c r="E37" s="73">
        <v>300</v>
      </c>
    </row>
    <row r="38" spans="2:5" x14ac:dyDescent="0.2">
      <c r="B38" s="259" t="s">
        <v>1130</v>
      </c>
      <c r="C38" s="73">
        <v>70</v>
      </c>
      <c r="D38" s="73">
        <v>5000</v>
      </c>
      <c r="E38" s="73">
        <v>20000</v>
      </c>
    </row>
    <row r="39" spans="2:5" x14ac:dyDescent="0.2">
      <c r="B39" s="259" t="s">
        <v>1131</v>
      </c>
      <c r="C39" s="73"/>
      <c r="D39" s="73">
        <v>30000</v>
      </c>
      <c r="E39" s="73">
        <v>30000</v>
      </c>
    </row>
    <row r="40" spans="2:5" x14ac:dyDescent="0.2">
      <c r="B40" s="259" t="s">
        <v>1132</v>
      </c>
      <c r="C40" s="73"/>
      <c r="D40" s="73">
        <v>10000</v>
      </c>
      <c r="E40" s="73">
        <v>10000</v>
      </c>
    </row>
    <row r="41" spans="2:5" x14ac:dyDescent="0.2">
      <c r="B41" s="303" t="s">
        <v>158</v>
      </c>
      <c r="C41" s="73"/>
      <c r="D41" s="73"/>
      <c r="E41" s="73"/>
    </row>
    <row r="42" spans="2:5" x14ac:dyDescent="0.2">
      <c r="B42" s="307" t="s">
        <v>246</v>
      </c>
      <c r="C42" s="73"/>
      <c r="D42" s="73"/>
      <c r="E42" s="73"/>
    </row>
    <row r="43" spans="2:5" x14ac:dyDescent="0.2">
      <c r="B43" s="307" t="s">
        <v>50</v>
      </c>
      <c r="C43" s="411" t="str">
        <f>IF(C44*0.1&lt;C42,"Exceed 10% Rule","")</f>
        <v/>
      </c>
      <c r="D43" s="304" t="str">
        <f>IF(D44*0.1&lt;D42,"Exceed 10% Rule","")</f>
        <v/>
      </c>
      <c r="E43" s="304" t="str">
        <f>IF(E44*0.1&lt;E42,"Exceed 10% Rule","")</f>
        <v/>
      </c>
    </row>
    <row r="44" spans="2:5" x14ac:dyDescent="0.2">
      <c r="B44" s="256" t="s">
        <v>159</v>
      </c>
      <c r="C44" s="306">
        <f>SUM(C35:C42)</f>
        <v>2836</v>
      </c>
      <c r="D44" s="306">
        <f>SUM(D35:D42)</f>
        <v>47331</v>
      </c>
      <c r="E44" s="306">
        <f>SUM(E35:E42)</f>
        <v>62680</v>
      </c>
    </row>
    <row r="45" spans="2:5" x14ac:dyDescent="0.2">
      <c r="B45" s="256" t="s">
        <v>160</v>
      </c>
      <c r="C45" s="306">
        <f>C33+C44</f>
        <v>4336.6000000000004</v>
      </c>
      <c r="D45" s="306">
        <f>D33+D44</f>
        <v>47800.6</v>
      </c>
      <c r="E45" s="306">
        <f>E33+E44</f>
        <v>63149.599999999999</v>
      </c>
    </row>
    <row r="46" spans="2:5" x14ac:dyDescent="0.2">
      <c r="B46" s="152" t="s">
        <v>161</v>
      </c>
      <c r="C46" s="163"/>
      <c r="D46" s="163"/>
      <c r="E46" s="163"/>
    </row>
    <row r="47" spans="2:5" x14ac:dyDescent="0.2">
      <c r="B47" s="259" t="s">
        <v>1133</v>
      </c>
      <c r="C47" s="73">
        <v>3000</v>
      </c>
      <c r="D47" s="73">
        <v>47331</v>
      </c>
      <c r="E47" s="73">
        <v>50000</v>
      </c>
    </row>
    <row r="48" spans="2:5" x14ac:dyDescent="0.25">
      <c r="B48" s="576" t="s">
        <v>1134</v>
      </c>
      <c r="C48" s="73">
        <v>867</v>
      </c>
      <c r="D48" s="73"/>
      <c r="E48" s="73"/>
    </row>
    <row r="49" spans="2:5" x14ac:dyDescent="0.25">
      <c r="B49" s="576"/>
      <c r="C49" s="73"/>
      <c r="D49" s="73"/>
      <c r="E49" s="73"/>
    </row>
    <row r="50" spans="2:5" x14ac:dyDescent="0.25">
      <c r="B50" s="576"/>
      <c r="C50" s="73"/>
      <c r="D50" s="73"/>
      <c r="E50" s="73"/>
    </row>
    <row r="51" spans="2:5" x14ac:dyDescent="0.25">
      <c r="B51" s="576"/>
      <c r="C51" s="73"/>
      <c r="D51" s="73"/>
      <c r="E51" s="73"/>
    </row>
    <row r="52" spans="2:5" x14ac:dyDescent="0.25">
      <c r="B52" s="576"/>
      <c r="C52" s="73"/>
      <c r="D52" s="73"/>
      <c r="E52" s="73"/>
    </row>
    <row r="53" spans="2:5" x14ac:dyDescent="0.25">
      <c r="B53" s="576"/>
      <c r="C53" s="73"/>
      <c r="D53" s="73"/>
      <c r="E53" s="73"/>
    </row>
    <row r="54" spans="2:5" x14ac:dyDescent="0.25">
      <c r="B54" s="576"/>
      <c r="C54" s="73"/>
      <c r="D54" s="73"/>
      <c r="E54" s="73"/>
    </row>
    <row r="55" spans="2:5" x14ac:dyDescent="0.25">
      <c r="B55" s="576"/>
      <c r="C55" s="73"/>
      <c r="D55" s="73"/>
      <c r="E55" s="73"/>
    </row>
    <row r="56" spans="2:5" x14ac:dyDescent="0.2">
      <c r="B56" s="788" t="str">
        <f>CONCATENATE("Cash Forward (",E1," column)")</f>
        <v>Cash Forward (2020 column)</v>
      </c>
      <c r="C56" s="73"/>
      <c r="D56" s="73"/>
      <c r="E56" s="73"/>
    </row>
    <row r="57" spans="2:5" x14ac:dyDescent="0.2">
      <c r="B57" s="165" t="s">
        <v>246</v>
      </c>
      <c r="C57" s="73"/>
      <c r="D57" s="73"/>
      <c r="E57" s="73"/>
    </row>
    <row r="58" spans="2:5" x14ac:dyDescent="0.2">
      <c r="B58" s="165" t="s">
        <v>51</v>
      </c>
      <c r="C58" s="411" t="str">
        <f>IF(C59*0.1&lt;C57,"Exceed 10% Rule","")</f>
        <v/>
      </c>
      <c r="D58" s="304" t="str">
        <f>IF(D59*0.1&lt;D57,"Exceed 10% Rule","")</f>
        <v/>
      </c>
      <c r="E58" s="304" t="str">
        <f>IF(E59*0.1&lt;E57,"Exceed 10% Rule","")</f>
        <v/>
      </c>
    </row>
    <row r="59" spans="2:5" x14ac:dyDescent="0.2">
      <c r="B59" s="256" t="s">
        <v>162</v>
      </c>
      <c r="C59" s="306">
        <f>SUM(C47:C57)</f>
        <v>3867</v>
      </c>
      <c r="D59" s="306">
        <f>SUM(D47:D57)</f>
        <v>47331</v>
      </c>
      <c r="E59" s="306">
        <f>SUM(E47:E57)</f>
        <v>50000</v>
      </c>
    </row>
    <row r="60" spans="2:5" x14ac:dyDescent="0.2">
      <c r="B60" s="152" t="s">
        <v>257</v>
      </c>
      <c r="C60" s="80">
        <f>C45-C59</f>
        <v>469.60000000000036</v>
      </c>
      <c r="D60" s="80">
        <f>D45-D59</f>
        <v>469.59999999999854</v>
      </c>
      <c r="E60" s="80">
        <f>E45-E59</f>
        <v>13149.599999999999</v>
      </c>
    </row>
    <row r="61" spans="2:5" x14ac:dyDescent="0.2">
      <c r="B61" s="314" t="str">
        <f>CONCATENATE("",E1-2,"/",E1-1,"/",E1," Budget Authority Amount:")</f>
        <v>2018/2019/2020 Budget Authority Amount:</v>
      </c>
      <c r="C61" s="389">
        <f>inputOth!B66</f>
        <v>121008</v>
      </c>
      <c r="D61" s="389">
        <f>inputPrYr!D34</f>
        <v>121008</v>
      </c>
      <c r="E61" s="163">
        <f>E59</f>
        <v>50000</v>
      </c>
    </row>
    <row r="62" spans="2:5" x14ac:dyDescent="0.2">
      <c r="B62" s="181"/>
      <c r="C62" s="261" t="str">
        <f>IF(C59&gt;C61,"See Tab A","")</f>
        <v/>
      </c>
      <c r="D62" s="261" t="str">
        <f>IF(D59&gt;D61,"See Tab C","")</f>
        <v/>
      </c>
      <c r="E62" s="694" t="str">
        <f>IF(E60&lt;0,"See Tab E","")</f>
        <v/>
      </c>
    </row>
    <row r="63" spans="2:5" x14ac:dyDescent="0.2">
      <c r="B63" s="811" t="s">
        <v>1011</v>
      </c>
      <c r="C63" s="804"/>
      <c r="D63" s="804"/>
      <c r="E63" s="805"/>
    </row>
    <row r="64" spans="2:5" x14ac:dyDescent="0.2">
      <c r="B64" s="806"/>
      <c r="C64" s="807"/>
      <c r="D64" s="807"/>
      <c r="E64" s="808"/>
    </row>
    <row r="65" spans="2:5" x14ac:dyDescent="0.2">
      <c r="B65" s="809"/>
      <c r="C65" s="810" t="str">
        <f>IF(C60&lt;0,"See Tab B","")</f>
        <v/>
      </c>
      <c r="D65" s="810" t="str">
        <f>IF(D60&lt;0,"See Tab D","")</f>
        <v/>
      </c>
      <c r="E65" s="89"/>
    </row>
    <row r="66" spans="2:5" x14ac:dyDescent="0.2">
      <c r="B66" s="56"/>
      <c r="C66" s="56"/>
      <c r="D66" s="56"/>
      <c r="E66" s="56"/>
    </row>
    <row r="67" spans="2:5" x14ac:dyDescent="0.2">
      <c r="B67" s="185" t="s">
        <v>165</v>
      </c>
      <c r="C67" s="747">
        <v>8</v>
      </c>
      <c r="D67" s="56"/>
      <c r="E67" s="56"/>
    </row>
  </sheetData>
  <sheetProtection sheet="1"/>
  <phoneticPr fontId="0" type="noConversion"/>
  <conditionalFormatting sqref="C13">
    <cfRule type="cellIs" dxfId="70" priority="9" stopIfTrue="1" operator="greaterThan">
      <formula>$C$15*0.1</formula>
    </cfRule>
  </conditionalFormatting>
  <conditionalFormatting sqref="C42">
    <cfRule type="cellIs" dxfId="69" priority="10" stopIfTrue="1" operator="greaterThan">
      <formula>$C$44*0.1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2">
    <cfRule type="cellIs" dxfId="66" priority="13" stopIfTrue="1" operator="greaterThan">
      <formula>$D$44*0.1</formula>
    </cfRule>
  </conditionalFormatting>
  <conditionalFormatting sqref="E42">
    <cfRule type="cellIs" dxfId="65" priority="14" stopIfTrue="1" operator="greaterThan">
      <formula>$E$44*0.1</formula>
    </cfRule>
  </conditionalFormatting>
  <conditionalFormatting sqref="C23">
    <cfRule type="cellIs" dxfId="64" priority="15" stopIfTrue="1" operator="greaterThan">
      <formula>$C$25*0.1</formula>
    </cfRule>
  </conditionalFormatting>
  <conditionalFormatting sqref="D23">
    <cfRule type="cellIs" dxfId="63" priority="16" stopIfTrue="1" operator="greaterThan">
      <formula>$D$25*0.1</formula>
    </cfRule>
  </conditionalFormatting>
  <conditionalFormatting sqref="E23">
    <cfRule type="cellIs" dxfId="62" priority="17" stopIfTrue="1" operator="greaterThan">
      <formula>$E$25*0.1</formula>
    </cfRule>
  </conditionalFormatting>
  <conditionalFormatting sqref="C57">
    <cfRule type="cellIs" dxfId="61" priority="18" stopIfTrue="1" operator="greaterThan">
      <formula>$C$59*0.1</formula>
    </cfRule>
  </conditionalFormatting>
  <conditionalFormatting sqref="D57">
    <cfRule type="cellIs" dxfId="60" priority="19" stopIfTrue="1" operator="greaterThan">
      <formula>$D$59*0.1</formula>
    </cfRule>
  </conditionalFormatting>
  <conditionalFormatting sqref="E57">
    <cfRule type="cellIs" dxfId="59" priority="20" stopIfTrue="1" operator="greaterThan">
      <formula>$E$59*0.1</formula>
    </cfRule>
  </conditionalFormatting>
  <conditionalFormatting sqref="E26 C60">
    <cfRule type="cellIs" dxfId="58" priority="21" stopIfTrue="1" operator="lessThan">
      <formula>0</formula>
    </cfRule>
  </conditionalFormatting>
  <conditionalFormatting sqref="D59">
    <cfRule type="cellIs" dxfId="57" priority="22" stopIfTrue="1" operator="greaterThan">
      <formula>$D$61</formula>
    </cfRule>
  </conditionalFormatting>
  <conditionalFormatting sqref="E60">
    <cfRule type="cellIs" dxfId="56" priority="23" stopIfTrue="1" operator="lessThan">
      <formula>0</formula>
    </cfRule>
  </conditionalFormatting>
  <conditionalFormatting sqref="D26">
    <cfRule type="cellIs" dxfId="55" priority="6" stopIfTrue="1" operator="lessThan">
      <formula>0</formula>
    </cfRule>
    <cfRule type="cellIs" dxfId="54" priority="8" stopIfTrue="1" operator="lessThan">
      <formula>0</formula>
    </cfRule>
  </conditionalFormatting>
  <conditionalFormatting sqref="D60">
    <cfRule type="cellIs" dxfId="53" priority="7" stopIfTrue="1" operator="lessThan">
      <formula>0</formula>
    </cfRule>
  </conditionalFormatting>
  <conditionalFormatting sqref="C26">
    <cfRule type="cellIs" dxfId="52" priority="5" stopIfTrue="1" operator="lessThan">
      <formula>0</formula>
    </cfRule>
  </conditionalFormatting>
  <conditionalFormatting sqref="D25">
    <cfRule type="cellIs" dxfId="51" priority="3" stopIfTrue="1" operator="greaterThan">
      <formula>$D$27</formula>
    </cfRule>
  </conditionalFormatting>
  <conditionalFormatting sqref="C25">
    <cfRule type="cellIs" dxfId="50" priority="2" stopIfTrue="1" operator="greaterThan">
      <formula>$C$27</formula>
    </cfRule>
  </conditionalFormatting>
  <conditionalFormatting sqref="C59">
    <cfRule type="cellIs" dxfId="49" priority="1" stopIfTrue="1" operator="greaterThan">
      <formula>$C$61</formula>
    </cfRule>
  </conditionalFormatting>
  <pageMargins left="0.5" right="0.5" top="1" bottom="0.5" header="0.5" footer="0.5"/>
  <pageSetup scale="66" orientation="portrait" blackAndWhite="1" horizontalDpi="120" verticalDpi="144"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pageSetUpPr fitToPage="1"/>
  </sheetPr>
  <dimension ref="B1:E73"/>
  <sheetViews>
    <sheetView topLeftCell="A6" workbookViewId="0">
      <selection activeCell="E55" sqref="E55"/>
    </sheetView>
  </sheetViews>
  <sheetFormatPr defaultColWidth="8.88671875" defaultRowHeight="15.75" x14ac:dyDescent="0.2"/>
  <cols>
    <col min="1" max="1" width="2.44140625" style="57" customWidth="1"/>
    <col min="2" max="2" width="31.109375" style="57" customWidth="1"/>
    <col min="3" max="4" width="15.77734375" style="57" customWidth="1"/>
    <col min="5" max="5" width="16.21875" style="57" customWidth="1"/>
    <col min="6" max="16384" width="8.88671875" style="57"/>
  </cols>
  <sheetData>
    <row r="1" spans="2:5" x14ac:dyDescent="0.2">
      <c r="B1" s="173" t="str">
        <f>(inputPrYr!D3)</f>
        <v>City of Strong City</v>
      </c>
      <c r="C1" s="56"/>
      <c r="D1" s="56"/>
      <c r="E1" s="135">
        <f>inputPrYr!$C$6</f>
        <v>2020</v>
      </c>
    </row>
    <row r="2" spans="2:5" x14ac:dyDescent="0.2">
      <c r="B2" s="56"/>
      <c r="C2" s="56"/>
      <c r="D2" s="56"/>
      <c r="E2" s="185"/>
    </row>
    <row r="3" spans="2:5" x14ac:dyDescent="0.2">
      <c r="B3" s="67" t="s">
        <v>212</v>
      </c>
      <c r="C3" s="146"/>
      <c r="D3" s="146"/>
      <c r="E3" s="137"/>
    </row>
    <row r="4" spans="2:5" x14ac:dyDescent="0.2">
      <c r="B4" s="59" t="s">
        <v>151</v>
      </c>
      <c r="C4" s="662" t="s">
        <v>778</v>
      </c>
      <c r="D4" s="663" t="s">
        <v>779</v>
      </c>
      <c r="E4" s="148" t="s">
        <v>780</v>
      </c>
    </row>
    <row r="5" spans="2:5" x14ac:dyDescent="0.2">
      <c r="B5" s="410" t="str">
        <f>(inputPrYr!B35)</f>
        <v>Tourism</v>
      </c>
      <c r="C5" s="299" t="str">
        <f>CONCATENATE("Actual for ",$E$1-2,"")</f>
        <v>Actual for 2018</v>
      </c>
      <c r="D5" s="376" t="str">
        <f>CONCATENATE("Estimate for ",$E$1-1,"")</f>
        <v>Estimate for 2019</v>
      </c>
      <c r="E5" s="196" t="str">
        <f>CONCATENATE("Year for ",$E$1,"")</f>
        <v>Year for 2020</v>
      </c>
    </row>
    <row r="6" spans="2:5" x14ac:dyDescent="0.2">
      <c r="B6" s="152" t="s">
        <v>256</v>
      </c>
      <c r="C6" s="73">
        <v>6623</v>
      </c>
      <c r="D6" s="163">
        <f>C30</f>
        <v>6623</v>
      </c>
      <c r="E6" s="163">
        <f>D30</f>
        <v>5223</v>
      </c>
    </row>
    <row r="7" spans="2:5" x14ac:dyDescent="0.2">
      <c r="B7" s="245" t="s">
        <v>258</v>
      </c>
      <c r="C7" s="163"/>
      <c r="D7" s="163"/>
      <c r="E7" s="163"/>
    </row>
    <row r="8" spans="2:5" x14ac:dyDescent="0.2">
      <c r="B8" s="259" t="s">
        <v>1135</v>
      </c>
      <c r="C8" s="73">
        <v>0</v>
      </c>
      <c r="D8" s="73">
        <v>100</v>
      </c>
      <c r="E8" s="73">
        <v>200</v>
      </c>
    </row>
    <row r="9" spans="2:5" x14ac:dyDescent="0.2">
      <c r="B9" s="259"/>
      <c r="C9" s="73"/>
      <c r="D9" s="73"/>
      <c r="E9" s="73"/>
    </row>
    <row r="10" spans="2:5" x14ac:dyDescent="0.2">
      <c r="B10" s="259"/>
      <c r="C10" s="73"/>
      <c r="D10" s="73"/>
      <c r="E10" s="73"/>
    </row>
    <row r="11" spans="2:5" x14ac:dyDescent="0.2">
      <c r="B11" s="259"/>
      <c r="C11" s="73"/>
      <c r="D11" s="73"/>
      <c r="E11" s="73"/>
    </row>
    <row r="12" spans="2:5" x14ac:dyDescent="0.2">
      <c r="B12" s="303" t="s">
        <v>158</v>
      </c>
      <c r="C12" s="73"/>
      <c r="D12" s="73"/>
      <c r="E12" s="73"/>
    </row>
    <row r="13" spans="2:5" x14ac:dyDescent="0.2">
      <c r="B13" s="307" t="s">
        <v>246</v>
      </c>
      <c r="C13" s="73"/>
      <c r="D13" s="73"/>
      <c r="E13" s="73"/>
    </row>
    <row r="14" spans="2:5" x14ac:dyDescent="0.2">
      <c r="B14" s="307" t="s">
        <v>606</v>
      </c>
      <c r="C14" s="411" t="str">
        <f>IF(C15*0.1&lt;C13,"Exceed 10% Rule","")</f>
        <v/>
      </c>
      <c r="D14" s="304" t="str">
        <f>IF(D15*0.1&lt;D13,"Exceed 10% Rule","")</f>
        <v/>
      </c>
      <c r="E14" s="304" t="str">
        <f>IF(E15*0.1&lt;E13,"Exceed 10% Rule","")</f>
        <v/>
      </c>
    </row>
    <row r="15" spans="2:5" x14ac:dyDescent="0.2">
      <c r="B15" s="256" t="s">
        <v>159</v>
      </c>
      <c r="C15" s="306">
        <f>SUM(C8:C13)</f>
        <v>0</v>
      </c>
      <c r="D15" s="306">
        <f>SUM(D8:D13)</f>
        <v>100</v>
      </c>
      <c r="E15" s="306">
        <f>SUM(E8:E13)</f>
        <v>200</v>
      </c>
    </row>
    <row r="16" spans="2:5" x14ac:dyDescent="0.2">
      <c r="B16" s="256" t="s">
        <v>160</v>
      </c>
      <c r="C16" s="306">
        <f>C6+C15</f>
        <v>6623</v>
      </c>
      <c r="D16" s="306">
        <f>D6+D15</f>
        <v>6723</v>
      </c>
      <c r="E16" s="306">
        <f>E6+E15</f>
        <v>5423</v>
      </c>
    </row>
    <row r="17" spans="2:5" x14ac:dyDescent="0.2">
      <c r="B17" s="152" t="s">
        <v>161</v>
      </c>
      <c r="C17" s="163"/>
      <c r="D17" s="163"/>
      <c r="E17" s="163"/>
    </row>
    <row r="18" spans="2:5" x14ac:dyDescent="0.25">
      <c r="B18" s="369" t="s">
        <v>1136</v>
      </c>
      <c r="C18" s="73">
        <v>0</v>
      </c>
      <c r="D18" s="370">
        <v>1500</v>
      </c>
      <c r="E18" s="73">
        <v>5423</v>
      </c>
    </row>
    <row r="19" spans="2:5" x14ac:dyDescent="0.25">
      <c r="B19" s="369"/>
      <c r="C19" s="73"/>
      <c r="D19" s="370"/>
      <c r="E19" s="73"/>
    </row>
    <row r="20" spans="2:5" x14ac:dyDescent="0.25">
      <c r="B20" s="369"/>
      <c r="C20" s="73"/>
      <c r="D20" s="370"/>
      <c r="E20" s="73"/>
    </row>
    <row r="21" spans="2:5" x14ac:dyDescent="0.25">
      <c r="B21" s="369"/>
      <c r="C21" s="73"/>
      <c r="D21" s="370"/>
      <c r="E21" s="73"/>
    </row>
    <row r="22" spans="2:5" x14ac:dyDescent="0.25">
      <c r="B22" s="369"/>
      <c r="C22" s="73"/>
      <c r="D22" s="370"/>
      <c r="E22" s="73"/>
    </row>
    <row r="23" spans="2:5" x14ac:dyDescent="0.25">
      <c r="B23" s="369"/>
      <c r="C23" s="73"/>
      <c r="D23" s="370"/>
      <c r="E23" s="73"/>
    </row>
    <row r="24" spans="2:5" x14ac:dyDescent="0.25">
      <c r="B24" s="369"/>
      <c r="C24" s="73"/>
      <c r="D24" s="370"/>
      <c r="E24" s="73"/>
    </row>
    <row r="25" spans="2:5" x14ac:dyDescent="0.25">
      <c r="B25" s="369"/>
      <c r="C25" s="73"/>
      <c r="D25" s="370"/>
      <c r="E25" s="73"/>
    </row>
    <row r="26" spans="2:5" x14ac:dyDescent="0.25">
      <c r="B26" s="789" t="str">
        <f>CONCATENATE("Cash Forward (",E1," column)")</f>
        <v>Cash Forward (2020 column)</v>
      </c>
      <c r="C26" s="73"/>
      <c r="D26" s="370"/>
      <c r="E26" s="73"/>
    </row>
    <row r="27" spans="2:5" x14ac:dyDescent="0.25">
      <c r="B27" s="165" t="s">
        <v>246</v>
      </c>
      <c r="C27" s="73"/>
      <c r="D27" s="370"/>
      <c r="E27" s="73"/>
    </row>
    <row r="28" spans="2:5" x14ac:dyDescent="0.2">
      <c r="B28" s="165" t="s">
        <v>605</v>
      </c>
      <c r="C28" s="411" t="str">
        <f>IF(C29*0.1&lt;C27,"Exceed 10% Rule","")</f>
        <v/>
      </c>
      <c r="D28" s="304" t="str">
        <f>IF(D29*0.1&lt;D27,"Exceed 10% Rule","")</f>
        <v/>
      </c>
      <c r="E28" s="304" t="str">
        <f>IF(E29*0.1&lt;E27,"Exceed 10% Rule","")</f>
        <v/>
      </c>
    </row>
    <row r="29" spans="2:5" x14ac:dyDescent="0.2">
      <c r="B29" s="256" t="s">
        <v>162</v>
      </c>
      <c r="C29" s="306">
        <f>SUM(C18:C27)</f>
        <v>0</v>
      </c>
      <c r="D29" s="306">
        <f>SUM(D18:D27)</f>
        <v>1500</v>
      </c>
      <c r="E29" s="306">
        <f>SUM(E18:E27)</f>
        <v>5423</v>
      </c>
    </row>
    <row r="30" spans="2:5" x14ac:dyDescent="0.2">
      <c r="B30" s="152" t="s">
        <v>257</v>
      </c>
      <c r="C30" s="80">
        <f>C16-C29</f>
        <v>6623</v>
      </c>
      <c r="D30" s="80">
        <f>D16-D29</f>
        <v>5223</v>
      </c>
      <c r="E30" s="80">
        <f>E16-E29</f>
        <v>0</v>
      </c>
    </row>
    <row r="31" spans="2:5" x14ac:dyDescent="0.2">
      <c r="B31" s="314" t="str">
        <f>CONCATENATE("",E1-2,"/",E1-1,"/",E1," Budget Authority Amount:")</f>
        <v>2018/2019/2020 Budget Authority Amount:</v>
      </c>
      <c r="C31" s="389">
        <f>inputOth!B67</f>
        <v>5123</v>
      </c>
      <c r="D31" s="389">
        <f>inputPrYr!D35</f>
        <v>5123</v>
      </c>
      <c r="E31" s="389">
        <f>E29</f>
        <v>5423</v>
      </c>
    </row>
    <row r="32" spans="2:5" x14ac:dyDescent="0.2">
      <c r="B32" s="181"/>
      <c r="C32" s="261" t="str">
        <f>IF(C29&gt;C31,"See Tab A","")</f>
        <v/>
      </c>
      <c r="D32" s="261" t="str">
        <f>IF(D29&gt;D31,"See Tab C","")</f>
        <v/>
      </c>
      <c r="E32" s="694" t="str">
        <f>IF(E30&lt;0,"See Tab E","")</f>
        <v/>
      </c>
    </row>
    <row r="33" spans="2:5" x14ac:dyDescent="0.2">
      <c r="B33" s="181"/>
      <c r="C33" s="261" t="str">
        <f>IF(C30&lt;0,"See Tab B","")</f>
        <v/>
      </c>
      <c r="D33" s="261" t="str">
        <f>IF(D30&lt;0,"See Tab D","")</f>
        <v/>
      </c>
      <c r="E33" s="308"/>
    </row>
    <row r="34" spans="2:5" x14ac:dyDescent="0.2">
      <c r="B34" s="56"/>
      <c r="C34" s="308"/>
      <c r="D34" s="308"/>
      <c r="E34" s="308"/>
    </row>
    <row r="35" spans="2:5" x14ac:dyDescent="0.2">
      <c r="B35" s="56"/>
      <c r="C35" s="308"/>
      <c r="D35" s="308"/>
      <c r="E35" s="308"/>
    </row>
    <row r="36" spans="2:5" x14ac:dyDescent="0.2">
      <c r="B36" s="59" t="s">
        <v>151</v>
      </c>
      <c r="C36" s="662" t="s">
        <v>778</v>
      </c>
      <c r="D36" s="663" t="s">
        <v>779</v>
      </c>
      <c r="E36" s="148" t="s">
        <v>780</v>
      </c>
    </row>
    <row r="37" spans="2:5" x14ac:dyDescent="0.2">
      <c r="B37" s="410" t="str">
        <f>(inputPrYr!B36)</f>
        <v>Water</v>
      </c>
      <c r="C37" s="299" t="str">
        <f>CONCATENATE("Actual for ",$E$1-2,"")</f>
        <v>Actual for 2018</v>
      </c>
      <c r="D37" s="376" t="str">
        <f>CONCATENATE("Estimate for ",$E$1-1,"")</f>
        <v>Estimate for 2019</v>
      </c>
      <c r="E37" s="196" t="str">
        <f>CONCATENATE("Year for ",$E$1,"")</f>
        <v>Year for 2020</v>
      </c>
    </row>
    <row r="38" spans="2:5" x14ac:dyDescent="0.2">
      <c r="B38" s="152" t="s">
        <v>256</v>
      </c>
      <c r="C38" s="73">
        <v>22712</v>
      </c>
      <c r="D38" s="163">
        <f>C66</f>
        <v>7138</v>
      </c>
      <c r="E38" s="163">
        <f>D66</f>
        <v>10355</v>
      </c>
    </row>
    <row r="39" spans="2:5" x14ac:dyDescent="0.2">
      <c r="B39" s="245" t="s">
        <v>258</v>
      </c>
      <c r="C39" s="163"/>
      <c r="D39" s="163"/>
      <c r="E39" s="163"/>
    </row>
    <row r="40" spans="2:5" x14ac:dyDescent="0.2">
      <c r="B40" s="259" t="s">
        <v>169</v>
      </c>
      <c r="C40" s="73">
        <v>147111</v>
      </c>
      <c r="D40" s="73">
        <v>155000</v>
      </c>
      <c r="E40" s="73">
        <v>160000</v>
      </c>
    </row>
    <row r="41" spans="2:5" x14ac:dyDescent="0.2">
      <c r="B41" s="259" t="s">
        <v>1137</v>
      </c>
      <c r="C41" s="73">
        <v>58933</v>
      </c>
      <c r="D41" s="73">
        <v>60000</v>
      </c>
      <c r="E41" s="73">
        <v>61000</v>
      </c>
    </row>
    <row r="42" spans="2:5" x14ac:dyDescent="0.2">
      <c r="B42" s="259" t="s">
        <v>1100</v>
      </c>
      <c r="C42" s="73">
        <v>30329</v>
      </c>
      <c r="D42" s="73">
        <v>40000</v>
      </c>
      <c r="E42" s="73">
        <v>42000</v>
      </c>
    </row>
    <row r="43" spans="2:5" x14ac:dyDescent="0.2">
      <c r="B43" s="259"/>
      <c r="C43" s="73"/>
      <c r="D43" s="73"/>
      <c r="E43" s="73"/>
    </row>
    <row r="44" spans="2:5" x14ac:dyDescent="0.2">
      <c r="B44" s="303" t="s">
        <v>158</v>
      </c>
      <c r="C44" s="73"/>
      <c r="D44" s="73"/>
      <c r="E44" s="73"/>
    </row>
    <row r="45" spans="2:5" x14ac:dyDescent="0.2">
      <c r="B45" s="307" t="s">
        <v>246</v>
      </c>
      <c r="C45" s="73">
        <v>630</v>
      </c>
      <c r="D45" s="73">
        <v>500</v>
      </c>
      <c r="E45" s="73">
        <v>500</v>
      </c>
    </row>
    <row r="46" spans="2:5" x14ac:dyDescent="0.2">
      <c r="B46" s="307" t="s">
        <v>606</v>
      </c>
      <c r="C46" s="411" t="str">
        <f>IF(C47*0.1&lt;C45,"Exceed 10% Rule","")</f>
        <v/>
      </c>
      <c r="D46" s="304" t="str">
        <f>IF(D47*0.1&lt;D45,"Exceed 10% Rule","")</f>
        <v/>
      </c>
      <c r="E46" s="304" t="str">
        <f>IF(E47*0.1&lt;E45,"Exceed 10% Rule","")</f>
        <v/>
      </c>
    </row>
    <row r="47" spans="2:5" x14ac:dyDescent="0.2">
      <c r="B47" s="256" t="s">
        <v>159</v>
      </c>
      <c r="C47" s="306">
        <f>SUM(C40:C45)</f>
        <v>237003</v>
      </c>
      <c r="D47" s="306">
        <f>SUM(D40:D45)</f>
        <v>255500</v>
      </c>
      <c r="E47" s="306">
        <f>SUM(E40:E45)</f>
        <v>263500</v>
      </c>
    </row>
    <row r="48" spans="2:5" x14ac:dyDescent="0.2">
      <c r="B48" s="256" t="s">
        <v>160</v>
      </c>
      <c r="C48" s="306">
        <f>C38+C47</f>
        <v>259715</v>
      </c>
      <c r="D48" s="306">
        <f>D38+D47</f>
        <v>262638</v>
      </c>
      <c r="E48" s="306">
        <f>E38+E47</f>
        <v>273855</v>
      </c>
    </row>
    <row r="49" spans="2:5" x14ac:dyDescent="0.2">
      <c r="B49" s="152" t="s">
        <v>161</v>
      </c>
      <c r="C49" s="163"/>
      <c r="D49" s="163"/>
      <c r="E49" s="163"/>
    </row>
    <row r="50" spans="2:5" x14ac:dyDescent="0.25">
      <c r="B50" s="371" t="s">
        <v>1138</v>
      </c>
      <c r="C50" s="73">
        <v>59992</v>
      </c>
      <c r="D50" s="73">
        <v>60000</v>
      </c>
      <c r="E50" s="73">
        <v>75000</v>
      </c>
    </row>
    <row r="51" spans="2:5" x14ac:dyDescent="0.25">
      <c r="B51" s="371" t="s">
        <v>1139</v>
      </c>
      <c r="C51" s="73">
        <v>7196</v>
      </c>
      <c r="D51" s="372">
        <v>4000</v>
      </c>
      <c r="E51" s="73">
        <v>10000</v>
      </c>
    </row>
    <row r="52" spans="2:5" x14ac:dyDescent="0.25">
      <c r="B52" s="371" t="s">
        <v>1140</v>
      </c>
      <c r="C52" s="73">
        <v>4251</v>
      </c>
      <c r="D52" s="372">
        <v>4000</v>
      </c>
      <c r="E52" s="73">
        <v>4000</v>
      </c>
    </row>
    <row r="53" spans="2:5" x14ac:dyDescent="0.25">
      <c r="B53" s="259" t="s">
        <v>1106</v>
      </c>
      <c r="C53" s="73">
        <v>7889</v>
      </c>
      <c r="D53" s="372">
        <v>6000</v>
      </c>
      <c r="E53" s="73">
        <v>6000</v>
      </c>
    </row>
    <row r="54" spans="2:5" x14ac:dyDescent="0.2">
      <c r="B54" s="259" t="s">
        <v>1107</v>
      </c>
      <c r="C54" s="73">
        <v>0</v>
      </c>
      <c r="D54" s="73">
        <v>1000</v>
      </c>
      <c r="E54" s="73">
        <v>1072</v>
      </c>
    </row>
    <row r="55" spans="2:5" x14ac:dyDescent="0.2">
      <c r="B55" s="259" t="s">
        <v>1141</v>
      </c>
      <c r="C55" s="73">
        <v>57580</v>
      </c>
      <c r="D55" s="73">
        <v>58000</v>
      </c>
      <c r="E55" s="73">
        <v>58000</v>
      </c>
    </row>
    <row r="56" spans="2:5" x14ac:dyDescent="0.2">
      <c r="B56" s="259" t="s">
        <v>1109</v>
      </c>
      <c r="C56" s="73">
        <v>2737</v>
      </c>
      <c r="D56" s="73">
        <v>2500</v>
      </c>
      <c r="E56" s="73">
        <v>3000</v>
      </c>
    </row>
    <row r="57" spans="2:5" x14ac:dyDescent="0.2">
      <c r="B57" s="259" t="s">
        <v>1142</v>
      </c>
      <c r="C57" s="73">
        <v>73149</v>
      </c>
      <c r="D57" s="73">
        <v>75000</v>
      </c>
      <c r="E57" s="73">
        <v>75000</v>
      </c>
    </row>
    <row r="58" spans="2:5" x14ac:dyDescent="0.2">
      <c r="B58" s="259" t="s">
        <v>1118</v>
      </c>
      <c r="C58" s="73">
        <v>0</v>
      </c>
      <c r="D58" s="73">
        <v>2000</v>
      </c>
      <c r="E58" s="73">
        <v>2000</v>
      </c>
    </row>
    <row r="59" spans="2:5" x14ac:dyDescent="0.2">
      <c r="B59" s="259" t="s">
        <v>1143</v>
      </c>
      <c r="C59" s="73">
        <v>12756</v>
      </c>
      <c r="D59" s="73">
        <v>12756</v>
      </c>
      <c r="E59" s="73">
        <v>12756</v>
      </c>
    </row>
    <row r="60" spans="2:5" x14ac:dyDescent="0.2">
      <c r="B60" s="259" t="s">
        <v>1097</v>
      </c>
      <c r="C60" s="73">
        <v>24577</v>
      </c>
      <c r="D60" s="73">
        <v>24577</v>
      </c>
      <c r="E60" s="73">
        <v>24577</v>
      </c>
    </row>
    <row r="61" spans="2:5" x14ac:dyDescent="0.2">
      <c r="B61" s="259" t="s">
        <v>1144</v>
      </c>
      <c r="C61" s="73">
        <v>2450</v>
      </c>
      <c r="D61" s="73">
        <v>2450</v>
      </c>
      <c r="E61" s="73">
        <v>2450</v>
      </c>
    </row>
    <row r="62" spans="2:5" x14ac:dyDescent="0.2">
      <c r="B62" s="790" t="str">
        <f>CONCATENATE("Cash Forward (",E1," column)")</f>
        <v>Cash Forward (2020 column)</v>
      </c>
      <c r="C62" s="73"/>
      <c r="D62" s="73"/>
      <c r="E62" s="73"/>
    </row>
    <row r="63" spans="2:5" x14ac:dyDescent="0.2">
      <c r="B63" s="165" t="s">
        <v>246</v>
      </c>
      <c r="C63" s="73"/>
      <c r="D63" s="300"/>
      <c r="E63" s="300"/>
    </row>
    <row r="64" spans="2:5" x14ac:dyDescent="0.2">
      <c r="B64" s="165" t="s">
        <v>605</v>
      </c>
      <c r="C64" s="411" t="str">
        <f>IF(C65*0.1&lt;C63,"Exceed 10% Rule","")</f>
        <v/>
      </c>
      <c r="D64" s="304" t="str">
        <f>IF(D65*0.1&lt;D63,"Exceed 10% Rule","")</f>
        <v/>
      </c>
      <c r="E64" s="304" t="str">
        <f>IF(E65*0.1&lt;E63,"Exceed 10% Rule","")</f>
        <v/>
      </c>
    </row>
    <row r="65" spans="2:5" x14ac:dyDescent="0.2">
      <c r="B65" s="256" t="s">
        <v>162</v>
      </c>
      <c r="C65" s="306">
        <f>SUM(C50:C63)</f>
        <v>252577</v>
      </c>
      <c r="D65" s="306">
        <f>SUM(D50:D63)</f>
        <v>252283</v>
      </c>
      <c r="E65" s="306">
        <f>SUM(E50:E63)</f>
        <v>273855</v>
      </c>
    </row>
    <row r="66" spans="2:5" x14ac:dyDescent="0.2">
      <c r="B66" s="152" t="s">
        <v>257</v>
      </c>
      <c r="C66" s="80">
        <f>C48-C65</f>
        <v>7138</v>
      </c>
      <c r="D66" s="80">
        <f>D48-D65</f>
        <v>10355</v>
      </c>
      <c r="E66" s="80">
        <f>E48-E65</f>
        <v>0</v>
      </c>
    </row>
    <row r="67" spans="2:5" x14ac:dyDescent="0.2">
      <c r="B67" s="314" t="str">
        <f>CONCATENATE("",E1-2,"/",E1-1,"/",E1," Budget Authority Amount:")</f>
        <v>2018/2019/2020 Budget Authority Amount:</v>
      </c>
      <c r="C67" s="389">
        <f>inputOth!B68</f>
        <v>305506</v>
      </c>
      <c r="D67" s="389">
        <f>inputPrYr!D36</f>
        <v>305506</v>
      </c>
      <c r="E67" s="389">
        <f>E65</f>
        <v>273855</v>
      </c>
    </row>
    <row r="68" spans="2:5" x14ac:dyDescent="0.2">
      <c r="B68" s="181"/>
      <c r="C68" s="261" t="str">
        <f>IF(C65&gt;C67,"See Tab A","")</f>
        <v/>
      </c>
      <c r="D68" s="261" t="str">
        <f>IF(D65&gt;D67,"See Tab C","")</f>
        <v/>
      </c>
      <c r="E68" s="694" t="str">
        <f>IF(E66&lt;0,"See Tab E","")</f>
        <v/>
      </c>
    </row>
    <row r="69" spans="2:5" x14ac:dyDescent="0.2">
      <c r="B69" s="811" t="s">
        <v>1011</v>
      </c>
      <c r="C69" s="804"/>
      <c r="D69" s="804"/>
      <c r="E69" s="805"/>
    </row>
    <row r="70" spans="2:5" x14ac:dyDescent="0.2">
      <c r="B70" s="806"/>
      <c r="C70" s="807"/>
      <c r="D70" s="807"/>
      <c r="E70" s="808"/>
    </row>
    <row r="71" spans="2:5" x14ac:dyDescent="0.2">
      <c r="B71" s="809"/>
      <c r="C71" s="810" t="str">
        <f>IF(C66&lt;0,"See Tab B","")</f>
        <v/>
      </c>
      <c r="D71" s="810" t="str">
        <f>IF(D66&lt;0,"See Tab D","")</f>
        <v/>
      </c>
      <c r="E71" s="89"/>
    </row>
    <row r="72" spans="2:5" x14ac:dyDescent="0.2">
      <c r="B72" s="56"/>
      <c r="C72" s="56"/>
      <c r="D72" s="56"/>
      <c r="E72" s="56"/>
    </row>
    <row r="73" spans="2:5" x14ac:dyDescent="0.2">
      <c r="B73" s="185" t="s">
        <v>165</v>
      </c>
      <c r="C73" s="747">
        <v>9</v>
      </c>
      <c r="D73" s="56"/>
      <c r="E73" s="56"/>
    </row>
  </sheetData>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5">
    <cfRule type="cellIs" dxfId="45" priority="7" stopIfTrue="1" operator="greaterThan">
      <formula>$C$47*0.1</formula>
    </cfRule>
  </conditionalFormatting>
  <conditionalFormatting sqref="D45">
    <cfRule type="cellIs" dxfId="44" priority="8" stopIfTrue="1" operator="greaterThan">
      <formula>$D$47*0.1</formula>
    </cfRule>
  </conditionalFormatting>
  <conditionalFormatting sqref="E45">
    <cfRule type="cellIs" dxfId="43" priority="9" stopIfTrue="1" operator="greaterThan">
      <formula>$E$47*0.1</formula>
    </cfRule>
  </conditionalFormatting>
  <conditionalFormatting sqref="C63">
    <cfRule type="cellIs" dxfId="42" priority="10" stopIfTrue="1" operator="greaterThan">
      <formula>$C$65*0.1</formula>
    </cfRule>
  </conditionalFormatting>
  <conditionalFormatting sqref="D63">
    <cfRule type="cellIs" dxfId="41" priority="11" stopIfTrue="1" operator="greaterThan">
      <formula>$D$65*0.1</formula>
    </cfRule>
  </conditionalFormatting>
  <conditionalFormatting sqref="E63">
    <cfRule type="cellIs" dxfId="40" priority="12" stopIfTrue="1" operator="greaterThan">
      <formula>$E$65*0.1</formula>
    </cfRule>
  </conditionalFormatting>
  <conditionalFormatting sqref="C27">
    <cfRule type="cellIs" dxfId="39" priority="13" stopIfTrue="1" operator="greaterThan">
      <formula>$C$29*0.1</formula>
    </cfRule>
  </conditionalFormatting>
  <conditionalFormatting sqref="D27">
    <cfRule type="cellIs" dxfId="38" priority="14" stopIfTrue="1" operator="greaterThan">
      <formula>$D$29*0.1</formula>
    </cfRule>
  </conditionalFormatting>
  <conditionalFormatting sqref="E27">
    <cfRule type="cellIs" dxfId="37" priority="15" stopIfTrue="1" operator="greaterThan">
      <formula>$E$29*0.1</formula>
    </cfRule>
  </conditionalFormatting>
  <conditionalFormatting sqref="C30 C66 E30 E66">
    <cfRule type="cellIs" dxfId="36" priority="16" stopIfTrue="1" operator="lessThan">
      <formula>0</formula>
    </cfRule>
  </conditionalFormatting>
  <conditionalFormatting sqref="D29">
    <cfRule type="cellIs" dxfId="35" priority="17" stopIfTrue="1" operator="greaterThan">
      <formula>$D$31</formula>
    </cfRule>
  </conditionalFormatting>
  <conditionalFormatting sqref="C65">
    <cfRule type="cellIs" dxfId="34" priority="18" stopIfTrue="1" operator="greaterThan">
      <formula>$C$67</formula>
    </cfRule>
  </conditionalFormatting>
  <conditionalFormatting sqref="D65">
    <cfRule type="cellIs" dxfId="33" priority="19" stopIfTrue="1" operator="greaterThan">
      <formula>$D$67</formula>
    </cfRule>
  </conditionalFormatting>
  <conditionalFormatting sqref="D30">
    <cfRule type="cellIs" dxfId="32" priority="3" stopIfTrue="1" operator="lessThan">
      <formula>0</formula>
    </cfRule>
  </conditionalFormatting>
  <conditionalFormatting sqref="D66">
    <cfRule type="cellIs" dxfId="31" priority="2" stopIfTrue="1" operator="lessThan">
      <formula>0</formula>
    </cfRule>
  </conditionalFormatting>
  <conditionalFormatting sqref="C29">
    <cfRule type="cellIs" dxfId="30" priority="1" stopIfTrue="1" operator="greaterThan">
      <formula>$C$31</formula>
    </cfRule>
  </conditionalFormatting>
  <pageMargins left="0.5" right="0.5" top="1" bottom="0.5" header="0.5" footer="0.5"/>
  <pageSetup scale="60" orientation="portrait" blackAndWhite="1" horizontalDpi="120" verticalDpi="144" r:id="rId1"/>
  <headerFooter alignWithMargins="0">
    <oddHeader xml:space="preserve">&amp;RState of Kansas
City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pageSetUpPr fitToPage="1"/>
  </sheetPr>
  <dimension ref="B1:E68"/>
  <sheetViews>
    <sheetView workbookViewId="0">
      <selection activeCell="E19" sqref="E19"/>
    </sheetView>
  </sheetViews>
  <sheetFormatPr defaultColWidth="8.88671875" defaultRowHeight="15.75" x14ac:dyDescent="0.2"/>
  <cols>
    <col min="1" max="1" width="2.44140625" style="57" customWidth="1"/>
    <col min="2" max="2" width="31.109375" style="57" customWidth="1"/>
    <col min="3" max="4" width="15.77734375" style="57" customWidth="1"/>
    <col min="5" max="5" width="16.33203125" style="57" customWidth="1"/>
    <col min="6" max="16384" width="8.88671875" style="57"/>
  </cols>
  <sheetData>
    <row r="1" spans="2:5" x14ac:dyDescent="0.2">
      <c r="B1" s="173" t="str">
        <f>(inputPrYr!D3)</f>
        <v>City of Strong City</v>
      </c>
      <c r="C1" s="56"/>
      <c r="D1" s="56"/>
      <c r="E1" s="135">
        <f>inputPrYr!$C$6</f>
        <v>2020</v>
      </c>
    </row>
    <row r="2" spans="2:5" x14ac:dyDescent="0.2">
      <c r="B2" s="56"/>
      <c r="C2" s="56"/>
      <c r="D2" s="56"/>
      <c r="E2" s="185"/>
    </row>
    <row r="3" spans="2:5" x14ac:dyDescent="0.2">
      <c r="B3" s="67" t="s">
        <v>212</v>
      </c>
      <c r="C3" s="297"/>
      <c r="D3" s="297"/>
      <c r="E3" s="298"/>
    </row>
    <row r="4" spans="2:5" x14ac:dyDescent="0.2">
      <c r="B4" s="59" t="s">
        <v>151</v>
      </c>
      <c r="C4" s="662" t="s">
        <v>778</v>
      </c>
      <c r="D4" s="663" t="s">
        <v>779</v>
      </c>
      <c r="E4" s="148" t="s">
        <v>780</v>
      </c>
    </row>
    <row r="5" spans="2:5" x14ac:dyDescent="0.2">
      <c r="B5" s="410" t="str">
        <f>(inputPrYr!B37)</f>
        <v>Sewer</v>
      </c>
      <c r="C5" s="299" t="str">
        <f>CONCATENATE("Actual for ",$E$1-2,"")</f>
        <v>Actual for 2018</v>
      </c>
      <c r="D5" s="376" t="str">
        <f>CONCATENATE("Estimate for ",$E$1-1,"")</f>
        <v>Estimate for 2019</v>
      </c>
      <c r="E5" s="196" t="str">
        <f>CONCATENATE("Year for ",$E$1,"")</f>
        <v>Year for 2020</v>
      </c>
    </row>
    <row r="6" spans="2:5" x14ac:dyDescent="0.2">
      <c r="B6" s="152" t="s">
        <v>256</v>
      </c>
      <c r="C6" s="73">
        <v>3427.69</v>
      </c>
      <c r="D6" s="163">
        <f>C30</f>
        <v>16020.020000000004</v>
      </c>
      <c r="E6" s="163">
        <f>D30</f>
        <v>31973.020000000004</v>
      </c>
    </row>
    <row r="7" spans="2:5" x14ac:dyDescent="0.2">
      <c r="B7" s="245" t="s">
        <v>258</v>
      </c>
      <c r="C7" s="92"/>
      <c r="D7" s="92"/>
      <c r="E7" s="92"/>
    </row>
    <row r="8" spans="2:5" x14ac:dyDescent="0.2">
      <c r="B8" s="259" t="s">
        <v>1145</v>
      </c>
      <c r="C8" s="301">
        <v>65413.33</v>
      </c>
      <c r="D8" s="301">
        <v>75000</v>
      </c>
      <c r="E8" s="301">
        <v>75000</v>
      </c>
    </row>
    <row r="9" spans="2:5" x14ac:dyDescent="0.2">
      <c r="B9" s="259"/>
      <c r="C9" s="301"/>
      <c r="D9" s="301"/>
      <c r="E9" s="301"/>
    </row>
    <row r="10" spans="2:5" x14ac:dyDescent="0.2">
      <c r="B10" s="302"/>
      <c r="C10" s="110"/>
      <c r="D10" s="110"/>
      <c r="E10" s="110"/>
    </row>
    <row r="11" spans="2:5" x14ac:dyDescent="0.2">
      <c r="B11" s="259"/>
      <c r="C11" s="301"/>
      <c r="D11" s="301"/>
      <c r="E11" s="301"/>
    </row>
    <row r="12" spans="2:5" x14ac:dyDescent="0.2">
      <c r="B12" s="303" t="s">
        <v>158</v>
      </c>
      <c r="C12" s="301"/>
      <c r="D12" s="301"/>
      <c r="E12" s="301"/>
    </row>
    <row r="13" spans="2:5" x14ac:dyDescent="0.2">
      <c r="B13" s="307" t="s">
        <v>246</v>
      </c>
      <c r="C13" s="301">
        <v>100</v>
      </c>
      <c r="D13" s="301"/>
      <c r="E13" s="301"/>
    </row>
    <row r="14" spans="2:5" x14ac:dyDescent="0.2">
      <c r="B14" s="307" t="s">
        <v>606</v>
      </c>
      <c r="C14" s="411" t="str">
        <f>IF(C15*0.1&lt;C13,"Exceed 10% Rule","")</f>
        <v/>
      </c>
      <c r="D14" s="304" t="str">
        <f>IF(D15*0.1&lt;D13,"Exceed 10% Rule","")</f>
        <v/>
      </c>
      <c r="E14" s="304" t="str">
        <f>IF(E15*0.1&lt;E13,"Exceed 10% Rule","")</f>
        <v/>
      </c>
    </row>
    <row r="15" spans="2:5" x14ac:dyDescent="0.2">
      <c r="B15" s="256" t="s">
        <v>159</v>
      </c>
      <c r="C15" s="306">
        <f>SUM(C8:C13)</f>
        <v>65513.33</v>
      </c>
      <c r="D15" s="306">
        <f>SUM(D8:D13)</f>
        <v>75000</v>
      </c>
      <c r="E15" s="306">
        <f>SUM(E8:E13)</f>
        <v>75000</v>
      </c>
    </row>
    <row r="16" spans="2:5" x14ac:dyDescent="0.2">
      <c r="B16" s="256" t="s">
        <v>160</v>
      </c>
      <c r="C16" s="306">
        <f>C6+C15</f>
        <v>68941.02</v>
      </c>
      <c r="D16" s="306">
        <f>D6+D15</f>
        <v>91020.02</v>
      </c>
      <c r="E16" s="306">
        <f>E6+E15</f>
        <v>106973.02</v>
      </c>
    </row>
    <row r="17" spans="2:5" x14ac:dyDescent="0.2">
      <c r="B17" s="152" t="s">
        <v>161</v>
      </c>
      <c r="C17" s="92"/>
      <c r="D17" s="92"/>
      <c r="E17" s="92"/>
    </row>
    <row r="18" spans="2:5" x14ac:dyDescent="0.2">
      <c r="B18" s="259" t="s">
        <v>1146</v>
      </c>
      <c r="C18" s="301">
        <v>5487</v>
      </c>
      <c r="D18" s="301">
        <v>6000</v>
      </c>
      <c r="E18" s="301">
        <v>30000</v>
      </c>
    </row>
    <row r="19" spans="2:5" x14ac:dyDescent="0.2">
      <c r="B19" s="259" t="s">
        <v>1147</v>
      </c>
      <c r="C19" s="301">
        <v>19177</v>
      </c>
      <c r="D19" s="301">
        <v>19500</v>
      </c>
      <c r="E19" s="301">
        <v>25000</v>
      </c>
    </row>
    <row r="20" spans="2:5" x14ac:dyDescent="0.2">
      <c r="B20" s="259" t="s">
        <v>1109</v>
      </c>
      <c r="C20" s="110">
        <v>1694</v>
      </c>
      <c r="D20" s="110">
        <v>2500</v>
      </c>
      <c r="E20" s="110">
        <v>3500</v>
      </c>
    </row>
    <row r="21" spans="2:5" x14ac:dyDescent="0.2">
      <c r="B21" s="259" t="s">
        <v>1148</v>
      </c>
      <c r="C21" s="301">
        <v>2142</v>
      </c>
      <c r="D21" s="301">
        <v>2000</v>
      </c>
      <c r="E21" s="301">
        <v>2000</v>
      </c>
    </row>
    <row r="22" spans="2:5" x14ac:dyDescent="0.2">
      <c r="B22" s="259" t="s">
        <v>1106</v>
      </c>
      <c r="C22" s="301">
        <v>1358</v>
      </c>
      <c r="D22" s="301">
        <v>1000</v>
      </c>
      <c r="E22" s="301">
        <v>5000</v>
      </c>
    </row>
    <row r="23" spans="2:5" x14ac:dyDescent="0.2">
      <c r="B23" s="259" t="s">
        <v>1107</v>
      </c>
      <c r="C23" s="301">
        <v>0</v>
      </c>
      <c r="D23" s="301">
        <v>5000</v>
      </c>
      <c r="E23" s="301">
        <v>15000</v>
      </c>
    </row>
    <row r="24" spans="2:5" x14ac:dyDescent="0.2">
      <c r="B24" s="259" t="s">
        <v>1149</v>
      </c>
      <c r="C24" s="301">
        <v>22947</v>
      </c>
      <c r="D24" s="301">
        <v>22947</v>
      </c>
      <c r="E24" s="301">
        <v>22947</v>
      </c>
    </row>
    <row r="25" spans="2:5" x14ac:dyDescent="0.2">
      <c r="B25" s="259"/>
      <c r="C25" s="301"/>
      <c r="D25" s="301"/>
      <c r="E25" s="301"/>
    </row>
    <row r="26" spans="2:5" x14ac:dyDescent="0.2">
      <c r="B26" s="791" t="str">
        <f>CONCATENATE("Cash Forward (",E1," column)")</f>
        <v>Cash Forward (2020 column)</v>
      </c>
      <c r="C26" s="301"/>
      <c r="D26" s="301"/>
      <c r="E26" s="301"/>
    </row>
    <row r="27" spans="2:5" x14ac:dyDescent="0.2">
      <c r="B27" s="165" t="s">
        <v>246</v>
      </c>
      <c r="C27" s="301">
        <v>116</v>
      </c>
      <c r="D27" s="301">
        <v>100</v>
      </c>
      <c r="E27" s="301">
        <v>100</v>
      </c>
    </row>
    <row r="28" spans="2:5" x14ac:dyDescent="0.2">
      <c r="B28" s="165" t="s">
        <v>605</v>
      </c>
      <c r="C28" s="411" t="str">
        <f>IF(C29*0.1&lt;C27,"Exceed 10% Rule","")</f>
        <v/>
      </c>
      <c r="D28" s="304" t="str">
        <f>IF(D29*0.1&lt;D27,"Exceed 10% Rule","")</f>
        <v/>
      </c>
      <c r="E28" s="304" t="str">
        <f>IF(E29*0.1&lt;E27,"Exceed 10% Rule","")</f>
        <v/>
      </c>
    </row>
    <row r="29" spans="2:5" x14ac:dyDescent="0.2">
      <c r="B29" s="256" t="s">
        <v>162</v>
      </c>
      <c r="C29" s="306">
        <f>SUM(C18:C27)</f>
        <v>52921</v>
      </c>
      <c r="D29" s="306">
        <f>SUM(D18:D27)</f>
        <v>59047</v>
      </c>
      <c r="E29" s="306">
        <f>SUM(E18:E27)</f>
        <v>103547</v>
      </c>
    </row>
    <row r="30" spans="2:5" x14ac:dyDescent="0.2">
      <c r="B30" s="152" t="s">
        <v>257</v>
      </c>
      <c r="C30" s="80">
        <f>C16-C29</f>
        <v>16020.020000000004</v>
      </c>
      <c r="D30" s="80">
        <f>D16-D29</f>
        <v>31973.020000000004</v>
      </c>
      <c r="E30" s="80">
        <f>E16-E29</f>
        <v>3426.0200000000041</v>
      </c>
    </row>
    <row r="31" spans="2:5" x14ac:dyDescent="0.2">
      <c r="B31" s="314" t="str">
        <f>CONCATENATE("",E1-2,"/",E1-1,"/",E1," Budget Authority Amount:")</f>
        <v>2018/2019/2020 Budget Authority Amount:</v>
      </c>
      <c r="C31" s="389">
        <f>inputOth!B69</f>
        <v>64240</v>
      </c>
      <c r="D31" s="389">
        <f>inputPrYr!D37</f>
        <v>64240</v>
      </c>
      <c r="E31" s="389">
        <f>E29</f>
        <v>103547</v>
      </c>
    </row>
    <row r="32" spans="2:5" x14ac:dyDescent="0.2">
      <c r="B32" s="181"/>
      <c r="C32" s="261" t="str">
        <f>IF(C29&gt;C31,"See Tab A","")</f>
        <v/>
      </c>
      <c r="D32" s="261" t="str">
        <f>IF(D29&gt;D31,"See Tab C","")</f>
        <v/>
      </c>
      <c r="E32" s="694" t="str">
        <f>IF(E30&lt;0,"See Tab E","")</f>
        <v/>
      </c>
    </row>
    <row r="33" spans="2:5" x14ac:dyDescent="0.2">
      <c r="B33" s="181"/>
      <c r="C33" s="261" t="str">
        <f>IF(C30&lt;0,"See Tab B","")</f>
        <v/>
      </c>
      <c r="D33" s="261" t="str">
        <f>IF(D30&lt;0,"See Tab D","")</f>
        <v/>
      </c>
      <c r="E33" s="179"/>
    </row>
    <row r="34" spans="2:5" x14ac:dyDescent="0.2">
      <c r="B34" s="56"/>
      <c r="C34" s="179"/>
      <c r="D34" s="179"/>
      <c r="E34" s="179"/>
    </row>
    <row r="35" spans="2:5" x14ac:dyDescent="0.2">
      <c r="B35" s="56"/>
      <c r="C35" s="179"/>
      <c r="D35" s="179"/>
      <c r="E35" s="179"/>
    </row>
    <row r="36" spans="2:5" x14ac:dyDescent="0.2">
      <c r="B36" s="59" t="s">
        <v>151</v>
      </c>
      <c r="C36" s="662" t="s">
        <v>778</v>
      </c>
      <c r="D36" s="663" t="s">
        <v>779</v>
      </c>
      <c r="E36" s="148" t="s">
        <v>780</v>
      </c>
    </row>
    <row r="37" spans="2:5" x14ac:dyDescent="0.2">
      <c r="B37" s="409">
        <f>(inputPrYr!B38)</f>
        <v>0</v>
      </c>
      <c r="C37" s="299" t="str">
        <f>CONCATENATE("Actual for ",$E$1-2,"")</f>
        <v>Actual for 2018</v>
      </c>
      <c r="D37" s="376" t="str">
        <f>CONCATENATE("Estimate for ",$E$1-1,"")</f>
        <v>Estimate for 2019</v>
      </c>
      <c r="E37" s="196" t="str">
        <f>CONCATENATE("Year for ",$E$1,"")</f>
        <v>Year for 2020</v>
      </c>
    </row>
    <row r="38" spans="2:5" x14ac:dyDescent="0.2">
      <c r="B38" s="152" t="s">
        <v>256</v>
      </c>
      <c r="C38" s="73">
        <v>0</v>
      </c>
      <c r="D38" s="163">
        <f>C61</f>
        <v>0</v>
      </c>
      <c r="E38" s="163">
        <f>D61</f>
        <v>0</v>
      </c>
    </row>
    <row r="39" spans="2:5" x14ac:dyDescent="0.2">
      <c r="B39" s="152" t="s">
        <v>258</v>
      </c>
      <c r="C39" s="92"/>
      <c r="D39" s="92"/>
      <c r="E39" s="92"/>
    </row>
    <row r="40" spans="2:5" x14ac:dyDescent="0.2">
      <c r="B40" s="259"/>
      <c r="C40" s="301"/>
      <c r="D40" s="301"/>
      <c r="E40" s="301"/>
    </row>
    <row r="41" spans="2:5" x14ac:dyDescent="0.2">
      <c r="B41" s="259"/>
      <c r="C41" s="301"/>
      <c r="D41" s="301"/>
      <c r="E41" s="301"/>
    </row>
    <row r="42" spans="2:5" x14ac:dyDescent="0.2">
      <c r="B42" s="302"/>
      <c r="C42" s="110"/>
      <c r="D42" s="110"/>
      <c r="E42" s="110"/>
    </row>
    <row r="43" spans="2:5" x14ac:dyDescent="0.2">
      <c r="B43" s="259"/>
      <c r="C43" s="301"/>
      <c r="D43" s="301"/>
      <c r="E43" s="301"/>
    </row>
    <row r="44" spans="2:5" x14ac:dyDescent="0.2">
      <c r="B44" s="303" t="s">
        <v>158</v>
      </c>
      <c r="C44" s="301"/>
      <c r="D44" s="301"/>
      <c r="E44" s="301"/>
    </row>
    <row r="45" spans="2:5" x14ac:dyDescent="0.2">
      <c r="B45" s="307" t="s">
        <v>246</v>
      </c>
      <c r="C45" s="301"/>
      <c r="D45" s="301"/>
      <c r="E45" s="301"/>
    </row>
    <row r="46" spans="2:5" x14ac:dyDescent="0.2">
      <c r="B46" s="307" t="s">
        <v>606</v>
      </c>
      <c r="C46" s="411" t="str">
        <f>IF(C47*0.1&lt;C45,"Exceed 10% Rule","")</f>
        <v/>
      </c>
      <c r="D46" s="304" t="str">
        <f>IF(D47*0.1&lt;D45,"Exceed 10% Rule","")</f>
        <v/>
      </c>
      <c r="E46" s="304" t="str">
        <f>IF(E47*0.1&lt;E45,"Exceed 10% Rule","")</f>
        <v/>
      </c>
    </row>
    <row r="47" spans="2:5" x14ac:dyDescent="0.2">
      <c r="B47" s="256" t="s">
        <v>159</v>
      </c>
      <c r="C47" s="306">
        <f>SUM(C40:C45)</f>
        <v>0</v>
      </c>
      <c r="D47" s="306">
        <f>SUM(D40:D45)</f>
        <v>0</v>
      </c>
      <c r="E47" s="306">
        <f>SUM(E40:E45)</f>
        <v>0</v>
      </c>
    </row>
    <row r="48" spans="2:5" x14ac:dyDescent="0.2">
      <c r="B48" s="256" t="s">
        <v>160</v>
      </c>
      <c r="C48" s="306">
        <f>C38+C47</f>
        <v>0</v>
      </c>
      <c r="D48" s="306">
        <f>D38+D47</f>
        <v>0</v>
      </c>
      <c r="E48" s="306">
        <f>E38+E47</f>
        <v>0</v>
      </c>
    </row>
    <row r="49" spans="2:5" x14ac:dyDescent="0.2">
      <c r="B49" s="152" t="s">
        <v>161</v>
      </c>
      <c r="C49" s="92"/>
      <c r="D49" s="92"/>
      <c r="E49" s="92"/>
    </row>
    <row r="50" spans="2:5" x14ac:dyDescent="0.2">
      <c r="B50" s="259" t="s">
        <v>268</v>
      </c>
      <c r="C50" s="301"/>
      <c r="D50" s="301"/>
      <c r="E50" s="301"/>
    </row>
    <row r="51" spans="2:5" x14ac:dyDescent="0.2">
      <c r="B51" s="259" t="s">
        <v>269</v>
      </c>
      <c r="C51" s="301"/>
      <c r="D51" s="301"/>
      <c r="E51" s="301"/>
    </row>
    <row r="52" spans="2:5" x14ac:dyDescent="0.2">
      <c r="B52" s="259"/>
      <c r="C52" s="301"/>
      <c r="D52" s="301"/>
      <c r="E52" s="301"/>
    </row>
    <row r="53" spans="2:5" x14ac:dyDescent="0.2">
      <c r="B53" s="259"/>
      <c r="C53" s="301"/>
      <c r="D53" s="301"/>
      <c r="E53" s="301"/>
    </row>
    <row r="54" spans="2:5" x14ac:dyDescent="0.2">
      <c r="B54" s="259"/>
      <c r="C54" s="301"/>
      <c r="D54" s="301"/>
      <c r="E54" s="301"/>
    </row>
    <row r="55" spans="2:5" x14ac:dyDescent="0.2">
      <c r="B55" s="259"/>
      <c r="C55" s="110"/>
      <c r="D55" s="110"/>
      <c r="E55" s="110"/>
    </row>
    <row r="56" spans="2:5" x14ac:dyDescent="0.2">
      <c r="B56" s="259"/>
      <c r="C56" s="301"/>
      <c r="D56" s="110"/>
      <c r="E56" s="110"/>
    </row>
    <row r="57" spans="2:5" x14ac:dyDescent="0.2">
      <c r="B57" s="792" t="str">
        <f>CONCATENATE("Cash Forward (",E1," column)")</f>
        <v>Cash Forward (2020 column)</v>
      </c>
      <c r="C57" s="301"/>
      <c r="D57" s="110"/>
      <c r="E57" s="110"/>
    </row>
    <row r="58" spans="2:5" x14ac:dyDescent="0.2">
      <c r="B58" s="165" t="s">
        <v>246</v>
      </c>
      <c r="C58" s="301"/>
      <c r="D58" s="110"/>
      <c r="E58" s="110"/>
    </row>
    <row r="59" spans="2:5" x14ac:dyDescent="0.2">
      <c r="B59" s="165" t="s">
        <v>605</v>
      </c>
      <c r="C59" s="411" t="str">
        <f>IF(C60*0.1&lt;C58,"Exceed 10% Rule","")</f>
        <v/>
      </c>
      <c r="D59" s="304" t="str">
        <f>IF(D60*0.1&lt;D58,"Exceed 10% Rule","")</f>
        <v/>
      </c>
      <c r="E59" s="304" t="str">
        <f>IF(E60*0.1&lt;E58,"Exceed 10% Rule","")</f>
        <v/>
      </c>
    </row>
    <row r="60" spans="2:5" x14ac:dyDescent="0.2">
      <c r="B60" s="256" t="s">
        <v>162</v>
      </c>
      <c r="C60" s="306">
        <f>SUM(C50:C58)</f>
        <v>0</v>
      </c>
      <c r="D60" s="306">
        <f>SUM(D50:D58)</f>
        <v>0</v>
      </c>
      <c r="E60" s="306">
        <f>SUM(E50:E58)</f>
        <v>0</v>
      </c>
    </row>
    <row r="61" spans="2:5" x14ac:dyDescent="0.2">
      <c r="B61" s="152" t="s">
        <v>257</v>
      </c>
      <c r="C61" s="80">
        <f>C48-C60</f>
        <v>0</v>
      </c>
      <c r="D61" s="80">
        <f>D48-D60</f>
        <v>0</v>
      </c>
      <c r="E61" s="80">
        <f>E48-E60</f>
        <v>0</v>
      </c>
    </row>
    <row r="62" spans="2:5" x14ac:dyDescent="0.2">
      <c r="B62" s="314" t="str">
        <f>CONCATENATE("",E1-2,"/",E1-1,"/",E1," Budget Authority Amount:")</f>
        <v>2018/2019/2020 Budget Authority Amount:</v>
      </c>
      <c r="C62" s="389">
        <f>inputOth!B70</f>
        <v>0</v>
      </c>
      <c r="D62" s="389">
        <f>inputPrYr!D38</f>
        <v>0</v>
      </c>
      <c r="E62" s="389">
        <f>E60</f>
        <v>0</v>
      </c>
    </row>
    <row r="63" spans="2:5" x14ac:dyDescent="0.2">
      <c r="B63" s="181"/>
      <c r="C63" s="261" t="str">
        <f>IF(C60&gt;C62,"See Tab A","")</f>
        <v/>
      </c>
      <c r="D63" s="261" t="str">
        <f>IF(D60&gt;D62,"See Tab C","")</f>
        <v/>
      </c>
      <c r="E63" s="694" t="str">
        <f>IF(E61&lt;0,"See Tab E","")</f>
        <v/>
      </c>
    </row>
    <row r="64" spans="2:5" x14ac:dyDescent="0.2">
      <c r="B64" s="811" t="s">
        <v>1011</v>
      </c>
      <c r="C64" s="804"/>
      <c r="D64" s="804"/>
      <c r="E64" s="805"/>
    </row>
    <row r="65" spans="2:5" x14ac:dyDescent="0.2">
      <c r="B65" s="806"/>
      <c r="C65" s="807"/>
      <c r="D65" s="807"/>
      <c r="E65" s="808"/>
    </row>
    <row r="66" spans="2:5" x14ac:dyDescent="0.2">
      <c r="B66" s="809"/>
      <c r="C66" s="810" t="str">
        <f>IF(C61&lt;0,"See Tab B","")</f>
        <v/>
      </c>
      <c r="D66" s="810" t="str">
        <f>IF(D61&lt;0,"See Tab D","")</f>
        <v/>
      </c>
      <c r="E66" s="89"/>
    </row>
    <row r="67" spans="2:5" x14ac:dyDescent="0.2">
      <c r="B67" s="56"/>
      <c r="C67" s="56"/>
      <c r="D67" s="56"/>
      <c r="E67" s="56"/>
    </row>
    <row r="68" spans="2:5" x14ac:dyDescent="0.2">
      <c r="B68" s="185" t="s">
        <v>165</v>
      </c>
      <c r="C68" s="747">
        <v>10</v>
      </c>
      <c r="D68" s="56"/>
      <c r="E68" s="56"/>
    </row>
  </sheetData>
  <sheetProtection sheet="1"/>
  <phoneticPr fontId="0" type="noConversion"/>
  <conditionalFormatting sqref="C45">
    <cfRule type="cellIs" dxfId="29" priority="3" stopIfTrue="1" operator="greaterThan">
      <formula>$C$47*0.1</formula>
    </cfRule>
  </conditionalFormatting>
  <conditionalFormatting sqref="D45">
    <cfRule type="cellIs" dxfId="28" priority="4" stopIfTrue="1" operator="greaterThan">
      <formula>$D$47*0.1</formula>
    </cfRule>
  </conditionalFormatting>
  <conditionalFormatting sqref="E45">
    <cfRule type="cellIs" dxfId="27" priority="5" stopIfTrue="1" operator="greaterThan">
      <formula>$E$47*0.1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7">
    <cfRule type="cellIs" dxfId="23" priority="9" stopIfTrue="1" operator="greaterThan">
      <formula>$C$29*0.1</formula>
    </cfRule>
  </conditionalFormatting>
  <conditionalFormatting sqref="D27">
    <cfRule type="cellIs" dxfId="22" priority="10" stopIfTrue="1" operator="greaterThan">
      <formula>$D$29*0.1</formula>
    </cfRule>
  </conditionalFormatting>
  <conditionalFormatting sqref="E27">
    <cfRule type="cellIs" dxfId="21" priority="11" stopIfTrue="1" operator="greaterThan">
      <formula>$E$29*0.1</formula>
    </cfRule>
  </conditionalFormatting>
  <conditionalFormatting sqref="C58">
    <cfRule type="cellIs" dxfId="20" priority="12" stopIfTrue="1" operator="greaterThan">
      <formula>$C$60*0.1</formula>
    </cfRule>
  </conditionalFormatting>
  <conditionalFormatting sqref="D58">
    <cfRule type="cellIs" dxfId="19" priority="13" stopIfTrue="1" operator="greaterThan">
      <formula>$D$60*0.1</formula>
    </cfRule>
  </conditionalFormatting>
  <conditionalFormatting sqref="E58">
    <cfRule type="cellIs" dxfId="18" priority="14" stopIfTrue="1" operator="greaterThan">
      <formula>$E$60*0.1</formula>
    </cfRule>
  </conditionalFormatting>
  <conditionalFormatting sqref="C30 E30 E61">
    <cfRule type="cellIs" dxfId="17" priority="15" stopIfTrue="1" operator="lessThan">
      <formula>0</formula>
    </cfRule>
  </conditionalFormatting>
  <conditionalFormatting sqref="D29">
    <cfRule type="cellIs" dxfId="16" priority="16" stopIfTrue="1" operator="greaterThan">
      <formula>$D$31</formula>
    </cfRule>
  </conditionalFormatting>
  <conditionalFormatting sqref="C29">
    <cfRule type="cellIs" dxfId="15" priority="17" stopIfTrue="1" operator="greaterThan">
      <formula>$C$31</formula>
    </cfRule>
  </conditionalFormatting>
  <conditionalFormatting sqref="C61">
    <cfRule type="cellIs" dxfId="14" priority="18" stopIfTrue="1" operator="lessThan">
      <formula>0</formula>
    </cfRule>
  </conditionalFormatting>
  <conditionalFormatting sqref="C60">
    <cfRule type="cellIs" dxfId="13" priority="19" stopIfTrue="1" operator="greaterThan">
      <formula>$C$62</formula>
    </cfRule>
  </conditionalFormatting>
  <conditionalFormatting sqref="D60">
    <cfRule type="cellIs" dxfId="12" priority="20" stopIfTrue="1" operator="greaterThan">
      <formula>$D$62</formula>
    </cfRule>
  </conditionalFormatting>
  <conditionalFormatting sqref="D30">
    <cfRule type="cellIs" dxfId="11" priority="2" stopIfTrue="1" operator="lessThan">
      <formula>0</formula>
    </cfRule>
  </conditionalFormatting>
  <conditionalFormatting sqref="D61">
    <cfRule type="cellIs" dxfId="10" priority="1" stopIfTrue="1" operator="lessThan">
      <formula>0</formula>
    </cfRule>
  </conditionalFormatting>
  <pageMargins left="0.5" right="0.5" top="1" bottom="0.5" header="0.5" footer="0.5"/>
  <pageSetup scale="65" orientation="portrait" blackAndWhite="1" horizontalDpi="120" verticalDpi="144"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pageSetUpPr fitToPage="1"/>
  </sheetPr>
  <dimension ref="B1:E57"/>
  <sheetViews>
    <sheetView workbookViewId="0">
      <selection activeCell="D99" sqref="D99"/>
    </sheetView>
  </sheetViews>
  <sheetFormatPr defaultColWidth="8.88671875" defaultRowHeight="15" x14ac:dyDescent="0.2"/>
  <cols>
    <col min="1" max="1" width="2.44140625" style="105" customWidth="1"/>
    <col min="2" max="2" width="31.109375" style="105" customWidth="1"/>
    <col min="3" max="4" width="15.77734375" style="105" customWidth="1"/>
    <col min="5" max="5" width="16.109375" style="105" customWidth="1"/>
    <col min="6" max="16384" width="8.88671875" style="105"/>
  </cols>
  <sheetData>
    <row r="1" spans="2:5" ht="15.75" x14ac:dyDescent="0.2">
      <c r="B1" s="173" t="str">
        <f>(inputPrYr!D3)</f>
        <v>City of Strong City</v>
      </c>
      <c r="C1" s="56"/>
      <c r="D1" s="56"/>
      <c r="E1" s="135">
        <f>inputPrYr!$C$6</f>
        <v>2020</v>
      </c>
    </row>
    <row r="2" spans="2:5" ht="15.75" x14ac:dyDescent="0.2">
      <c r="B2" s="56"/>
      <c r="C2" s="56"/>
      <c r="D2" s="56"/>
      <c r="E2" s="185"/>
    </row>
    <row r="3" spans="2:5" ht="15.75" x14ac:dyDescent="0.2">
      <c r="B3" s="67" t="s">
        <v>212</v>
      </c>
      <c r="C3" s="297"/>
      <c r="D3" s="297"/>
      <c r="E3" s="298"/>
    </row>
    <row r="4" spans="2:5" ht="15.75" x14ac:dyDescent="0.2">
      <c r="B4" s="59" t="s">
        <v>151</v>
      </c>
      <c r="C4" s="662" t="s">
        <v>778</v>
      </c>
      <c r="D4" s="663" t="s">
        <v>779</v>
      </c>
      <c r="E4" s="148" t="s">
        <v>780</v>
      </c>
    </row>
    <row r="5" spans="2:5" ht="15.75" x14ac:dyDescent="0.2">
      <c r="B5" s="410">
        <f>(inputPrYr!B40)</f>
        <v>0</v>
      </c>
      <c r="C5" s="299" t="str">
        <f>CONCATENATE("Actual for ",$E$1-2,"")</f>
        <v>Actual for 2018</v>
      </c>
      <c r="D5" s="376" t="str">
        <f>CONCATENATE("Estimate for ",$E$1-1,"")</f>
        <v>Estimate for 2019</v>
      </c>
      <c r="E5" s="196" t="str">
        <f>CONCATENATE("Year for ",$E$1,"")</f>
        <v>Year for 2020</v>
      </c>
    </row>
    <row r="6" spans="2:5" ht="15.75" x14ac:dyDescent="0.2">
      <c r="B6" s="152" t="s">
        <v>256</v>
      </c>
      <c r="C6" s="73">
        <v>0</v>
      </c>
      <c r="D6" s="163">
        <f>C50</f>
        <v>0</v>
      </c>
      <c r="E6" s="163">
        <f>D50</f>
        <v>0</v>
      </c>
    </row>
    <row r="7" spans="2:5" ht="15.75" x14ac:dyDescent="0.2">
      <c r="B7" s="245" t="s">
        <v>258</v>
      </c>
      <c r="C7" s="92"/>
      <c r="D7" s="92"/>
      <c r="E7" s="92"/>
    </row>
    <row r="8" spans="2:5" ht="15.75" x14ac:dyDescent="0.2">
      <c r="B8" s="259"/>
      <c r="C8" s="301"/>
      <c r="D8" s="301"/>
      <c r="E8" s="301"/>
    </row>
    <row r="9" spans="2:5" ht="15.75" x14ac:dyDescent="0.2">
      <c r="B9" s="259"/>
      <c r="C9" s="301"/>
      <c r="D9" s="301"/>
      <c r="E9" s="301"/>
    </row>
    <row r="10" spans="2:5" ht="15.75" x14ac:dyDescent="0.2">
      <c r="B10" s="259"/>
      <c r="C10" s="301"/>
      <c r="D10" s="301"/>
      <c r="E10" s="301"/>
    </row>
    <row r="11" spans="2:5" ht="15.75" x14ac:dyDescent="0.2">
      <c r="B11" s="259"/>
      <c r="C11" s="301"/>
      <c r="D11" s="301"/>
      <c r="E11" s="301"/>
    </row>
    <row r="12" spans="2:5" ht="15.75" x14ac:dyDescent="0.2">
      <c r="B12" s="259"/>
      <c r="C12" s="301"/>
      <c r="D12" s="301"/>
      <c r="E12" s="301"/>
    </row>
    <row r="13" spans="2:5" ht="15.75" x14ac:dyDescent="0.2">
      <c r="B13" s="259"/>
      <c r="C13" s="301"/>
      <c r="D13" s="301"/>
      <c r="E13" s="301"/>
    </row>
    <row r="14" spans="2:5" ht="15.75" x14ac:dyDescent="0.2">
      <c r="B14" s="302"/>
      <c r="C14" s="110"/>
      <c r="D14" s="110"/>
      <c r="E14" s="110"/>
    </row>
    <row r="15" spans="2:5" ht="15.75" x14ac:dyDescent="0.2">
      <c r="B15" s="259"/>
      <c r="C15" s="301"/>
      <c r="D15" s="301"/>
      <c r="E15" s="301"/>
    </row>
    <row r="16" spans="2:5" ht="15.75" x14ac:dyDescent="0.2">
      <c r="B16" s="259"/>
      <c r="C16" s="301"/>
      <c r="D16" s="301"/>
      <c r="E16" s="301"/>
    </row>
    <row r="17" spans="2:5" ht="15.75" x14ac:dyDescent="0.2">
      <c r="B17" s="259"/>
      <c r="C17" s="301"/>
      <c r="D17" s="301"/>
      <c r="E17" s="301"/>
    </row>
    <row r="18" spans="2:5" ht="15.75" x14ac:dyDescent="0.2">
      <c r="B18" s="303" t="s">
        <v>158</v>
      </c>
      <c r="C18" s="301"/>
      <c r="D18" s="301"/>
      <c r="E18" s="301"/>
    </row>
    <row r="19" spans="2:5" ht="15.75" x14ac:dyDescent="0.2">
      <c r="B19" s="152" t="s">
        <v>246</v>
      </c>
      <c r="C19" s="301"/>
      <c r="D19" s="301"/>
      <c r="E19" s="301"/>
    </row>
    <row r="20" spans="2:5" ht="15.75" x14ac:dyDescent="0.2">
      <c r="B20" s="152" t="s">
        <v>745</v>
      </c>
      <c r="C20" s="411" t="str">
        <f>IF(C21*0.1&lt;C19,"Exceed 10% Rule","")</f>
        <v/>
      </c>
      <c r="D20" s="304" t="str">
        <f>IF(D21*0.1&lt;D19,"Exceed 10% Rule","")</f>
        <v/>
      </c>
      <c r="E20" s="304" t="str">
        <f>IF(E21*0.1&lt;E19,"Exceed 10% Rule","")</f>
        <v/>
      </c>
    </row>
    <row r="21" spans="2:5" ht="15.75" x14ac:dyDescent="0.2">
      <c r="B21" s="256" t="s">
        <v>159</v>
      </c>
      <c r="C21" s="306">
        <f>SUM(C8:C19)</f>
        <v>0</v>
      </c>
      <c r="D21" s="306">
        <f>SUM(D8:D19)</f>
        <v>0</v>
      </c>
      <c r="E21" s="306">
        <f>SUM(E8:E19)</f>
        <v>0</v>
      </c>
    </row>
    <row r="22" spans="2:5" ht="15.75" x14ac:dyDescent="0.2">
      <c r="B22" s="256" t="s">
        <v>160</v>
      </c>
      <c r="C22" s="306">
        <f>C6+C21</f>
        <v>0</v>
      </c>
      <c r="D22" s="306">
        <f>D6+D21</f>
        <v>0</v>
      </c>
      <c r="E22" s="306">
        <f>E6+E21</f>
        <v>0</v>
      </c>
    </row>
    <row r="23" spans="2:5" ht="15.75" x14ac:dyDescent="0.2">
      <c r="B23" s="152" t="s">
        <v>161</v>
      </c>
      <c r="C23" s="92"/>
      <c r="D23" s="92"/>
      <c r="E23" s="92"/>
    </row>
    <row r="24" spans="2:5" ht="15.75" x14ac:dyDescent="0.2">
      <c r="B24" s="259"/>
      <c r="C24" s="301"/>
      <c r="D24" s="301"/>
      <c r="E24" s="301"/>
    </row>
    <row r="25" spans="2:5" ht="15.75" x14ac:dyDescent="0.2">
      <c r="B25" s="259"/>
      <c r="C25" s="301"/>
      <c r="D25" s="301"/>
      <c r="E25" s="301"/>
    </row>
    <row r="26" spans="2:5" ht="15.75" x14ac:dyDescent="0.2">
      <c r="B26" s="259"/>
      <c r="C26" s="110"/>
      <c r="D26" s="110"/>
      <c r="E26" s="110"/>
    </row>
    <row r="27" spans="2:5" ht="15.75" x14ac:dyDescent="0.2">
      <c r="B27" s="259"/>
      <c r="C27" s="110"/>
      <c r="D27" s="110"/>
      <c r="E27" s="110"/>
    </row>
    <row r="28" spans="2:5" ht="15.75" x14ac:dyDescent="0.2">
      <c r="B28" s="259"/>
      <c r="C28" s="110"/>
      <c r="D28" s="110"/>
      <c r="E28" s="110"/>
    </row>
    <row r="29" spans="2:5" ht="15.75" x14ac:dyDescent="0.2">
      <c r="B29" s="259"/>
      <c r="C29" s="110"/>
      <c r="D29" s="110"/>
      <c r="E29" s="110"/>
    </row>
    <row r="30" spans="2:5" ht="15.75" x14ac:dyDescent="0.2">
      <c r="B30" s="259"/>
      <c r="C30" s="110"/>
      <c r="D30" s="110"/>
      <c r="E30" s="110"/>
    </row>
    <row r="31" spans="2:5" ht="15.75" x14ac:dyDescent="0.2">
      <c r="B31" s="259"/>
      <c r="C31" s="110"/>
      <c r="D31" s="110"/>
      <c r="E31" s="110"/>
    </row>
    <row r="32" spans="2:5" ht="15.75" x14ac:dyDescent="0.2">
      <c r="B32" s="259"/>
      <c r="C32" s="110"/>
      <c r="D32" s="110"/>
      <c r="E32" s="110"/>
    </row>
    <row r="33" spans="2:5" ht="15.75" x14ac:dyDescent="0.2">
      <c r="B33" s="259"/>
      <c r="C33" s="110"/>
      <c r="D33" s="110"/>
      <c r="E33" s="110"/>
    </row>
    <row r="34" spans="2:5" ht="15.75" x14ac:dyDescent="0.2">
      <c r="B34" s="259"/>
      <c r="C34" s="110"/>
      <c r="D34" s="110"/>
      <c r="E34" s="110"/>
    </row>
    <row r="35" spans="2:5" ht="15.75" x14ac:dyDescent="0.2">
      <c r="B35" s="259"/>
      <c r="C35" s="110"/>
      <c r="D35" s="110"/>
      <c r="E35" s="110"/>
    </row>
    <row r="36" spans="2:5" ht="15.75" x14ac:dyDescent="0.2">
      <c r="B36" s="259"/>
      <c r="C36" s="110"/>
      <c r="D36" s="110"/>
      <c r="E36" s="110"/>
    </row>
    <row r="37" spans="2:5" ht="15.75" x14ac:dyDescent="0.2">
      <c r="B37" s="259"/>
      <c r="C37" s="301"/>
      <c r="D37" s="301"/>
      <c r="E37" s="301"/>
    </row>
    <row r="38" spans="2:5" ht="15.75" x14ac:dyDescent="0.2">
      <c r="B38" s="259"/>
      <c r="C38" s="301"/>
      <c r="D38" s="301"/>
      <c r="E38" s="301"/>
    </row>
    <row r="39" spans="2:5" ht="15.75" x14ac:dyDescent="0.2">
      <c r="B39" s="259"/>
      <c r="C39" s="301"/>
      <c r="D39" s="301"/>
      <c r="E39" s="301"/>
    </row>
    <row r="40" spans="2:5" ht="15.75" x14ac:dyDescent="0.2">
      <c r="B40" s="259"/>
      <c r="C40" s="301"/>
      <c r="D40" s="301"/>
      <c r="E40" s="301"/>
    </row>
    <row r="41" spans="2:5" ht="15.75" x14ac:dyDescent="0.2">
      <c r="B41" s="259"/>
      <c r="C41" s="301"/>
      <c r="D41" s="301"/>
      <c r="E41" s="301"/>
    </row>
    <row r="42" spans="2:5" ht="15.75" x14ac:dyDescent="0.2">
      <c r="B42" s="259"/>
      <c r="C42" s="301"/>
      <c r="D42" s="301"/>
      <c r="E42" s="301"/>
    </row>
    <row r="43" spans="2:5" ht="15.75" x14ac:dyDescent="0.2">
      <c r="B43" s="259"/>
      <c r="C43" s="301"/>
      <c r="D43" s="301"/>
      <c r="E43" s="301"/>
    </row>
    <row r="44" spans="2:5" ht="15.75" x14ac:dyDescent="0.2">
      <c r="B44" s="259"/>
      <c r="C44" s="301"/>
      <c r="D44" s="301"/>
      <c r="E44" s="301"/>
    </row>
    <row r="45" spans="2:5" ht="15.75" x14ac:dyDescent="0.2">
      <c r="B45" s="259"/>
      <c r="C45" s="301"/>
      <c r="D45" s="301"/>
      <c r="E45" s="301"/>
    </row>
    <row r="46" spans="2:5" ht="15.75" x14ac:dyDescent="0.2">
      <c r="B46" s="793" t="str">
        <f>CONCATENATE("Cash Forward (",E1," column)")</f>
        <v>Cash Forward (2020 column)</v>
      </c>
      <c r="C46" s="301"/>
      <c r="D46" s="301"/>
      <c r="E46" s="301"/>
    </row>
    <row r="47" spans="2:5" ht="15.75" x14ac:dyDescent="0.2">
      <c r="B47" s="165" t="s">
        <v>246</v>
      </c>
      <c r="C47" s="301"/>
      <c r="D47" s="301"/>
      <c r="E47" s="301"/>
    </row>
    <row r="48" spans="2:5" ht="15.75" x14ac:dyDescent="0.2">
      <c r="B48" s="165" t="s">
        <v>744</v>
      </c>
      <c r="C48" s="411" t="str">
        <f>IF(C49*0.1&lt;C47,"Exceed 10% Rule","")</f>
        <v/>
      </c>
      <c r="D48" s="304" t="str">
        <f>IF(D49*0.1&lt;D47,"Exceed 10% Rule","")</f>
        <v/>
      </c>
      <c r="E48" s="304" t="str">
        <f>IF(E49*0.1&lt;E47,"Exceed 10% Rule","")</f>
        <v/>
      </c>
    </row>
    <row r="49" spans="2:5" ht="15.75" x14ac:dyDescent="0.2">
      <c r="B49" s="256" t="s">
        <v>162</v>
      </c>
      <c r="C49" s="306">
        <f>SUM(C24:C47)</f>
        <v>0</v>
      </c>
      <c r="D49" s="306">
        <f>SUM(D24:D47)</f>
        <v>0</v>
      </c>
      <c r="E49" s="306">
        <f>SUM(E24:E47)</f>
        <v>0</v>
      </c>
    </row>
    <row r="50" spans="2:5" ht="15.75" x14ac:dyDescent="0.2">
      <c r="B50" s="152" t="s">
        <v>257</v>
      </c>
      <c r="C50" s="80">
        <f>C22-C49</f>
        <v>0</v>
      </c>
      <c r="D50" s="80">
        <f>D22-D49</f>
        <v>0</v>
      </c>
      <c r="E50" s="80">
        <f>E22-E49</f>
        <v>0</v>
      </c>
    </row>
    <row r="51" spans="2:5" ht="15.75" x14ac:dyDescent="0.2">
      <c r="B51" s="314" t="str">
        <f>CONCATENATE("",E1-2,"/",E1-1,"/",E1," Budget Authority Amount:")</f>
        <v>2018/2019/2020 Budget Authority Amount:</v>
      </c>
      <c r="C51" s="389">
        <f>inputOth!B71</f>
        <v>0</v>
      </c>
      <c r="D51" s="389">
        <f>inputPrYr!D40</f>
        <v>0</v>
      </c>
      <c r="E51" s="389">
        <f>E49</f>
        <v>0</v>
      </c>
    </row>
    <row r="52" spans="2:5" ht="15.75" x14ac:dyDescent="0.2">
      <c r="B52" s="181"/>
      <c r="C52" s="261" t="str">
        <f>IF(C49&gt;C51,"See Tab A","")</f>
        <v/>
      </c>
      <c r="D52" s="261" t="str">
        <f>IF(D49&gt;D51,"See Tab C","")</f>
        <v/>
      </c>
      <c r="E52" s="694" t="str">
        <f>IF(E50&lt;0,"See Tab E","")</f>
        <v/>
      </c>
    </row>
    <row r="53" spans="2:5" ht="15.75" x14ac:dyDescent="0.2">
      <c r="B53" s="811" t="s">
        <v>1011</v>
      </c>
      <c r="C53" s="804"/>
      <c r="D53" s="804"/>
      <c r="E53" s="805"/>
    </row>
    <row r="54" spans="2:5" ht="15.75" x14ac:dyDescent="0.2">
      <c r="B54" s="806"/>
      <c r="C54" s="807"/>
      <c r="D54" s="807"/>
      <c r="E54" s="808"/>
    </row>
    <row r="55" spans="2:5" ht="15.75" x14ac:dyDescent="0.2">
      <c r="B55" s="809"/>
      <c r="C55" s="810" t="str">
        <f>IF(C50&lt;0,"See Tab B","")</f>
        <v/>
      </c>
      <c r="D55" s="810" t="str">
        <f>IF(D50&lt;0,"See Tab D","")</f>
        <v/>
      </c>
      <c r="E55" s="124"/>
    </row>
    <row r="56" spans="2:5" x14ac:dyDescent="0.2">
      <c r="B56" s="107"/>
      <c r="C56" s="107"/>
      <c r="D56" s="107"/>
      <c r="E56" s="107"/>
    </row>
    <row r="57" spans="2:5" ht="15.75" x14ac:dyDescent="0.2">
      <c r="B57" s="185" t="s">
        <v>165</v>
      </c>
      <c r="C57" s="747"/>
      <c r="D57" s="107"/>
      <c r="E57" s="107"/>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7">
    <cfRule type="cellIs" dxfId="6" priority="5" stopIfTrue="1" operator="greaterThan">
      <formula>$C$49*0.1</formula>
    </cfRule>
  </conditionalFormatting>
  <conditionalFormatting sqref="D47">
    <cfRule type="cellIs" dxfId="5" priority="6" stopIfTrue="1" operator="greaterThan">
      <formula>$D$49*0.1</formula>
    </cfRule>
  </conditionalFormatting>
  <conditionalFormatting sqref="E47">
    <cfRule type="cellIs" dxfId="4" priority="7" stopIfTrue="1" operator="greaterThan">
      <formula>$E$49*0.1</formula>
    </cfRule>
  </conditionalFormatting>
  <conditionalFormatting sqref="E50 C50">
    <cfRule type="cellIs" dxfId="3" priority="8" stopIfTrue="1" operator="lessThan">
      <formula>0</formula>
    </cfRule>
  </conditionalFormatting>
  <conditionalFormatting sqref="D49">
    <cfRule type="cellIs" dxfId="2" priority="9" stopIfTrue="1" operator="greaterThan">
      <formula>$D$51</formula>
    </cfRule>
  </conditionalFormatting>
  <conditionalFormatting sqref="C49">
    <cfRule type="cellIs" dxfId="1" priority="10" stopIfTrue="1" operator="greaterThan">
      <formula>$C$51</formula>
    </cfRule>
  </conditionalFormatting>
  <conditionalFormatting sqref="D50">
    <cfRule type="cellIs" dxfId="0" priority="1" stopIfTrue="1" operator="lessThan">
      <formula>0</formula>
    </cfRule>
  </conditionalFormatting>
  <pageMargins left="0.75" right="0.75" top="1" bottom="1" header="0.5" footer="0.5"/>
  <pageSetup scale="69" orientation="portrait" blackAndWhite="1"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pageSetUpPr fitToPage="1"/>
  </sheetPr>
  <dimension ref="A1:L45"/>
  <sheetViews>
    <sheetView topLeftCell="A19" workbookViewId="0">
      <selection activeCell="F38" sqref="F38"/>
    </sheetView>
  </sheetViews>
  <sheetFormatPr defaultColWidth="8.88671875" defaultRowHeight="15.75" x14ac:dyDescent="0.2"/>
  <cols>
    <col min="1" max="1" width="11.5546875" style="43" customWidth="1"/>
    <col min="2" max="2" width="7.44140625" style="43" customWidth="1"/>
    <col min="3" max="3" width="11.5546875" style="43" customWidth="1"/>
    <col min="4" max="4" width="7.44140625" style="43" customWidth="1"/>
    <col min="5" max="5" width="11.5546875" style="43" customWidth="1"/>
    <col min="6" max="6" width="7.44140625" style="43" customWidth="1"/>
    <col min="7" max="7" width="11.5546875" style="43" customWidth="1"/>
    <col min="8" max="8" width="7.44140625" style="43" customWidth="1"/>
    <col min="9" max="9" width="11.5546875" style="43" customWidth="1"/>
    <col min="10" max="16384" width="8.88671875" style="43"/>
  </cols>
  <sheetData>
    <row r="1" spans="1:11" x14ac:dyDescent="0.2">
      <c r="A1" s="106" t="str">
        <f>inputPrYr!$D$3</f>
        <v>City of Strong City</v>
      </c>
      <c r="B1" s="184"/>
      <c r="C1" s="108"/>
      <c r="D1" s="108"/>
      <c r="E1" s="108"/>
      <c r="F1" s="264" t="s">
        <v>31</v>
      </c>
      <c r="G1" s="108"/>
      <c r="H1" s="108"/>
      <c r="I1" s="108"/>
      <c r="J1" s="108"/>
      <c r="K1" s="108">
        <f>inputPrYr!$C$6</f>
        <v>2020</v>
      </c>
    </row>
    <row r="2" spans="1:11" x14ac:dyDescent="0.2">
      <c r="A2" s="108"/>
      <c r="B2" s="108"/>
      <c r="C2" s="108"/>
      <c r="D2" s="108"/>
      <c r="E2" s="108"/>
      <c r="F2" s="265" t="str">
        <f>CONCATENATE("(Only the actual budget year for ",K1-2," is to be shown)")</f>
        <v>(Only the actual budget year for 2018 is to be shown)</v>
      </c>
      <c r="G2" s="108"/>
      <c r="H2" s="108"/>
      <c r="I2" s="108"/>
      <c r="J2" s="108"/>
      <c r="K2" s="108"/>
    </row>
    <row r="3" spans="1:11" x14ac:dyDescent="0.2">
      <c r="A3" s="108" t="s">
        <v>30</v>
      </c>
      <c r="B3" s="108"/>
      <c r="C3" s="108"/>
      <c r="D3" s="108"/>
      <c r="E3" s="108"/>
      <c r="F3" s="184"/>
      <c r="G3" s="108"/>
      <c r="H3" s="108"/>
      <c r="I3" s="108"/>
      <c r="J3" s="108"/>
      <c r="K3" s="108"/>
    </row>
    <row r="4" spans="1:11" x14ac:dyDescent="0.2">
      <c r="A4" s="108" t="s">
        <v>23</v>
      </c>
      <c r="B4" s="108"/>
      <c r="C4" s="108" t="s">
        <v>24</v>
      </c>
      <c r="D4" s="108"/>
      <c r="E4" s="108" t="s">
        <v>25</v>
      </c>
      <c r="F4" s="184"/>
      <c r="G4" s="108" t="s">
        <v>26</v>
      </c>
      <c r="H4" s="108"/>
      <c r="I4" s="108" t="s">
        <v>27</v>
      </c>
      <c r="J4" s="108"/>
      <c r="K4" s="108"/>
    </row>
    <row r="5" spans="1:11" x14ac:dyDescent="0.2">
      <c r="A5" s="984" t="str">
        <f>inputPrYr!B43</f>
        <v>Community Trail</v>
      </c>
      <c r="B5" s="985"/>
      <c r="C5" s="984" t="str">
        <f>inputPrYr!B44</f>
        <v>Equipment</v>
      </c>
      <c r="D5" s="985"/>
      <c r="E5" s="984" t="str">
        <f>inputPrYr!B45</f>
        <v>Sewer Improvement Project</v>
      </c>
      <c r="F5" s="985"/>
      <c r="G5" s="984">
        <f>inputPrYr!B46</f>
        <v>0</v>
      </c>
      <c r="H5" s="985"/>
      <c r="I5" s="984">
        <f>inputPrYr!B47</f>
        <v>0</v>
      </c>
      <c r="J5" s="985"/>
      <c r="K5" s="122"/>
    </row>
    <row r="6" spans="1:11" x14ac:dyDescent="0.2">
      <c r="A6" s="267" t="s">
        <v>28</v>
      </c>
      <c r="B6" s="268"/>
      <c r="C6" s="269" t="s">
        <v>28</v>
      </c>
      <c r="D6" s="270"/>
      <c r="E6" s="269" t="s">
        <v>28</v>
      </c>
      <c r="F6" s="271"/>
      <c r="G6" s="269" t="s">
        <v>28</v>
      </c>
      <c r="H6" s="266"/>
      <c r="I6" s="269" t="s">
        <v>28</v>
      </c>
      <c r="J6" s="108"/>
      <c r="K6" s="272" t="s">
        <v>123</v>
      </c>
    </row>
    <row r="7" spans="1:11" x14ac:dyDescent="0.2">
      <c r="A7" s="273" t="s">
        <v>69</v>
      </c>
      <c r="B7" s="274">
        <v>10931</v>
      </c>
      <c r="C7" s="275" t="s">
        <v>69</v>
      </c>
      <c r="D7" s="274">
        <v>26545</v>
      </c>
      <c r="E7" s="275" t="s">
        <v>69</v>
      </c>
      <c r="F7" s="274">
        <v>0</v>
      </c>
      <c r="G7" s="275" t="s">
        <v>69</v>
      </c>
      <c r="H7" s="274"/>
      <c r="I7" s="275" t="s">
        <v>69</v>
      </c>
      <c r="J7" s="274"/>
      <c r="K7" s="276">
        <f>SUM(B7+D7+F7+H7+J7)</f>
        <v>37476</v>
      </c>
    </row>
    <row r="8" spans="1:11" x14ac:dyDescent="0.2">
      <c r="A8" s="277" t="s">
        <v>258</v>
      </c>
      <c r="B8" s="278"/>
      <c r="C8" s="277" t="s">
        <v>258</v>
      </c>
      <c r="D8" s="279"/>
      <c r="E8" s="277" t="s">
        <v>258</v>
      </c>
      <c r="F8" s="184"/>
      <c r="G8" s="277" t="s">
        <v>258</v>
      </c>
      <c r="H8" s="108"/>
      <c r="I8" s="277" t="s">
        <v>258</v>
      </c>
      <c r="J8" s="108"/>
      <c r="K8" s="184"/>
    </row>
    <row r="9" spans="1:11" x14ac:dyDescent="0.2">
      <c r="A9" s="280"/>
      <c r="B9" s="274">
        <v>0</v>
      </c>
      <c r="C9" s="280"/>
      <c r="D9" s="274">
        <v>3600</v>
      </c>
      <c r="E9" s="280" t="s">
        <v>1150</v>
      </c>
      <c r="F9" s="274">
        <v>18320</v>
      </c>
      <c r="G9" s="280"/>
      <c r="H9" s="274"/>
      <c r="I9" s="280"/>
      <c r="J9" s="274"/>
      <c r="K9" s="184"/>
    </row>
    <row r="10" spans="1:11" x14ac:dyDescent="0.2">
      <c r="A10" s="280"/>
      <c r="B10" s="274"/>
      <c r="C10" s="280"/>
      <c r="D10" s="274"/>
      <c r="E10" s="280" t="s">
        <v>1151</v>
      </c>
      <c r="F10" s="274"/>
      <c r="G10" s="280"/>
      <c r="H10" s="274"/>
      <c r="I10" s="280"/>
      <c r="J10" s="274"/>
      <c r="K10" s="184"/>
    </row>
    <row r="11" spans="1:11" x14ac:dyDescent="0.2">
      <c r="A11" s="280"/>
      <c r="B11" s="274"/>
      <c r="C11" s="281"/>
      <c r="D11" s="282"/>
      <c r="E11" s="281" t="s">
        <v>1152</v>
      </c>
      <c r="F11" s="274"/>
      <c r="G11" s="281"/>
      <c r="H11" s="274"/>
      <c r="I11" s="283"/>
      <c r="J11" s="274"/>
      <c r="K11" s="184"/>
    </row>
    <row r="12" spans="1:11" x14ac:dyDescent="0.2">
      <c r="A12" s="280"/>
      <c r="B12" s="284"/>
      <c r="C12" s="280"/>
      <c r="D12" s="285"/>
      <c r="E12" s="286"/>
      <c r="F12" s="274"/>
      <c r="G12" s="286"/>
      <c r="H12" s="274"/>
      <c r="I12" s="286"/>
      <c r="J12" s="274"/>
      <c r="K12" s="184"/>
    </row>
    <row r="13" spans="1:11" x14ac:dyDescent="0.2">
      <c r="A13" s="287"/>
      <c r="B13" s="288"/>
      <c r="C13" s="289"/>
      <c r="D13" s="285"/>
      <c r="E13" s="289"/>
      <c r="F13" s="274"/>
      <c r="G13" s="289"/>
      <c r="H13" s="274"/>
      <c r="I13" s="283"/>
      <c r="J13" s="274"/>
      <c r="K13" s="184"/>
    </row>
    <row r="14" spans="1:11" x14ac:dyDescent="0.2">
      <c r="A14" s="280"/>
      <c r="B14" s="274"/>
      <c r="C14" s="286"/>
      <c r="D14" s="285"/>
      <c r="E14" s="286"/>
      <c r="F14" s="274"/>
      <c r="G14" s="286"/>
      <c r="H14" s="274"/>
      <c r="I14" s="286"/>
      <c r="J14" s="274"/>
      <c r="K14" s="184"/>
    </row>
    <row r="15" spans="1:11" x14ac:dyDescent="0.2">
      <c r="A15" s="280"/>
      <c r="B15" s="274"/>
      <c r="C15" s="286"/>
      <c r="D15" s="285"/>
      <c r="E15" s="286"/>
      <c r="F15" s="274"/>
      <c r="G15" s="286"/>
      <c r="H15" s="274"/>
      <c r="I15" s="286"/>
      <c r="J15" s="274"/>
      <c r="K15" s="184"/>
    </row>
    <row r="16" spans="1:11" x14ac:dyDescent="0.2">
      <c r="A16" s="280"/>
      <c r="B16" s="288"/>
      <c r="C16" s="280"/>
      <c r="D16" s="285"/>
      <c r="E16" s="280"/>
      <c r="F16" s="274"/>
      <c r="G16" s="286"/>
      <c r="H16" s="274"/>
      <c r="I16" s="280"/>
      <c r="J16" s="274"/>
      <c r="K16" s="184"/>
    </row>
    <row r="17" spans="1:12" x14ac:dyDescent="0.2">
      <c r="A17" s="277" t="s">
        <v>159</v>
      </c>
      <c r="B17" s="276">
        <f>SUM(B9:B16)</f>
        <v>0</v>
      </c>
      <c r="C17" s="277" t="s">
        <v>159</v>
      </c>
      <c r="D17" s="276">
        <f>SUM(D9:D16)</f>
        <v>3600</v>
      </c>
      <c r="E17" s="277" t="s">
        <v>159</v>
      </c>
      <c r="F17" s="290">
        <f>SUM(F9:F16)</f>
        <v>18320</v>
      </c>
      <c r="G17" s="277" t="s">
        <v>159</v>
      </c>
      <c r="H17" s="276">
        <f>SUM(H9:H16)</f>
        <v>0</v>
      </c>
      <c r="I17" s="277" t="s">
        <v>159</v>
      </c>
      <c r="J17" s="276">
        <f>SUM(J9:J16)</f>
        <v>0</v>
      </c>
      <c r="K17" s="276">
        <f>SUM(B17+D17+F17+H17+J17)</f>
        <v>21920</v>
      </c>
    </row>
    <row r="18" spans="1:12" x14ac:dyDescent="0.2">
      <c r="A18" s="277" t="s">
        <v>160</v>
      </c>
      <c r="B18" s="276">
        <f>SUM(B7+B17)</f>
        <v>10931</v>
      </c>
      <c r="C18" s="277" t="s">
        <v>160</v>
      </c>
      <c r="D18" s="276">
        <f>SUM(D7+D17)</f>
        <v>30145</v>
      </c>
      <c r="E18" s="277" t="s">
        <v>160</v>
      </c>
      <c r="F18" s="276">
        <f>SUM(F7+F17)</f>
        <v>18320</v>
      </c>
      <c r="G18" s="277" t="s">
        <v>160</v>
      </c>
      <c r="H18" s="276">
        <f>SUM(H7+H17)</f>
        <v>0</v>
      </c>
      <c r="I18" s="277" t="s">
        <v>160</v>
      </c>
      <c r="J18" s="276">
        <f>SUM(J7+J17)</f>
        <v>0</v>
      </c>
      <c r="K18" s="276">
        <f>SUM(B18+D18+F18+H18+J18)</f>
        <v>59396</v>
      </c>
    </row>
    <row r="19" spans="1:12" x14ac:dyDescent="0.2">
      <c r="A19" s="277" t="s">
        <v>161</v>
      </c>
      <c r="B19" s="278"/>
      <c r="C19" s="277" t="s">
        <v>161</v>
      </c>
      <c r="D19" s="279"/>
      <c r="E19" s="277" t="s">
        <v>161</v>
      </c>
      <c r="F19" s="184"/>
      <c r="G19" s="277" t="s">
        <v>161</v>
      </c>
      <c r="H19" s="108"/>
      <c r="I19" s="277" t="s">
        <v>161</v>
      </c>
      <c r="J19" s="108"/>
      <c r="K19" s="184"/>
    </row>
    <row r="20" spans="1:12" x14ac:dyDescent="0.2">
      <c r="A20" s="280"/>
      <c r="B20" s="274">
        <v>0</v>
      </c>
      <c r="C20" s="286"/>
      <c r="D20" s="274"/>
      <c r="E20" s="286"/>
      <c r="F20" s="274">
        <v>18320</v>
      </c>
      <c r="G20" s="286"/>
      <c r="H20" s="274"/>
      <c r="I20" s="286"/>
      <c r="J20" s="274"/>
      <c r="K20" s="184"/>
    </row>
    <row r="21" spans="1:12" x14ac:dyDescent="0.2">
      <c r="A21" s="280"/>
      <c r="B21" s="274"/>
      <c r="C21" s="286"/>
      <c r="D21" s="274"/>
      <c r="E21" s="286"/>
      <c r="F21" s="274"/>
      <c r="G21" s="286"/>
      <c r="H21" s="274"/>
      <c r="I21" s="286"/>
      <c r="J21" s="274"/>
      <c r="K21" s="184"/>
    </row>
    <row r="22" spans="1:12" x14ac:dyDescent="0.2">
      <c r="A22" s="280"/>
      <c r="B22" s="274"/>
      <c r="C22" s="289"/>
      <c r="D22" s="274"/>
      <c r="E22" s="289"/>
      <c r="F22" s="274"/>
      <c r="G22" s="289"/>
      <c r="H22" s="274"/>
      <c r="I22" s="283"/>
      <c r="J22" s="274"/>
      <c r="K22" s="184"/>
    </row>
    <row r="23" spans="1:12" x14ac:dyDescent="0.2">
      <c r="A23" s="280"/>
      <c r="B23" s="274"/>
      <c r="C23" s="286"/>
      <c r="D23" s="274"/>
      <c r="E23" s="286"/>
      <c r="F23" s="274"/>
      <c r="G23" s="286"/>
      <c r="H23" s="274"/>
      <c r="I23" s="286"/>
      <c r="J23" s="274"/>
      <c r="K23" s="184"/>
    </row>
    <row r="24" spans="1:12" x14ac:dyDescent="0.2">
      <c r="A24" s="280"/>
      <c r="B24" s="274"/>
      <c r="C24" s="289"/>
      <c r="D24" s="274"/>
      <c r="E24" s="289"/>
      <c r="F24" s="274"/>
      <c r="G24" s="289"/>
      <c r="H24" s="274"/>
      <c r="I24" s="283"/>
      <c r="J24" s="274"/>
      <c r="K24" s="184"/>
    </row>
    <row r="25" spans="1:12" x14ac:dyDescent="0.2">
      <c r="A25" s="280"/>
      <c r="B25" s="274"/>
      <c r="C25" s="286"/>
      <c r="D25" s="274"/>
      <c r="E25" s="286"/>
      <c r="F25" s="274"/>
      <c r="G25" s="286"/>
      <c r="H25" s="274"/>
      <c r="I25" s="286"/>
      <c r="J25" s="274"/>
      <c r="K25" s="184"/>
    </row>
    <row r="26" spans="1:12" x14ac:dyDescent="0.2">
      <c r="A26" s="280"/>
      <c r="B26" s="274"/>
      <c r="C26" s="286"/>
      <c r="D26" s="274"/>
      <c r="E26" s="286"/>
      <c r="F26" s="274"/>
      <c r="G26" s="286"/>
      <c r="H26" s="274"/>
      <c r="I26" s="286"/>
      <c r="J26" s="274"/>
      <c r="K26" s="184"/>
    </row>
    <row r="27" spans="1:12" x14ac:dyDescent="0.2">
      <c r="A27" s="280"/>
      <c r="B27" s="274"/>
      <c r="C27" s="280"/>
      <c r="D27" s="274"/>
      <c r="E27" s="280"/>
      <c r="F27" s="274"/>
      <c r="G27" s="286"/>
      <c r="H27" s="274"/>
      <c r="I27" s="286"/>
      <c r="J27" s="274"/>
      <c r="K27" s="184"/>
    </row>
    <row r="28" spans="1:12" x14ac:dyDescent="0.2">
      <c r="A28" s="277" t="s">
        <v>162</v>
      </c>
      <c r="B28" s="276">
        <f>SUM(B20:B27)</f>
        <v>0</v>
      </c>
      <c r="C28" s="277" t="s">
        <v>162</v>
      </c>
      <c r="D28" s="276">
        <f>SUM(D20:D27)</f>
        <v>0</v>
      </c>
      <c r="E28" s="277" t="s">
        <v>162</v>
      </c>
      <c r="F28" s="290">
        <f>SUM(F20:F27)</f>
        <v>18320</v>
      </c>
      <c r="G28" s="277" t="s">
        <v>162</v>
      </c>
      <c r="H28" s="290">
        <f>SUM(H20:H27)</f>
        <v>0</v>
      </c>
      <c r="I28" s="277" t="s">
        <v>162</v>
      </c>
      <c r="J28" s="276">
        <f>SUM(J20:J27)</f>
        <v>0</v>
      </c>
      <c r="K28" s="276">
        <f>SUM(B28+D28+F28+H28+J28)</f>
        <v>18320</v>
      </c>
    </row>
    <row r="29" spans="1:12" x14ac:dyDescent="0.2">
      <c r="A29" s="277" t="s">
        <v>29</v>
      </c>
      <c r="B29" s="276">
        <f>SUM(B18-B28)</f>
        <v>10931</v>
      </c>
      <c r="C29" s="277" t="s">
        <v>29</v>
      </c>
      <c r="D29" s="276">
        <f>SUM(D18-D28)</f>
        <v>30145</v>
      </c>
      <c r="E29" s="277" t="s">
        <v>29</v>
      </c>
      <c r="F29" s="276">
        <f>SUM(F18-F28)</f>
        <v>0</v>
      </c>
      <c r="G29" s="277" t="s">
        <v>29</v>
      </c>
      <c r="H29" s="276">
        <f>SUM(H18-H28)</f>
        <v>0</v>
      </c>
      <c r="I29" s="277" t="s">
        <v>29</v>
      </c>
      <c r="J29" s="276">
        <f>SUM(J18-J28)</f>
        <v>0</v>
      </c>
      <c r="K29" s="291">
        <f>SUM(B29+D29+F29+H29+J29)</f>
        <v>41076</v>
      </c>
      <c r="L29" s="43" t="s">
        <v>33</v>
      </c>
    </row>
    <row r="30" spans="1:12" x14ac:dyDescent="0.2">
      <c r="A30" s="277"/>
      <c r="B30" s="292" t="str">
        <f>IF(B29&lt;0,"See Tab B","")</f>
        <v/>
      </c>
      <c r="C30" s="277"/>
      <c r="D30" s="292" t="str">
        <f>IF(D29&lt;0,"See Tab B","")</f>
        <v/>
      </c>
      <c r="E30" s="277"/>
      <c r="F30" s="292" t="str">
        <f>IF(F29&lt;0,"See Tab B","")</f>
        <v/>
      </c>
      <c r="G30" s="108"/>
      <c r="H30" s="292" t="str">
        <f>IF(H29&lt;0,"See Tab B","")</f>
        <v/>
      </c>
      <c r="I30" s="108"/>
      <c r="J30" s="292" t="str">
        <f>IF(J29&lt;0,"See Tab B","")</f>
        <v/>
      </c>
      <c r="K30" s="291">
        <f>SUM(K7+K17-K28)</f>
        <v>41076</v>
      </c>
      <c r="L30" s="43" t="s">
        <v>33</v>
      </c>
    </row>
    <row r="31" spans="1:12" x14ac:dyDescent="0.2">
      <c r="A31" s="108"/>
      <c r="B31" s="293"/>
      <c r="C31" s="108"/>
      <c r="D31" s="184"/>
      <c r="E31" s="108"/>
      <c r="F31" s="108"/>
      <c r="G31" s="53" t="s">
        <v>34</v>
      </c>
      <c r="H31" s="53"/>
      <c r="I31" s="53"/>
      <c r="J31" s="53"/>
      <c r="K31" s="108"/>
    </row>
    <row r="32" spans="1:12" x14ac:dyDescent="0.2">
      <c r="A32" s="108"/>
      <c r="B32" s="293"/>
      <c r="C32" s="108"/>
      <c r="D32" s="108"/>
      <c r="E32" s="108"/>
      <c r="F32" s="108"/>
      <c r="G32" s="108"/>
      <c r="H32" s="108"/>
      <c r="I32" s="108"/>
      <c r="J32" s="108"/>
      <c r="K32" s="108"/>
    </row>
    <row r="33" spans="1:11" x14ac:dyDescent="0.2">
      <c r="A33" s="812" t="s">
        <v>1011</v>
      </c>
      <c r="B33" s="813"/>
      <c r="C33" s="814"/>
      <c r="D33" s="814"/>
      <c r="E33" s="814"/>
      <c r="F33" s="814"/>
      <c r="G33" s="814"/>
      <c r="H33" s="814"/>
      <c r="I33" s="814"/>
      <c r="J33" s="814"/>
      <c r="K33" s="815"/>
    </row>
    <row r="34" spans="1:11" x14ac:dyDescent="0.2">
      <c r="A34" s="816"/>
      <c r="B34" s="817"/>
      <c r="C34" s="818"/>
      <c r="D34" s="818"/>
      <c r="E34" s="818"/>
      <c r="F34" s="818"/>
      <c r="G34" s="818"/>
      <c r="H34" s="818"/>
      <c r="I34" s="818"/>
      <c r="J34" s="818"/>
      <c r="K34" s="819"/>
    </row>
    <row r="35" spans="1:11" x14ac:dyDescent="0.2">
      <c r="A35" s="820"/>
      <c r="B35" s="821"/>
      <c r="C35" s="122"/>
      <c r="D35" s="122"/>
      <c r="E35" s="122"/>
      <c r="F35" s="122"/>
      <c r="G35" s="122"/>
      <c r="H35" s="122"/>
      <c r="I35" s="122"/>
      <c r="J35" s="122"/>
      <c r="K35" s="822"/>
    </row>
    <row r="36" spans="1:11" x14ac:dyDescent="0.2">
      <c r="A36" s="108"/>
      <c r="B36" s="293"/>
      <c r="C36" s="108"/>
      <c r="D36" s="108"/>
      <c r="E36" s="108"/>
      <c r="F36" s="108"/>
      <c r="G36" s="108"/>
      <c r="H36" s="108"/>
      <c r="I36" s="108"/>
      <c r="J36" s="108"/>
      <c r="K36" s="108"/>
    </row>
    <row r="37" spans="1:11" x14ac:dyDescent="0.2">
      <c r="A37" s="108"/>
      <c r="B37" s="293"/>
      <c r="C37" s="108"/>
      <c r="D37" s="108"/>
      <c r="E37" s="294" t="s">
        <v>165</v>
      </c>
      <c r="F37" s="747">
        <v>11</v>
      </c>
      <c r="G37" s="108"/>
      <c r="H37" s="108"/>
      <c r="I37" s="108"/>
      <c r="J37" s="108"/>
      <c r="K37" s="108"/>
    </row>
    <row r="38" spans="1:11" x14ac:dyDescent="0.2">
      <c r="B38" s="295"/>
    </row>
    <row r="39" spans="1:11" x14ac:dyDescent="0.2">
      <c r="B39" s="295"/>
    </row>
    <row r="40" spans="1:11" x14ac:dyDescent="0.2">
      <c r="B40" s="295"/>
    </row>
    <row r="41" spans="1:11" x14ac:dyDescent="0.2">
      <c r="B41" s="295"/>
    </row>
    <row r="42" spans="1:11" x14ac:dyDescent="0.2">
      <c r="B42" s="295"/>
    </row>
    <row r="43" spans="1:11" x14ac:dyDescent="0.2">
      <c r="B43" s="295"/>
    </row>
    <row r="44" spans="1:11" x14ac:dyDescent="0.2">
      <c r="B44" s="295"/>
    </row>
    <row r="45" spans="1:11" x14ac:dyDescent="0.2">
      <c r="B45" s="295"/>
    </row>
  </sheetData>
  <sheetProtection sheet="1"/>
  <mergeCells count="5">
    <mergeCell ref="I5:J5"/>
    <mergeCell ref="A5:B5"/>
    <mergeCell ref="C5:D5"/>
    <mergeCell ref="E5:F5"/>
    <mergeCell ref="G5:H5"/>
  </mergeCells>
  <phoneticPr fontId="10" type="noConversion"/>
  <pageMargins left="0.75" right="0.75" top="1" bottom="1" header="0.5" footer="0.5"/>
  <pageSetup scale="82" orientation="landscape"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66"/>
  <sheetViews>
    <sheetView workbookViewId="0">
      <selection activeCell="N103" sqref="N103"/>
    </sheetView>
  </sheetViews>
  <sheetFormatPr defaultColWidth="8.88671875" defaultRowHeight="15" x14ac:dyDescent="0.2"/>
  <cols>
    <col min="1" max="1" width="70.5546875" style="105" customWidth="1"/>
    <col min="2" max="16384" width="8.88671875" style="105"/>
  </cols>
  <sheetData>
    <row r="1" spans="1:1" ht="18.75" x14ac:dyDescent="0.3">
      <c r="A1" s="320" t="s">
        <v>311</v>
      </c>
    </row>
    <row r="2" spans="1:1" ht="15.75" x14ac:dyDescent="0.25">
      <c r="A2" s="1"/>
    </row>
    <row r="3" spans="1:1" ht="57" customHeight="1" x14ac:dyDescent="0.25">
      <c r="A3" s="321" t="s">
        <v>312</v>
      </c>
    </row>
    <row r="4" spans="1:1" ht="15.75" x14ac:dyDescent="0.25">
      <c r="A4" s="319"/>
    </row>
    <row r="5" spans="1:1" ht="15.75" x14ac:dyDescent="0.25">
      <c r="A5" s="1"/>
    </row>
    <row r="6" spans="1:1" ht="44.25" customHeight="1" x14ac:dyDescent="0.25">
      <c r="A6" s="321" t="s">
        <v>313</v>
      </c>
    </row>
    <row r="7" spans="1:1" ht="15.75" x14ac:dyDescent="0.25">
      <c r="A7" s="1"/>
    </row>
    <row r="8" spans="1:1" ht="15.75" x14ac:dyDescent="0.25">
      <c r="A8" s="319"/>
    </row>
    <row r="9" spans="1:1" ht="46.5" customHeight="1" x14ac:dyDescent="0.25">
      <c r="A9" s="321" t="s">
        <v>314</v>
      </c>
    </row>
    <row r="10" spans="1:1" ht="15.75" x14ac:dyDescent="0.25">
      <c r="A10" s="1"/>
    </row>
    <row r="11" spans="1:1" ht="15.75" x14ac:dyDescent="0.25">
      <c r="A11" s="319"/>
    </row>
    <row r="12" spans="1:1" ht="60" customHeight="1" x14ac:dyDescent="0.25">
      <c r="A12" s="321" t="s">
        <v>315</v>
      </c>
    </row>
    <row r="13" spans="1:1" ht="15.75" x14ac:dyDescent="0.25">
      <c r="A13" s="1"/>
    </row>
    <row r="14" spans="1:1" ht="15.75" x14ac:dyDescent="0.25">
      <c r="A14" s="1"/>
    </row>
    <row r="15" spans="1:1" ht="61.5" customHeight="1" x14ac:dyDescent="0.25">
      <c r="A15" s="321" t="s">
        <v>316</v>
      </c>
    </row>
    <row r="16" spans="1:1" ht="15.75" x14ac:dyDescent="0.25">
      <c r="A16" s="1"/>
    </row>
    <row r="17" spans="1:1" ht="15.75" x14ac:dyDescent="0.25">
      <c r="A17" s="1"/>
    </row>
    <row r="18" spans="1:1" ht="59.25" customHeight="1" x14ac:dyDescent="0.25">
      <c r="A18" s="321" t="s">
        <v>317</v>
      </c>
    </row>
    <row r="19" spans="1:1" ht="15.75" x14ac:dyDescent="0.25">
      <c r="A19" s="1"/>
    </row>
    <row r="20" spans="1:1" ht="15.75" x14ac:dyDescent="0.25">
      <c r="A20" s="1"/>
    </row>
    <row r="21" spans="1:1" ht="61.5" customHeight="1" x14ac:dyDescent="0.25">
      <c r="A21" s="321" t="s">
        <v>318</v>
      </c>
    </row>
    <row r="22" spans="1:1" ht="15.75" x14ac:dyDescent="0.25">
      <c r="A22" s="319"/>
    </row>
    <row r="23" spans="1:1" ht="15.75" x14ac:dyDescent="0.25">
      <c r="A23" s="319"/>
    </row>
    <row r="24" spans="1:1" ht="63" customHeight="1" x14ac:dyDescent="0.25">
      <c r="A24" s="321" t="s">
        <v>319</v>
      </c>
    </row>
    <row r="25" spans="1:1" ht="15.75" x14ac:dyDescent="0.25">
      <c r="A25" s="1"/>
    </row>
    <row r="26" spans="1:1" ht="15.75" x14ac:dyDescent="0.25">
      <c r="A26" s="1"/>
    </row>
    <row r="27" spans="1:1" ht="52.5" customHeight="1" x14ac:dyDescent="0.25">
      <c r="A27" s="456" t="s">
        <v>625</v>
      </c>
    </row>
    <row r="28" spans="1:1" ht="15.75" x14ac:dyDescent="0.25">
      <c r="A28" s="1"/>
    </row>
    <row r="29" spans="1:1" ht="15.75" x14ac:dyDescent="0.25">
      <c r="A29" s="1"/>
    </row>
    <row r="30" spans="1:1" ht="44.25" customHeight="1" x14ac:dyDescent="0.25">
      <c r="A30" s="321" t="s">
        <v>320</v>
      </c>
    </row>
    <row r="31" spans="1:1" ht="15.75" x14ac:dyDescent="0.25">
      <c r="A31" s="1"/>
    </row>
    <row r="32" spans="1:1" ht="15.75" x14ac:dyDescent="0.25">
      <c r="A32" s="1"/>
    </row>
    <row r="33" spans="1:1" ht="42.75" customHeight="1" x14ac:dyDescent="0.25">
      <c r="A33" s="321" t="s">
        <v>321</v>
      </c>
    </row>
    <row r="34" spans="1:1" ht="15.75" x14ac:dyDescent="0.25">
      <c r="A34" s="319"/>
    </row>
    <row r="35" spans="1:1" ht="15.75" x14ac:dyDescent="0.25">
      <c r="A35" s="319"/>
    </row>
    <row r="36" spans="1:1" ht="38.25" customHeight="1" x14ac:dyDescent="0.25">
      <c r="A36" s="321" t="s">
        <v>322</v>
      </c>
    </row>
    <row r="37" spans="1:1" ht="15.75" x14ac:dyDescent="0.25">
      <c r="A37" s="319"/>
    </row>
    <row r="38" spans="1:1" ht="15.75" x14ac:dyDescent="0.25">
      <c r="A38" s="1"/>
    </row>
    <row r="39" spans="1:1" ht="75.75" customHeight="1" x14ac:dyDescent="0.25">
      <c r="A39" s="321" t="s">
        <v>323</v>
      </c>
    </row>
    <row r="40" spans="1:1" ht="15.75" x14ac:dyDescent="0.25">
      <c r="A40" s="1"/>
    </row>
    <row r="41" spans="1:1" ht="15.75" x14ac:dyDescent="0.25">
      <c r="A41" s="1"/>
    </row>
    <row r="42" spans="1:1" ht="57.75" customHeight="1" x14ac:dyDescent="0.25">
      <c r="A42" s="321" t="s">
        <v>324</v>
      </c>
    </row>
    <row r="43" spans="1:1" ht="15.75" x14ac:dyDescent="0.25">
      <c r="A43" s="319"/>
    </row>
    <row r="44" spans="1:1" ht="15.75" x14ac:dyDescent="0.25">
      <c r="A44" s="1"/>
    </row>
    <row r="45" spans="1:1" ht="57.75" customHeight="1" x14ac:dyDescent="0.25">
      <c r="A45" s="321" t="s">
        <v>325</v>
      </c>
    </row>
    <row r="46" spans="1:1" ht="15.75" x14ac:dyDescent="0.25">
      <c r="A46" s="1"/>
    </row>
    <row r="47" spans="1:1" ht="15.75" x14ac:dyDescent="0.25">
      <c r="A47" s="1"/>
    </row>
    <row r="48" spans="1:1" ht="41.25" customHeight="1" x14ac:dyDescent="0.25">
      <c r="A48" s="321" t="s">
        <v>326</v>
      </c>
    </row>
    <row r="49" spans="1:1" ht="15.75" x14ac:dyDescent="0.25">
      <c r="A49" s="1"/>
    </row>
    <row r="50" spans="1:1" ht="15.75" x14ac:dyDescent="0.25">
      <c r="A50" s="1"/>
    </row>
    <row r="51" spans="1:1" ht="75" customHeight="1" x14ac:dyDescent="0.25">
      <c r="A51" s="321" t="s">
        <v>327</v>
      </c>
    </row>
    <row r="52" spans="1:1" ht="15.75" x14ac:dyDescent="0.25">
      <c r="A52" s="319"/>
    </row>
    <row r="53" spans="1:1" ht="15.75" x14ac:dyDescent="0.25">
      <c r="A53" s="319"/>
    </row>
    <row r="54" spans="1:1" ht="57.75" customHeight="1" x14ac:dyDescent="0.25">
      <c r="A54" s="321" t="s">
        <v>328</v>
      </c>
    </row>
    <row r="55" spans="1:1" ht="15.75" x14ac:dyDescent="0.25">
      <c r="A55" s="1"/>
    </row>
    <row r="56" spans="1:1" ht="15.75" x14ac:dyDescent="0.25">
      <c r="A56" s="1"/>
    </row>
    <row r="57" spans="1:1" ht="44.25" customHeight="1" x14ac:dyDescent="0.25">
      <c r="A57" s="321" t="s">
        <v>329</v>
      </c>
    </row>
    <row r="58" spans="1:1" ht="15.75" x14ac:dyDescent="0.25">
      <c r="A58" s="1"/>
    </row>
    <row r="59" spans="1:1" ht="15.75" x14ac:dyDescent="0.25">
      <c r="A59" s="1"/>
    </row>
    <row r="60" spans="1:1" ht="60" customHeight="1" x14ac:dyDescent="0.25">
      <c r="A60" s="321" t="s">
        <v>330</v>
      </c>
    </row>
    <row r="61" spans="1:1" ht="15.75" x14ac:dyDescent="0.25">
      <c r="A61" s="319"/>
    </row>
    <row r="62" spans="1:1" ht="15.75" x14ac:dyDescent="0.25">
      <c r="A62" s="319"/>
    </row>
    <row r="63" spans="1:1" ht="57.75" customHeight="1" x14ac:dyDescent="0.25">
      <c r="A63" s="321" t="s">
        <v>331</v>
      </c>
    </row>
    <row r="64" spans="1:1" ht="15.75" x14ac:dyDescent="0.25">
      <c r="A64" s="1"/>
    </row>
    <row r="65" spans="1:1" ht="15.75" x14ac:dyDescent="0.25">
      <c r="A65" s="1"/>
    </row>
    <row r="66" spans="1:1" ht="60" customHeight="1" x14ac:dyDescent="0.25">
      <c r="A66" s="321" t="s">
        <v>332</v>
      </c>
    </row>
  </sheetData>
  <sheetProtection sheet="1"/>
  <pageMargins left="0.7" right="0.7" top="0.75" bottom="0.75" header="0.3" footer="0.3"/>
  <pageSetup orientation="portrait" r:id="rId1"/>
  <headerFooter>
    <oddFooter>&amp;Lrevised 10/2/09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249977111117893"/>
    <pageSetUpPr fitToPage="1"/>
  </sheetPr>
  <dimension ref="A1:Q169"/>
  <sheetViews>
    <sheetView zoomScale="75" workbookViewId="0">
      <selection activeCell="F39" sqref="F39"/>
    </sheetView>
  </sheetViews>
  <sheetFormatPr defaultColWidth="8.88671875" defaultRowHeight="15.75" x14ac:dyDescent="0.2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x14ac:dyDescent="0.25">
      <c r="A1" s="6"/>
      <c r="B1" s="6"/>
      <c r="C1" s="6"/>
      <c r="D1" s="6"/>
      <c r="E1" s="6"/>
      <c r="F1" s="6"/>
      <c r="G1" s="6"/>
      <c r="H1" s="22">
        <f>inputPrYr!$C$6</f>
        <v>2020</v>
      </c>
    </row>
    <row r="2" spans="1:8" x14ac:dyDescent="0.25">
      <c r="A2" s="987" t="s">
        <v>209</v>
      </c>
      <c r="B2" s="987"/>
      <c r="C2" s="987"/>
      <c r="D2" s="987"/>
      <c r="E2" s="987"/>
      <c r="F2" s="987"/>
      <c r="G2" s="987"/>
      <c r="H2" s="987"/>
    </row>
    <row r="3" spans="1:8" x14ac:dyDescent="0.25">
      <c r="A3" s="6"/>
      <c r="B3" s="6"/>
      <c r="C3" s="6"/>
      <c r="D3" s="6"/>
      <c r="E3" s="6"/>
      <c r="F3" s="6"/>
      <c r="G3" s="6"/>
      <c r="H3" s="6"/>
    </row>
    <row r="4" spans="1:8" x14ac:dyDescent="0.25">
      <c r="A4" s="986" t="s">
        <v>170</v>
      </c>
      <c r="B4" s="986"/>
      <c r="C4" s="986"/>
      <c r="D4" s="986"/>
      <c r="E4" s="986"/>
      <c r="F4" s="986"/>
      <c r="G4" s="986"/>
      <c r="H4" s="986"/>
    </row>
    <row r="5" spans="1:8" x14ac:dyDescent="0.25">
      <c r="A5" s="988" t="str">
        <f>inputPrYr!D3</f>
        <v>City of Strong City</v>
      </c>
      <c r="B5" s="988"/>
      <c r="C5" s="988"/>
      <c r="D5" s="988"/>
      <c r="E5" s="988"/>
      <c r="F5" s="988"/>
      <c r="G5" s="988"/>
      <c r="H5" s="988"/>
    </row>
    <row r="6" spans="1:8" x14ac:dyDescent="0.25">
      <c r="A6" s="989" t="str">
        <f>CONCATENATE("will meet on ",inputBudSum!B7," at ",inputBudSum!B9," at ",inputBudSum!B11," for the purpose of hearing and")</f>
        <v>will meet on August 13, 2019 at 7:00 p.m. at City Hall for the purpose of hearing and</v>
      </c>
      <c r="B6" s="989"/>
      <c r="C6" s="989"/>
      <c r="D6" s="989"/>
      <c r="E6" s="989"/>
      <c r="F6" s="989"/>
      <c r="G6" s="989"/>
      <c r="H6" s="989"/>
    </row>
    <row r="7" spans="1:8" x14ac:dyDescent="0.25">
      <c r="A7" s="986" t="s">
        <v>585</v>
      </c>
      <c r="B7" s="986"/>
      <c r="C7" s="986"/>
      <c r="D7" s="986"/>
      <c r="E7" s="986"/>
      <c r="F7" s="986"/>
      <c r="G7" s="986"/>
      <c r="H7" s="986"/>
    </row>
    <row r="8" spans="1:8" x14ac:dyDescent="0.25">
      <c r="A8" s="986" t="str">
        <f>CONCATENATE("Detailed budget information is available at ",inputBudSum!B14," and will be available at this hearing.")</f>
        <v>Detailed budget information is available at City Hall and will be available at this hearing.</v>
      </c>
      <c r="B8" s="986"/>
      <c r="C8" s="986"/>
      <c r="D8" s="986"/>
      <c r="E8" s="986"/>
      <c r="F8" s="986"/>
      <c r="G8" s="986"/>
      <c r="H8" s="986"/>
    </row>
    <row r="9" spans="1:8" x14ac:dyDescent="0.25">
      <c r="A9" s="16" t="s">
        <v>210</v>
      </c>
      <c r="B9" s="9"/>
      <c r="C9" s="9"/>
      <c r="D9" s="9"/>
      <c r="E9" s="9"/>
      <c r="F9" s="9"/>
      <c r="G9" s="9"/>
      <c r="H9" s="9"/>
    </row>
    <row r="10" spans="1:8" x14ac:dyDescent="0.25">
      <c r="A10" s="17" t="str">
        <f>CONCATENATE("Proposed Budget ",H1," Expenditures and Amount of ",D13," Ad Valorem Tax establish the maximum limits of the ",H1," budget.")</f>
        <v>Proposed Budget 2020 Expenditures and Amount of Current Year Estimate for 2019 Ad Valorem Tax establish the maximum limits of the 2020 budget.</v>
      </c>
      <c r="B10" s="18"/>
      <c r="C10" s="18"/>
      <c r="D10" s="18"/>
      <c r="E10" s="18"/>
      <c r="F10" s="18"/>
      <c r="G10" s="18"/>
      <c r="H10" s="18"/>
    </row>
    <row r="11" spans="1:8" x14ac:dyDescent="0.25">
      <c r="A11" s="8" t="s">
        <v>265</v>
      </c>
      <c r="B11" s="9"/>
      <c r="C11" s="9"/>
      <c r="D11" s="9"/>
      <c r="E11" s="9"/>
      <c r="F11" s="9"/>
      <c r="G11" s="9"/>
      <c r="H11" s="9"/>
    </row>
    <row r="12" spans="1:8" x14ac:dyDescent="0.25">
      <c r="A12" s="6"/>
      <c r="B12" s="19"/>
      <c r="C12" s="19"/>
      <c r="D12" s="19"/>
      <c r="E12" s="19"/>
      <c r="F12" s="19"/>
      <c r="G12" s="19"/>
      <c r="H12" s="19"/>
    </row>
    <row r="13" spans="1:8" x14ac:dyDescent="0.25">
      <c r="A13" s="6"/>
      <c r="B13" s="664" t="str">
        <f>CONCATENATE("Prior Year Actual for ",H1-2,"")</f>
        <v>Prior Year Actual for 2018</v>
      </c>
      <c r="C13" s="145"/>
      <c r="D13" s="664" t="str">
        <f>CONCATENATE("Current Year Estimate for ",H1-1,"")</f>
        <v>Current Year Estimate for 2019</v>
      </c>
      <c r="E13" s="145"/>
      <c r="F13" s="665" t="str">
        <f>CONCATENATE("Proposed Budget for ",H1,"")</f>
        <v>Proposed Budget for 2020</v>
      </c>
      <c r="G13" s="666"/>
      <c r="H13" s="145"/>
    </row>
    <row r="14" spans="1:8" ht="22.5" customHeight="1" x14ac:dyDescent="0.25">
      <c r="A14" s="6"/>
      <c r="B14" s="10"/>
      <c r="C14" s="10" t="s">
        <v>166</v>
      </c>
      <c r="D14" s="10"/>
      <c r="E14" s="10" t="s">
        <v>166</v>
      </c>
      <c r="F14" s="10" t="s">
        <v>47</v>
      </c>
      <c r="G14" s="24" t="str">
        <f>CONCATENATE("Amount of ",H1-1,"")</f>
        <v>Amount of 2019</v>
      </c>
      <c r="H14" s="10" t="s">
        <v>5</v>
      </c>
    </row>
    <row r="15" spans="1:8" ht="17.25" customHeight="1" x14ac:dyDescent="0.25">
      <c r="A15" s="20" t="s">
        <v>171</v>
      </c>
      <c r="B15" s="11" t="s">
        <v>134</v>
      </c>
      <c r="C15" s="11" t="s">
        <v>172</v>
      </c>
      <c r="D15" s="11" t="s">
        <v>3</v>
      </c>
      <c r="E15" s="11" t="s">
        <v>172</v>
      </c>
      <c r="F15" s="11" t="s">
        <v>613</v>
      </c>
      <c r="G15" s="15" t="s">
        <v>152</v>
      </c>
      <c r="H15" s="11" t="s">
        <v>172</v>
      </c>
    </row>
    <row r="16" spans="1:8" x14ac:dyDescent="0.25">
      <c r="A16" s="71" t="s">
        <v>119</v>
      </c>
      <c r="B16" s="188">
        <f>IF((general!$C$65)&lt;&gt;0,general!$C$65,"  ")</f>
        <v>233579</v>
      </c>
      <c r="C16" s="667">
        <f>IF(inputPrYr!D52&gt;0,inputPrYr!D52,"  ")</f>
        <v>53.488</v>
      </c>
      <c r="D16" s="188">
        <f>IF((general!$D$65)&lt;&gt;0,general!$D$65,"  ")</f>
        <v>353745</v>
      </c>
      <c r="E16" s="667">
        <f>IF(inputOth!D22&gt;0,inputOth!D22,"  ")</f>
        <v>53.503</v>
      </c>
      <c r="F16" s="188">
        <f>IF((general!$E$65)&lt;&gt;0,general!$E$65,"  ")</f>
        <v>439720</v>
      </c>
      <c r="G16" s="188">
        <f>IF((general!$E$72)&lt;&gt;0,(general!$E$72),"  ")</f>
        <v>112449</v>
      </c>
      <c r="H16" s="667">
        <f>IF((general!E72&gt;0),ROUND(G16/$F$35*1000,3),"  ")</f>
        <v>53.328000000000003</v>
      </c>
    </row>
    <row r="17" spans="1:13" x14ac:dyDescent="0.25">
      <c r="A17" s="71" t="s">
        <v>101</v>
      </c>
      <c r="B17" s="188" t="str">
        <f>IF(('DebtSvs-Library'!$C$34)&lt;&gt;0,('DebtSvs-Library'!$C$34),"  ")</f>
        <v xml:space="preserve">  </v>
      </c>
      <c r="C17" s="667" t="str">
        <f>IF(inputPrYr!D53&gt;0,inputPrYr!D53,"  ")</f>
        <v xml:space="preserve">  </v>
      </c>
      <c r="D17" s="188" t="str">
        <f>IF(('DebtSvs-Library'!$D$34)&lt;&gt;0,('DebtSvs-Library'!$D$34),"  ")</f>
        <v xml:space="preserve">  </v>
      </c>
      <c r="E17" s="667" t="str">
        <f>IF(inputOth!D23&gt;0,inputOth!D23,"  ")</f>
        <v xml:space="preserve">  </v>
      </c>
      <c r="F17" s="188" t="str">
        <f>IF(('DebtSvs-Library'!$E$34)&lt;&gt;0,('DebtSvs-Library'!$E$34),"  ")</f>
        <v xml:space="preserve">  </v>
      </c>
      <c r="G17" s="188" t="str">
        <f>IF(('DebtSvs-Library'!$E$41)&lt;&gt;0,('DebtSvs-Library'!$E$41),"  ")</f>
        <v xml:space="preserve">  </v>
      </c>
      <c r="H17" s="667" t="str">
        <f>IF(('DebtSvs-Library'!E41&gt;0),ROUND(G17/$F$35*1000,3),"  ")</f>
        <v xml:space="preserve">  </v>
      </c>
    </row>
    <row r="18" spans="1:13" x14ac:dyDescent="0.25">
      <c r="A18" s="92" t="str">
        <f>IF((inputPrYr!$B24&gt;"  "),(inputPrYr!$B24),"  ")</f>
        <v>Library</v>
      </c>
      <c r="B18" s="188" t="str">
        <f>IF(('DebtSvs-Library'!$C$75)&lt;&gt;0,('DebtSvs-Library'!$C$75),"  ")</f>
        <v xml:space="preserve">  </v>
      </c>
      <c r="C18" s="667" t="str">
        <f>IF(inputPrYr!D54&gt;0,inputPrYr!D54,"  ")</f>
        <v xml:space="preserve">  </v>
      </c>
      <c r="D18" s="188" t="str">
        <f>IF(('DebtSvs-Library'!$D$75)&lt;&gt;0,('DebtSvs-Library'!$D$75),"  ")</f>
        <v xml:space="preserve">  </v>
      </c>
      <c r="E18" s="667" t="str">
        <f>IF(inputOth!D24&gt;0,inputOth!D24,"  ")</f>
        <v xml:space="preserve">  </v>
      </c>
      <c r="F18" s="188" t="str">
        <f>IF(('DebtSvs-Library'!$E$75)&lt;&gt;0,('DebtSvs-Library'!$E$75),"  ")</f>
        <v xml:space="preserve">  </v>
      </c>
      <c r="G18" s="188" t="str">
        <f>IF(('DebtSvs-Library'!$E$82)&lt;&gt;0,('DebtSvs-Library'!$E$82),"  ")</f>
        <v xml:space="preserve">  </v>
      </c>
      <c r="H18" s="667" t="str">
        <f>IF(('DebtSvs-Library'!E82&gt;0),ROUND(G18/$F$35*1000,3),"")</f>
        <v/>
      </c>
    </row>
    <row r="19" spans="1:13" x14ac:dyDescent="0.25">
      <c r="A19" s="92" t="str">
        <f>IF((inputPrYr!$B26&gt;"  "),(inputPrYr!$B26),"  ")</f>
        <v xml:space="preserve">  </v>
      </c>
      <c r="B19" s="188" t="str">
        <f>IF(('levy page9'!$C$34)&lt;&gt;0,('levy page9'!$C$34),"  ")</f>
        <v xml:space="preserve">  </v>
      </c>
      <c r="C19" s="667" t="str">
        <f>IF(inputPrYr!D55&gt;0,inputPrYr!D55,"  ")</f>
        <v xml:space="preserve">  </v>
      </c>
      <c r="D19" s="188" t="str">
        <f>IF(('levy page9'!$D$34)&lt;&gt;0,('levy page9'!$D$34),"  ")</f>
        <v xml:space="preserve">  </v>
      </c>
      <c r="E19" s="667" t="str">
        <f>IF(inputOth!D25&gt;0,inputOth!D25,"  ")</f>
        <v xml:space="preserve">  </v>
      </c>
      <c r="F19" s="188" t="str">
        <f>IF(('levy page9'!$E$34)&lt;&gt;0,('levy page9'!$E$34),"  ")</f>
        <v xml:space="preserve">  </v>
      </c>
      <c r="G19" s="188" t="str">
        <f>IF(('levy page9'!$E$41)&lt;&gt;0,('levy page9'!$E$41),"  ")</f>
        <v xml:space="preserve">  </v>
      </c>
      <c r="H19" s="667" t="str">
        <f>IF('levy page9'!E41&gt;0,ROUND(G19/$F$35*1000,3),"  ")</f>
        <v xml:space="preserve">  </v>
      </c>
    </row>
    <row r="20" spans="1:13" x14ac:dyDescent="0.25">
      <c r="A20" s="92" t="str">
        <f>IF((inputPrYr!$B27&gt;"  "),(inputPrYr!$B27),"  ")</f>
        <v xml:space="preserve">  </v>
      </c>
      <c r="B20" s="188" t="str">
        <f>IF(('levy page9'!$C$75)&lt;&gt;0,('levy page9'!$C$75),"  ")</f>
        <v xml:space="preserve">  </v>
      </c>
      <c r="C20" s="667" t="str">
        <f>IF(inputPrYr!D56&gt;0,inputPrYr!D56,"  ")</f>
        <v xml:space="preserve">  </v>
      </c>
      <c r="D20" s="188" t="str">
        <f>IF(('levy page9'!$D$75)&lt;&gt;0,('levy page9'!$D$75),"  ")</f>
        <v xml:space="preserve">  </v>
      </c>
      <c r="E20" s="667" t="str">
        <f>IF(inputOth!D26&gt;0,inputOth!D26,"  ")</f>
        <v xml:space="preserve">  </v>
      </c>
      <c r="F20" s="188" t="str">
        <f>IF(('levy page9'!$E$75)&lt;&gt;0,('levy page9'!$E$75),"  ")</f>
        <v xml:space="preserve">  </v>
      </c>
      <c r="G20" s="188" t="str">
        <f>IF(('levy page9'!$E$82)&lt;&gt;0,('levy page9'!$E$82),"  ")</f>
        <v xml:space="preserve">  </v>
      </c>
      <c r="H20" s="667" t="str">
        <f>IF('levy page9'!E82&gt;0,ROUND(G20/$F$35*1000,3),"  ")</f>
        <v xml:space="preserve">  </v>
      </c>
      <c r="J20" s="990" t="str">
        <f>CONCATENATE("Estimated Value Of One Mill For ",H1,"")</f>
        <v>Estimated Value Of One Mill For 2020</v>
      </c>
      <c r="K20" s="993"/>
      <c r="L20" s="993"/>
      <c r="M20" s="994"/>
    </row>
    <row r="21" spans="1:13" x14ac:dyDescent="0.25">
      <c r="A21" s="92" t="str">
        <f>IF((inputPrYr!$B28&gt;"  "),(inputPrYr!$B28),"  ")</f>
        <v xml:space="preserve">  </v>
      </c>
      <c r="B21" s="188" t="str">
        <f>IF(('levy page10'!$C$34)&lt;&gt;0,('levy page10'!$C$34),"  ")</f>
        <v xml:space="preserve">  </v>
      </c>
      <c r="C21" s="667" t="str">
        <f>IF(inputPrYr!D57&gt;0,inputPrYr!D57,"  ")</f>
        <v xml:space="preserve">  </v>
      </c>
      <c r="D21" s="188" t="str">
        <f>IF(('levy page10'!$D$34)&lt;&gt;0,('levy page10'!$D$34),"  ")</f>
        <v xml:space="preserve">  </v>
      </c>
      <c r="E21" s="667" t="str">
        <f>IF(inputOth!D27&gt;0,inputOth!D27,"  ")</f>
        <v xml:space="preserve">  </v>
      </c>
      <c r="F21" s="188" t="str">
        <f>IF(('levy page10'!$E$34)&lt;&gt;0,('levy page10'!$E$34),"  ")</f>
        <v xml:space="preserve">  </v>
      </c>
      <c r="G21" s="188" t="str">
        <f>IF(('levy page10'!$E$41)&lt;&gt;0,('levy page10'!$E$41),"  ")</f>
        <v xml:space="preserve">  </v>
      </c>
      <c r="H21" s="667" t="str">
        <f>IF('levy page10'!E41&gt;0,ROUND(G21/$F$35*1000,3),"  ")</f>
        <v xml:space="preserve">  </v>
      </c>
      <c r="J21" s="459"/>
      <c r="K21" s="460"/>
      <c r="L21" s="460"/>
      <c r="M21" s="461"/>
    </row>
    <row r="22" spans="1:13" x14ac:dyDescent="0.25">
      <c r="A22" s="92" t="str">
        <f>IF((inputPrYr!$B29&gt;"  "),(inputPrYr!$B29),"  ")</f>
        <v xml:space="preserve">  </v>
      </c>
      <c r="B22" s="188" t="str">
        <f>IF(('levy page10'!$C$75)&lt;&gt;0,('levy page10'!$C$75),"  ")</f>
        <v xml:space="preserve">  </v>
      </c>
      <c r="C22" s="667" t="str">
        <f>IF(inputPrYr!D58&gt;0,inputPrYr!D58,"  ")</f>
        <v xml:space="preserve">  </v>
      </c>
      <c r="D22" s="188" t="str">
        <f>IF(('levy page10'!$D$75)&lt;&gt;0,('levy page10'!$D$75),"  ")</f>
        <v xml:space="preserve">  </v>
      </c>
      <c r="E22" s="667" t="str">
        <f>IF(inputOth!D28&gt;0,inputOth!D28,"  ")</f>
        <v xml:space="preserve">  </v>
      </c>
      <c r="F22" s="188" t="str">
        <f>IF(('levy page10'!$E$75)&lt;&gt;0,('levy page10'!$E$75),"  ")</f>
        <v xml:space="preserve">  </v>
      </c>
      <c r="G22" s="188" t="str">
        <f>IF(('levy page10'!$E$82)&lt;&gt;0,('levy page10'!$E$82),"  ")</f>
        <v xml:space="preserve">  </v>
      </c>
      <c r="H22" s="667" t="str">
        <f>IF('levy page10'!E82&gt;0,ROUND(G22/$F$35*1000,3),"  ")</f>
        <v xml:space="preserve">  </v>
      </c>
      <c r="J22" s="462" t="s">
        <v>624</v>
      </c>
      <c r="K22" s="463"/>
      <c r="L22" s="463"/>
      <c r="M22" s="748">
        <f>ROUND(F35/1000,0)</f>
        <v>2109</v>
      </c>
    </row>
    <row r="23" spans="1:13" x14ac:dyDescent="0.25">
      <c r="A23" s="92" t="str">
        <f>IF((inputPrYr!$B33&gt;"  "),(inputPrYr!$B33),"  ")</f>
        <v>Special Highway</v>
      </c>
      <c r="B23" s="188">
        <f>IF((SpecHwy!$C$25)&lt;&gt;0,(SpecHwy!$C$25),"  ")</f>
        <v>6100</v>
      </c>
      <c r="C23" s="161"/>
      <c r="D23" s="188">
        <f>IF((SpecHwy!$D$25)&lt;&gt;0,(SpecHwy!$D$25),"  ")</f>
        <v>25501</v>
      </c>
      <c r="E23" s="161"/>
      <c r="F23" s="188">
        <f>IF((SpecHwy!$E$25)&lt;&gt;0,(SpecHwy!$E$25),"  ")</f>
        <v>26000</v>
      </c>
      <c r="G23" s="161"/>
      <c r="H23" s="161"/>
    </row>
    <row r="24" spans="1:13" x14ac:dyDescent="0.25">
      <c r="A24" s="92" t="str">
        <f>IF((inputPrYr!$B34&gt;"  "),(inputPrYr!$B34),"  ")</f>
        <v>Special Parks</v>
      </c>
      <c r="B24" s="188">
        <f>IF((SpecHwy!$C$59)&lt;&gt;0,(SpecHwy!$C$59),"  ")</f>
        <v>3867</v>
      </c>
      <c r="C24" s="161"/>
      <c r="D24" s="188">
        <f>IF((SpecHwy!$D$59)&lt;&gt;0,(SpecHwy!$D$59),"  ")</f>
        <v>47331</v>
      </c>
      <c r="E24" s="161"/>
      <c r="F24" s="188">
        <f>IF((SpecHwy!$E$59)&lt;&gt;0,(SpecHwy!$E$59),"  ")</f>
        <v>50000</v>
      </c>
      <c r="G24" s="161"/>
      <c r="H24" s="161"/>
      <c r="J24" s="990" t="str">
        <f>CONCATENATE("Want The Mill Rate The Same As For ",H1-1,"?")</f>
        <v>Want The Mill Rate The Same As For 2019?</v>
      </c>
      <c r="K24" s="995"/>
      <c r="L24" s="995"/>
      <c r="M24" s="996"/>
    </row>
    <row r="25" spans="1:13" x14ac:dyDescent="0.25">
      <c r="A25" s="92" t="str">
        <f>IF((inputPrYr!$B35&gt;"  "),(inputPrYr!$B35),"  ")</f>
        <v>Tourism</v>
      </c>
      <c r="B25" s="188" t="str">
        <f>IF(('Tourism-Water'!$C$29) &lt;&gt;0,('Tourism-Water'!$C$29),"")</f>
        <v/>
      </c>
      <c r="C25" s="161"/>
      <c r="D25" s="188">
        <f>IF(('Tourism-Water'!$D$29) &lt;&gt;0,('Tourism-Water'!$D$29),"")</f>
        <v>1500</v>
      </c>
      <c r="E25" s="161"/>
      <c r="F25" s="188">
        <f>IF(('Tourism-Water'!$E$29) &lt;&gt;0,('Tourism-Water'!$E$29),"")</f>
        <v>5423</v>
      </c>
      <c r="G25" s="161"/>
      <c r="H25" s="161"/>
      <c r="J25" s="466"/>
      <c r="K25" s="460"/>
      <c r="L25" s="460"/>
      <c r="M25" s="467"/>
    </row>
    <row r="26" spans="1:13" x14ac:dyDescent="0.25">
      <c r="A26" s="92" t="str">
        <f>IF((inputPrYr!$B36&gt;"  "),(inputPrYr!$B36),"  ")</f>
        <v>Water</v>
      </c>
      <c r="B26" s="188">
        <f>IF(('Tourism-Water'!$C$65) &lt;&gt;0,('Tourism-Water'!$C$65),"")</f>
        <v>252577</v>
      </c>
      <c r="C26" s="161"/>
      <c r="D26" s="188">
        <f>IF(('Tourism-Water'!$D$65) &lt;&gt;0,('Tourism-Water'!$D$65),"")</f>
        <v>252283</v>
      </c>
      <c r="E26" s="161"/>
      <c r="F26" s="188">
        <f>IF(('Tourism-Water'!$E$65) &lt;&gt;0,('Tourism-Water'!$E$65),"")</f>
        <v>273855</v>
      </c>
      <c r="G26" s="161"/>
      <c r="H26" s="161"/>
      <c r="J26" s="466" t="str">
        <f>CONCATENATE("",H1-1," Mill Rate Was:")</f>
        <v>2019 Mill Rate Was:</v>
      </c>
      <c r="K26" s="460"/>
      <c r="L26" s="460"/>
      <c r="M26" s="468">
        <f>E31</f>
        <v>53.503</v>
      </c>
    </row>
    <row r="27" spans="1:13" x14ac:dyDescent="0.25">
      <c r="A27" s="92" t="str">
        <f>IF((inputPrYr!$B37&gt;"  "),(inputPrYr!$B37),"  ")</f>
        <v>Sewer</v>
      </c>
      <c r="B27" s="188">
        <f>IF((Sewer!$C$29) &lt;&gt;0,(Sewer!$C$29),"")</f>
        <v>52921</v>
      </c>
      <c r="C27" s="161"/>
      <c r="D27" s="188">
        <f>IF((Sewer!$D$29) &lt;&gt;0,(Sewer!$D$29),"")</f>
        <v>59047</v>
      </c>
      <c r="E27" s="161"/>
      <c r="F27" s="188">
        <f>IF((Sewer!$E$29) &lt;&gt;0,(Sewer!$E$29),"")</f>
        <v>103547</v>
      </c>
      <c r="G27" s="161"/>
      <c r="H27" s="161"/>
      <c r="J27" s="469" t="str">
        <f>CONCATENATE("",H1," Tax Levy Fund Expenditures Must Be ")</f>
        <v xml:space="preserve">2020 Tax Levy Fund Expenditures Must Be </v>
      </c>
      <c r="K27" s="470"/>
      <c r="L27" s="470"/>
      <c r="M27" s="467"/>
    </row>
    <row r="28" spans="1:13" x14ac:dyDescent="0.25">
      <c r="A28" s="92" t="str">
        <f>IF((inputPrYr!$B38&gt;"  "),(inputPrYr!$B38),"  ")</f>
        <v xml:space="preserve">  </v>
      </c>
      <c r="B28" s="188" t="str">
        <f>IF((Sewer!$C$60) &lt;&gt;0,(Sewer!$C$60),"")</f>
        <v/>
      </c>
      <c r="C28" s="161"/>
      <c r="D28" s="188" t="str">
        <f>IF((Sewer!$D$60) &lt;&gt;0,(Sewer!$D$60),"")</f>
        <v/>
      </c>
      <c r="E28" s="161"/>
      <c r="F28" s="188" t="str">
        <f>IF((Sewer!$E$60) &lt;&gt;0,(Sewer!$E$60),"")</f>
        <v/>
      </c>
      <c r="G28" s="161"/>
      <c r="H28" s="161"/>
      <c r="J28" s="469" t="str">
        <f>IF(M35&lt;0,"Increased By:","")</f>
        <v>Increased By:</v>
      </c>
      <c r="K28" s="470"/>
      <c r="L28" s="470"/>
      <c r="M28" s="572">
        <f>IF(M35&lt;0,M35*-1,0)</f>
        <v>369</v>
      </c>
    </row>
    <row r="29" spans="1:13" x14ac:dyDescent="0.25">
      <c r="A29" s="92" t="str">
        <f>IF((inputPrYr!$B40&gt;"  "),(inputPrYr!$B40),"  ")</f>
        <v xml:space="preserve">  </v>
      </c>
      <c r="B29" s="188" t="str">
        <f>IF((Sinnolevy14!$C$49) &lt;&gt;0,(Sinnolevy14!$C$49),"")</f>
        <v/>
      </c>
      <c r="C29" s="161"/>
      <c r="D29" s="188" t="str">
        <f>IF((Sinnolevy14!$D$49) &lt;&gt;0,(Sinnolevy14!$D$49),"")</f>
        <v/>
      </c>
      <c r="E29" s="161"/>
      <c r="F29" s="188" t="str">
        <f>IF((Sinnolevy14!$E$49) &lt;&gt;0,(Sinnolevy14!$E$49),"")</f>
        <v/>
      </c>
      <c r="G29" s="161"/>
      <c r="H29" s="161"/>
      <c r="J29" s="471" t="str">
        <f>IF(M35&gt;0,"Reduced By:","")</f>
        <v/>
      </c>
      <c r="K29" s="472"/>
      <c r="L29" s="472"/>
      <c r="M29" s="573">
        <f>IF(M35&gt;0,M35*-1,0)</f>
        <v>0</v>
      </c>
    </row>
    <row r="30" spans="1:13" x14ac:dyDescent="0.25">
      <c r="A30" s="92" t="str">
        <f>IF((inputPrYr!$B43&gt;"  "),(nonbud!$A3),"  ")</f>
        <v>Non-Budgeted Funds</v>
      </c>
      <c r="B30" s="668">
        <f>IF((nonbud!$K$28)&lt;&gt;0,(nonbud!$K$28),"  ")</f>
        <v>18320</v>
      </c>
      <c r="C30" s="186"/>
      <c r="D30" s="668"/>
      <c r="E30" s="186"/>
      <c r="F30" s="668"/>
      <c r="G30" s="186"/>
      <c r="H30" s="186"/>
      <c r="J30" s="473"/>
      <c r="K30" s="473"/>
      <c r="L30" s="473"/>
      <c r="M30" s="473"/>
    </row>
    <row r="31" spans="1:13" x14ac:dyDescent="0.25">
      <c r="A31" s="4" t="s">
        <v>708</v>
      </c>
      <c r="B31" s="669">
        <f>SUM(B16:B30)</f>
        <v>567364</v>
      </c>
      <c r="C31" s="670">
        <f>SUM(C16:C22)</f>
        <v>53.488</v>
      </c>
      <c r="D31" s="669">
        <f>SUM(D16:D30)</f>
        <v>739407</v>
      </c>
      <c r="E31" s="670">
        <f>SUM(E16:E22)</f>
        <v>53.503</v>
      </c>
      <c r="F31" s="669">
        <f>SUM(F16:F30)</f>
        <v>898545</v>
      </c>
      <c r="G31" s="669">
        <f>SUM(G16:G22)</f>
        <v>112449</v>
      </c>
      <c r="H31" s="670">
        <f>SUM(H16:H30)</f>
        <v>53.328000000000003</v>
      </c>
      <c r="J31" s="990" t="str">
        <f>CONCATENATE("Impact On Keeping The Same Mill Rate As For ",H1-1,"")</f>
        <v>Impact On Keeping The Same Mill Rate As For 2019</v>
      </c>
      <c r="K31" s="993"/>
      <c r="L31" s="993"/>
      <c r="M31" s="994"/>
    </row>
    <row r="32" spans="1:13" x14ac:dyDescent="0.25">
      <c r="A32" s="7" t="s">
        <v>173</v>
      </c>
      <c r="B32" s="671">
        <f>Transfers!$C$15</f>
        <v>5600</v>
      </c>
      <c r="C32" s="672"/>
      <c r="D32" s="671">
        <f>Transfers!$D$15</f>
        <v>5600</v>
      </c>
      <c r="E32" s="673"/>
      <c r="F32" s="671">
        <f>Transfers!$E$15</f>
        <v>5600</v>
      </c>
      <c r="G32" s="592"/>
      <c r="H32" s="674"/>
      <c r="I32" s="418"/>
      <c r="J32" s="466"/>
      <c r="K32" s="460"/>
      <c r="L32" s="460"/>
      <c r="M32" s="467"/>
    </row>
    <row r="33" spans="1:13" ht="16.5" thickBot="1" x14ac:dyDescent="0.3">
      <c r="A33" s="41" t="s">
        <v>174</v>
      </c>
      <c r="B33" s="675">
        <f>B31-B32</f>
        <v>561764</v>
      </c>
      <c r="C33" s="56"/>
      <c r="D33" s="675">
        <f>D31-D32</f>
        <v>733807</v>
      </c>
      <c r="E33" s="56"/>
      <c r="F33" s="675">
        <f>F31-F32</f>
        <v>892945</v>
      </c>
      <c r="G33" s="56"/>
      <c r="H33" s="56"/>
      <c r="J33" s="466" t="str">
        <f>CONCATENATE("",H1," Ad Valorem Tax Revenue:")</f>
        <v>2020 Ad Valorem Tax Revenue:</v>
      </c>
      <c r="K33" s="460"/>
      <c r="L33" s="460"/>
      <c r="M33" s="461">
        <f>G31</f>
        <v>112449</v>
      </c>
    </row>
    <row r="34" spans="1:13" ht="16.5" thickTop="1" x14ac:dyDescent="0.25">
      <c r="A34" s="7" t="s">
        <v>175</v>
      </c>
      <c r="B34" s="671">
        <f>inputPrYr!E61</f>
        <v>108512</v>
      </c>
      <c r="C34" s="676"/>
      <c r="D34" s="671">
        <f>inputPrYr!E30</f>
        <v>110544</v>
      </c>
      <c r="E34" s="677"/>
      <c r="F34" s="678" t="s">
        <v>140</v>
      </c>
      <c r="G34" s="679"/>
      <c r="H34" s="679"/>
      <c r="J34" s="466" t="str">
        <f>CONCATENATE("",H1-1," Ad Valorem Tax Revenue:")</f>
        <v>2019 Ad Valorem Tax Revenue:</v>
      </c>
      <c r="K34" s="460"/>
      <c r="L34" s="460"/>
      <c r="M34" s="474">
        <f>ROUND(F35*M26/1000,0)</f>
        <v>112818</v>
      </c>
    </row>
    <row r="35" spans="1:13" x14ac:dyDescent="0.25">
      <c r="A35" s="7" t="s">
        <v>176</v>
      </c>
      <c r="B35" s="188">
        <f>inputPrYr!E62</f>
        <v>2028705</v>
      </c>
      <c r="C35" s="210"/>
      <c r="D35" s="188">
        <f>inputOth!E31</f>
        <v>2066111</v>
      </c>
      <c r="E35" s="187"/>
      <c r="F35" s="188">
        <f>inputOth!E7</f>
        <v>2108621</v>
      </c>
      <c r="G35" s="679"/>
      <c r="H35" s="679"/>
      <c r="J35" s="471" t="s">
        <v>626</v>
      </c>
      <c r="K35" s="472"/>
      <c r="L35" s="472"/>
      <c r="M35" s="464">
        <f>M33-M34</f>
        <v>-369</v>
      </c>
    </row>
    <row r="36" spans="1:13" x14ac:dyDescent="0.25">
      <c r="A36" s="540"/>
      <c r="B36" s="592"/>
      <c r="C36" s="591"/>
      <c r="D36" s="592"/>
      <c r="E36" s="591"/>
      <c r="F36" s="308"/>
      <c r="G36" s="591"/>
      <c r="H36" s="680"/>
      <c r="I36" s="457"/>
      <c r="J36" s="465"/>
      <c r="K36" s="465"/>
      <c r="L36" s="465"/>
      <c r="M36" s="473"/>
    </row>
    <row r="37" spans="1:13" x14ac:dyDescent="0.25">
      <c r="A37" s="7" t="s">
        <v>177</v>
      </c>
      <c r="B37" s="592"/>
      <c r="C37" s="591"/>
      <c r="D37" s="592"/>
      <c r="E37" s="591"/>
      <c r="F37" s="592"/>
      <c r="G37" s="679"/>
      <c r="H37" s="679"/>
      <c r="J37" s="990" t="s">
        <v>685</v>
      </c>
      <c r="K37" s="991"/>
      <c r="L37" s="991"/>
      <c r="M37" s="992"/>
    </row>
    <row r="38" spans="1:13" x14ac:dyDescent="0.25">
      <c r="A38" s="7" t="s">
        <v>178</v>
      </c>
      <c r="B38" s="681">
        <f>$H$1-3</f>
        <v>2017</v>
      </c>
      <c r="C38" s="56"/>
      <c r="D38" s="681">
        <f>$H$1-2</f>
        <v>2018</v>
      </c>
      <c r="E38" s="56"/>
      <c r="F38" s="681">
        <f>$H$1-1</f>
        <v>2019</v>
      </c>
      <c r="G38" s="56"/>
      <c r="H38" s="56"/>
      <c r="J38" s="466"/>
      <c r="K38" s="460"/>
      <c r="L38" s="460"/>
      <c r="M38" s="467"/>
    </row>
    <row r="39" spans="1:13" x14ac:dyDescent="0.25">
      <c r="A39" s="7" t="s">
        <v>179</v>
      </c>
      <c r="B39" s="188">
        <f>inputPrYr!D65</f>
        <v>641639</v>
      </c>
      <c r="C39" s="56"/>
      <c r="D39" s="188">
        <f>inputPrYr!E65</f>
        <v>632257</v>
      </c>
      <c r="E39" s="56"/>
      <c r="F39" s="188">
        <f>debt!G15</f>
        <v>623490</v>
      </c>
      <c r="G39" s="56"/>
      <c r="H39" s="56"/>
      <c r="J39" s="466" t="str">
        <f>CONCATENATE("Current ",H1," Estimated Mill Rate:")</f>
        <v>Current 2020 Estimated Mill Rate:</v>
      </c>
      <c r="K39" s="460"/>
      <c r="L39" s="460"/>
      <c r="M39" s="468">
        <f>H31</f>
        <v>53.328000000000003</v>
      </c>
    </row>
    <row r="40" spans="1:13" x14ac:dyDescent="0.25">
      <c r="A40" s="7" t="s">
        <v>180</v>
      </c>
      <c r="B40" s="188">
        <f>inputPrYr!D66</f>
        <v>0</v>
      </c>
      <c r="C40" s="56"/>
      <c r="D40" s="188">
        <f>inputPrYr!E66</f>
        <v>0</v>
      </c>
      <c r="E40" s="56"/>
      <c r="F40" s="188">
        <f>debt!G22</f>
        <v>0</v>
      </c>
      <c r="G40" s="56"/>
      <c r="H40" s="56"/>
      <c r="J40" s="466" t="str">
        <f>CONCATENATE("Desired ",H1," Mill Rate:")</f>
        <v>Desired 2020 Mill Rate:</v>
      </c>
      <c r="K40" s="460"/>
      <c r="L40" s="460"/>
      <c r="M40" s="458">
        <v>0</v>
      </c>
    </row>
    <row r="41" spans="1:13" x14ac:dyDescent="0.25">
      <c r="A41" s="21" t="s">
        <v>199</v>
      </c>
      <c r="B41" s="188">
        <f>inputPrYr!D67</f>
        <v>94512</v>
      </c>
      <c r="C41" s="56"/>
      <c r="D41" s="188">
        <f>inputPrYr!E67</f>
        <v>0</v>
      </c>
      <c r="E41" s="56"/>
      <c r="F41" s="682">
        <f>debt!G30</f>
        <v>33181</v>
      </c>
      <c r="G41" s="56"/>
      <c r="H41" s="56"/>
      <c r="J41" s="466" t="str">
        <f>CONCATENATE("",H1," Ad Valorem Tax:")</f>
        <v>2020 Ad Valorem Tax:</v>
      </c>
      <c r="K41" s="460"/>
      <c r="L41" s="460"/>
      <c r="M41" s="474">
        <f>ROUND(F35*M40/1000,0)</f>
        <v>0</v>
      </c>
    </row>
    <row r="42" spans="1:13" x14ac:dyDescent="0.25">
      <c r="A42" s="7" t="s">
        <v>266</v>
      </c>
      <c r="B42" s="188">
        <f>inputPrYr!D68</f>
        <v>0</v>
      </c>
      <c r="C42" s="56"/>
      <c r="D42" s="188">
        <f>inputPrYr!E68</f>
        <v>0</v>
      </c>
      <c r="E42" s="56"/>
      <c r="F42" s="188">
        <f>lpform!G20</f>
        <v>0</v>
      </c>
      <c r="G42" s="56"/>
      <c r="H42" s="56"/>
      <c r="J42" s="471" t="str">
        <f>CONCATENATE("",H1," Tax Levy Fund Exp. Changed By:")</f>
        <v>2020 Tax Levy Fund Exp. Changed By:</v>
      </c>
      <c r="K42" s="472"/>
      <c r="L42" s="472"/>
      <c r="M42" s="464">
        <f>IF(M40=0,0,(M41-G31))</f>
        <v>0</v>
      </c>
    </row>
    <row r="43" spans="1:13" ht="16.5" thickBot="1" x14ac:dyDescent="0.3">
      <c r="A43" s="7" t="s">
        <v>181</v>
      </c>
      <c r="B43" s="675">
        <f>SUM(B39:B42)</f>
        <v>736151</v>
      </c>
      <c r="C43" s="56"/>
      <c r="D43" s="675">
        <f>SUM(D39:D42)</f>
        <v>632257</v>
      </c>
      <c r="E43" s="56"/>
      <c r="F43" s="675">
        <f>SUM(F39:F42)</f>
        <v>656671</v>
      </c>
      <c r="G43" s="56"/>
      <c r="H43" s="56"/>
    </row>
    <row r="44" spans="1:13" ht="16.5" thickTop="1" x14ac:dyDescent="0.25">
      <c r="A44" s="7" t="s">
        <v>182</v>
      </c>
      <c r="B44" s="6"/>
      <c r="C44" s="6"/>
      <c r="D44" s="6"/>
      <c r="E44" s="6"/>
      <c r="F44" s="6"/>
      <c r="G44" s="6"/>
      <c r="H44" s="6"/>
    </row>
    <row r="45" spans="1:13" x14ac:dyDescent="0.25">
      <c r="A45" s="6"/>
      <c r="B45" s="6"/>
      <c r="C45" s="6"/>
      <c r="D45" s="6"/>
      <c r="E45" s="6"/>
      <c r="F45" s="6"/>
      <c r="G45" s="6"/>
      <c r="H45" s="6"/>
    </row>
    <row r="46" spans="1:13" x14ac:dyDescent="0.25">
      <c r="A46" s="6"/>
      <c r="B46" s="6"/>
      <c r="C46" s="6"/>
      <c r="D46" s="6"/>
      <c r="E46" s="6"/>
      <c r="F46" s="6"/>
      <c r="G46" s="6"/>
      <c r="H46" s="6"/>
    </row>
    <row r="47" spans="1:13" x14ac:dyDescent="0.25">
      <c r="A47" s="997" t="str">
        <f>inputBudSum!B3</f>
        <v>Shari L. DeWitt</v>
      </c>
      <c r="B47" s="998"/>
      <c r="C47" s="445"/>
      <c r="D47" s="6"/>
      <c r="E47" s="6"/>
      <c r="F47" s="6"/>
      <c r="G47" s="6"/>
      <c r="H47" s="6"/>
    </row>
    <row r="48" spans="1:13" x14ac:dyDescent="0.25">
      <c r="A48" s="59" t="str">
        <f>CONCATENATE("City Official Title: ",inputBudSum!B5,"")</f>
        <v>City Official Title: City Clerk</v>
      </c>
      <c r="B48" s="444"/>
      <c r="C48" s="443"/>
      <c r="D48" s="6"/>
      <c r="E48" s="6"/>
      <c r="F48" s="6"/>
      <c r="G48" s="6"/>
      <c r="H48" s="6"/>
    </row>
    <row r="49" spans="1:13" x14ac:dyDescent="0.25">
      <c r="A49" s="13"/>
      <c r="B49" s="27"/>
      <c r="C49" s="28"/>
      <c r="D49" s="6"/>
      <c r="E49" s="6"/>
      <c r="F49" s="6"/>
      <c r="G49" s="6"/>
      <c r="H49" s="6"/>
    </row>
    <row r="50" spans="1:13" x14ac:dyDescent="0.25">
      <c r="A50" s="6"/>
      <c r="B50" s="6"/>
      <c r="C50" s="6"/>
      <c r="D50" s="6"/>
      <c r="E50" s="6"/>
      <c r="F50" s="6"/>
      <c r="G50" s="6"/>
      <c r="H50" s="6"/>
    </row>
    <row r="51" spans="1:13" ht="15.75" customHeight="1" x14ac:dyDescent="0.25">
      <c r="A51" s="6"/>
      <c r="B51" s="6"/>
      <c r="C51" s="181" t="s">
        <v>183</v>
      </c>
      <c r="D51" s="747">
        <v>12</v>
      </c>
      <c r="E51" s="6"/>
      <c r="F51" s="6"/>
      <c r="G51" s="6"/>
      <c r="H51" s="6"/>
    </row>
    <row r="52" spans="1:13" x14ac:dyDescent="0.25">
      <c r="A52" s="1"/>
      <c r="B52" s="1"/>
      <c r="C52" s="1"/>
      <c r="D52" s="1"/>
      <c r="E52" s="1"/>
      <c r="F52" s="1"/>
      <c r="G52" s="1"/>
      <c r="H52" s="1"/>
    </row>
    <row r="53" spans="1:13" x14ac:dyDescent="0.25">
      <c r="I53" s="1"/>
      <c r="J53" s="1"/>
      <c r="K53" s="1"/>
      <c r="L53" s="1"/>
      <c r="M53" s="1"/>
    </row>
    <row r="57" spans="1:13" x14ac:dyDescent="0.25">
      <c r="K57" s="648"/>
    </row>
    <row r="92" spans="1:9" x14ac:dyDescent="0.25">
      <c r="A92" s="1"/>
      <c r="B92" s="1"/>
      <c r="C92" s="1"/>
      <c r="D92" s="1"/>
      <c r="E92" s="1"/>
      <c r="F92" s="1"/>
      <c r="G92" s="1"/>
      <c r="H92" s="1"/>
    </row>
    <row r="93" spans="1:9" x14ac:dyDescent="0.25">
      <c r="I93" s="1"/>
    </row>
    <row r="103" spans="1:8" x14ac:dyDescent="0.25">
      <c r="A103" s="1"/>
      <c r="B103" s="1"/>
      <c r="C103" s="1"/>
      <c r="D103" s="1"/>
      <c r="E103" s="1"/>
      <c r="F103" s="1"/>
      <c r="G103" s="1"/>
      <c r="H103" s="1"/>
    </row>
    <row r="125" spans="1:15" x14ac:dyDescent="0.25">
      <c r="A125" s="1"/>
      <c r="B125" s="1"/>
      <c r="C125" s="1"/>
      <c r="D125" s="1"/>
      <c r="E125" s="1"/>
      <c r="F125" s="1"/>
      <c r="G125" s="1"/>
      <c r="H125" s="1"/>
      <c r="I125" s="1"/>
      <c r="J125" s="1"/>
      <c r="K125" s="1"/>
      <c r="L125" s="1"/>
      <c r="M125" s="1"/>
      <c r="N125" s="1"/>
      <c r="O125" s="1"/>
    </row>
    <row r="169" spans="1:17" x14ac:dyDescent="0.25">
      <c r="A169" s="1"/>
      <c r="B169" s="1"/>
      <c r="C169" s="1"/>
      <c r="D169" s="1"/>
      <c r="E169" s="1"/>
      <c r="F169" s="1"/>
      <c r="G169" s="1"/>
      <c r="H169" s="1"/>
      <c r="I169" s="1"/>
      <c r="J169" s="1"/>
      <c r="K169" s="1"/>
      <c r="L169" s="1"/>
      <c r="M169" s="1"/>
      <c r="N169" s="1"/>
      <c r="O169" s="1"/>
      <c r="P169" s="1"/>
      <c r="Q169" s="1"/>
    </row>
  </sheetData>
  <sheetProtection sheet="1"/>
  <mergeCells count="11">
    <mergeCell ref="J37:M37"/>
    <mergeCell ref="J20:M20"/>
    <mergeCell ref="J31:M31"/>
    <mergeCell ref="J24:M24"/>
    <mergeCell ref="A47:B47"/>
    <mergeCell ref="A7:H7"/>
    <mergeCell ref="A8:H8"/>
    <mergeCell ref="A2:H2"/>
    <mergeCell ref="A4:H4"/>
    <mergeCell ref="A5:H5"/>
    <mergeCell ref="A6:H6"/>
  </mergeCells>
  <phoneticPr fontId="0" type="noConversion"/>
  <pageMargins left="0.5" right="0.5" top="1" bottom="0.5" header="0.5" footer="0.5"/>
  <pageSetup scale="71" orientation="portrait" blackAndWhite="1" r:id="rId1"/>
  <headerFooter alignWithMargins="0">
    <oddHeader xml:space="preserve">&amp;RState of Kansas
City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F32"/>
  <sheetViews>
    <sheetView workbookViewId="0">
      <selection activeCell="R91" sqref="R91"/>
    </sheetView>
  </sheetViews>
  <sheetFormatPr defaultRowHeight="15" x14ac:dyDescent="0.2"/>
  <cols>
    <col min="1" max="1" width="12.6640625" customWidth="1"/>
    <col min="2" max="2" width="18.109375" customWidth="1"/>
    <col min="3" max="5" width="11.77734375" customWidth="1"/>
  </cols>
  <sheetData>
    <row r="1" spans="1:6" ht="15.75" x14ac:dyDescent="0.25">
      <c r="A1" s="34" t="str">
        <f>inputPrYr!D3</f>
        <v>City of Strong City</v>
      </c>
      <c r="B1" s="3"/>
      <c r="C1" s="3"/>
      <c r="D1" s="3"/>
      <c r="E1" s="3"/>
      <c r="F1" s="3">
        <f>inputPrYr!C6</f>
        <v>2020</v>
      </c>
    </row>
    <row r="2" spans="1:6" ht="15.75" x14ac:dyDescent="0.25">
      <c r="A2" s="34"/>
      <c r="B2" s="3"/>
      <c r="C2" s="3"/>
      <c r="D2" s="3"/>
      <c r="E2" s="3"/>
      <c r="F2" s="3"/>
    </row>
    <row r="3" spans="1:6" ht="15.75" x14ac:dyDescent="0.25">
      <c r="A3" s="3"/>
      <c r="B3" s="3"/>
      <c r="C3" s="3"/>
      <c r="D3" s="3"/>
      <c r="E3" s="3"/>
      <c r="F3" s="3"/>
    </row>
    <row r="4" spans="1:6" ht="15.75" x14ac:dyDescent="0.25">
      <c r="A4" s="6"/>
      <c r="B4" s="999" t="str">
        <f>CONCATENATE("",F1," Neighborhood Revitalization Rebate")</f>
        <v>2020 Neighborhood Revitalization Rebate</v>
      </c>
      <c r="C4" s="1000"/>
      <c r="D4" s="1000"/>
      <c r="E4" s="1001"/>
      <c r="F4" s="3"/>
    </row>
    <row r="5" spans="1:6" ht="15.75" x14ac:dyDescent="0.25">
      <c r="A5" s="6"/>
      <c r="B5" s="6"/>
      <c r="C5" s="6"/>
      <c r="D5" s="6"/>
      <c r="E5" s="6"/>
      <c r="F5" s="3"/>
    </row>
    <row r="6" spans="1:6" ht="51.75" customHeight="1" x14ac:dyDescent="0.25">
      <c r="A6" s="6"/>
      <c r="B6" s="362" t="str">
        <f>CONCATENATE("Budgeted Funds                      for ",F1,"")</f>
        <v>Budgeted Funds                      for 2020</v>
      </c>
      <c r="C6" s="362" t="str">
        <f>CONCATENATE("",F1-1," Ad Valorem before Rebate**")</f>
        <v>2019 Ad Valorem before Rebate**</v>
      </c>
      <c r="D6" s="363" t="str">
        <f>CONCATENATE("",F1-1," Mil Rate before Rebate")</f>
        <v>2019 Mil Rate before Rebate</v>
      </c>
      <c r="E6" s="364" t="str">
        <f>CONCATENATE("Estimate ",F1," NR Rebate")</f>
        <v>Estimate 2020 NR Rebate</v>
      </c>
      <c r="F6" s="3"/>
    </row>
    <row r="7" spans="1:6" ht="15.75" x14ac:dyDescent="0.25">
      <c r="A7" s="6"/>
      <c r="B7" s="4" t="s">
        <v>119</v>
      </c>
      <c r="C7" s="40"/>
      <c r="D7" s="31" t="str">
        <f t="shared" ref="D7:D12" si="0">IF(C7&gt;0,C7/$D$19,"")</f>
        <v/>
      </c>
      <c r="E7" s="25">
        <f t="shared" ref="E7:E13" si="1">IF(C7&gt;0,ROUND(D7*$D$23,0),0)</f>
        <v>0</v>
      </c>
      <c r="F7" s="3"/>
    </row>
    <row r="8" spans="1:6" ht="15.75" x14ac:dyDescent="0.25">
      <c r="A8" s="6"/>
      <c r="B8" s="4" t="str">
        <f>inputPrYr!B23</f>
        <v>Debt Service</v>
      </c>
      <c r="C8" s="40"/>
      <c r="D8" s="31" t="str">
        <f t="shared" si="0"/>
        <v/>
      </c>
      <c r="E8" s="25">
        <f t="shared" si="1"/>
        <v>0</v>
      </c>
      <c r="F8" s="3"/>
    </row>
    <row r="9" spans="1:6" ht="15.75" x14ac:dyDescent="0.25">
      <c r="A9" s="6"/>
      <c r="B9" s="5" t="str">
        <f>IF((inputPrYr!$B24&gt;"  "),(inputPrYr!$B24),"  ")</f>
        <v>Library</v>
      </c>
      <c r="C9" s="40"/>
      <c r="D9" s="31" t="str">
        <f t="shared" si="0"/>
        <v/>
      </c>
      <c r="E9" s="25">
        <f t="shared" si="1"/>
        <v>0</v>
      </c>
      <c r="F9" s="3"/>
    </row>
    <row r="10" spans="1:6" ht="15.75" x14ac:dyDescent="0.25">
      <c r="A10" s="6"/>
      <c r="B10" s="5" t="str">
        <f>IF((inputPrYr!$B26&gt;"  "),(inputPrYr!$B26),"  ")</f>
        <v xml:space="preserve">  </v>
      </c>
      <c r="C10" s="40"/>
      <c r="D10" s="31" t="str">
        <f t="shared" si="0"/>
        <v/>
      </c>
      <c r="E10" s="25">
        <f t="shared" si="1"/>
        <v>0</v>
      </c>
      <c r="F10" s="3"/>
    </row>
    <row r="11" spans="1:6" ht="15.75" x14ac:dyDescent="0.25">
      <c r="A11" s="6"/>
      <c r="B11" s="5" t="str">
        <f>IF((inputPrYr!$B27&gt;"  "),(inputPrYr!$B27),"  ")</f>
        <v xml:space="preserve">  </v>
      </c>
      <c r="C11" s="40"/>
      <c r="D11" s="31" t="str">
        <f t="shared" si="0"/>
        <v/>
      </c>
      <c r="E11" s="25">
        <f t="shared" si="1"/>
        <v>0</v>
      </c>
      <c r="F11" s="3"/>
    </row>
    <row r="12" spans="1:6" ht="15.75" x14ac:dyDescent="0.25">
      <c r="A12" s="6"/>
      <c r="B12" s="5" t="str">
        <f>IF((inputPrYr!$B28&gt;"  "),(inputPrYr!$B28),"  ")</f>
        <v xml:space="preserve">  </v>
      </c>
      <c r="C12" s="40"/>
      <c r="D12" s="31" t="str">
        <f t="shared" si="0"/>
        <v/>
      </c>
      <c r="E12" s="25">
        <f t="shared" si="1"/>
        <v>0</v>
      </c>
      <c r="F12" s="3"/>
    </row>
    <row r="13" spans="1:6" ht="15.75" x14ac:dyDescent="0.25">
      <c r="A13" s="6"/>
      <c r="B13" s="5" t="str">
        <f>IF((inputPrYr!$B29&gt;"  "),(inputPrYr!$B29),"  ")</f>
        <v xml:space="preserve">  </v>
      </c>
      <c r="C13" s="377"/>
      <c r="D13" s="31" t="str">
        <f>IF(C13&gt;0,C13/$D$19,"")</f>
        <v/>
      </c>
      <c r="E13" s="25">
        <f t="shared" si="1"/>
        <v>0</v>
      </c>
      <c r="F13" s="3"/>
    </row>
    <row r="14" spans="1:6" ht="16.5" thickBot="1" x14ac:dyDescent="0.3">
      <c r="A14" s="6"/>
      <c r="B14" s="12" t="s">
        <v>146</v>
      </c>
      <c r="C14" s="26">
        <f>SUM(C7:C13)</f>
        <v>0</v>
      </c>
      <c r="D14" s="32">
        <f>SUM(D7:D13)</f>
        <v>0</v>
      </c>
      <c r="E14" s="26">
        <f>SUM(E7:E13)</f>
        <v>0</v>
      </c>
      <c r="F14" s="3"/>
    </row>
    <row r="15" spans="1:6" ht="16.5" thickTop="1" x14ac:dyDescent="0.25">
      <c r="A15" s="6"/>
      <c r="B15" s="6"/>
      <c r="C15" s="6"/>
      <c r="D15" s="6"/>
      <c r="E15" s="6"/>
      <c r="F15" s="3"/>
    </row>
    <row r="16" spans="1:6" ht="15.75" x14ac:dyDescent="0.25">
      <c r="A16" s="6"/>
      <c r="B16" s="6"/>
      <c r="C16" s="6"/>
      <c r="D16" s="6"/>
      <c r="E16" s="6"/>
      <c r="F16" s="3"/>
    </row>
    <row r="17" spans="1:6" ht="15.75" x14ac:dyDescent="0.25">
      <c r="A17" s="1004" t="str">
        <f>CONCATENATE("",F1-1," July 1 Valuation:")</f>
        <v>2019 July 1 Valuation:</v>
      </c>
      <c r="B17" s="1003"/>
      <c r="C17" s="1004"/>
      <c r="D17" s="29">
        <f>inputOth!E7</f>
        <v>2108621</v>
      </c>
      <c r="E17" s="6"/>
      <c r="F17" s="3"/>
    </row>
    <row r="18" spans="1:6" ht="15.75" x14ac:dyDescent="0.25">
      <c r="A18" s="6"/>
      <c r="B18" s="6"/>
      <c r="C18" s="6"/>
      <c r="D18" s="6"/>
      <c r="E18" s="6"/>
      <c r="F18" s="3"/>
    </row>
    <row r="19" spans="1:6" ht="15.75" x14ac:dyDescent="0.25">
      <c r="A19" s="6"/>
      <c r="B19" s="1004" t="s">
        <v>308</v>
      </c>
      <c r="C19" s="1004"/>
      <c r="D19" s="35">
        <f>IF(D17&gt;0,(D17*0.001),"")</f>
        <v>2108.6210000000001</v>
      </c>
      <c r="E19" s="6"/>
      <c r="F19" s="3"/>
    </row>
    <row r="20" spans="1:6" ht="15.75" x14ac:dyDescent="0.25">
      <c r="A20" s="6"/>
      <c r="B20" s="14"/>
      <c r="C20" s="14"/>
      <c r="D20" s="36"/>
      <c r="E20" s="6"/>
      <c r="F20" s="3"/>
    </row>
    <row r="21" spans="1:6" ht="15.75" x14ac:dyDescent="0.25">
      <c r="A21" s="1002" t="s">
        <v>309</v>
      </c>
      <c r="B21" s="1001"/>
      <c r="C21" s="1001"/>
      <c r="D21" s="37">
        <f>inputOth!E18</f>
        <v>0</v>
      </c>
      <c r="E21" s="23"/>
      <c r="F21" s="23"/>
    </row>
    <row r="22" spans="1:6" x14ac:dyDescent="0.2">
      <c r="A22" s="23"/>
      <c r="B22" s="23"/>
      <c r="C22" s="23"/>
      <c r="D22" s="38"/>
      <c r="E22" s="23"/>
      <c r="F22" s="23"/>
    </row>
    <row r="23" spans="1:6" ht="15.75" x14ac:dyDescent="0.25">
      <c r="A23" s="23"/>
      <c r="B23" s="1002" t="s">
        <v>310</v>
      </c>
      <c r="C23" s="1003"/>
      <c r="D23" s="39" t="str">
        <f>IF(D21&gt;0,(D21*0.001),"")</f>
        <v/>
      </c>
      <c r="E23" s="23"/>
      <c r="F23" s="23"/>
    </row>
    <row r="24" spans="1:6" x14ac:dyDescent="0.2">
      <c r="A24" s="23"/>
      <c r="B24" s="23"/>
      <c r="C24" s="23"/>
      <c r="D24" s="23"/>
      <c r="E24" s="23"/>
      <c r="F24" s="23"/>
    </row>
    <row r="25" spans="1:6" x14ac:dyDescent="0.2">
      <c r="A25" s="23"/>
      <c r="B25" s="23"/>
      <c r="C25" s="23"/>
      <c r="D25" s="23"/>
      <c r="E25" s="23"/>
      <c r="F25" s="23"/>
    </row>
    <row r="26" spans="1:6" ht="15.75" x14ac:dyDescent="0.25">
      <c r="A26" s="361" t="str">
        <f>CONCATENATE("**This information comes from the ",F1," Budget Summary page.  See instructions tab #13 for completing")</f>
        <v>**This information comes from the 2020 Budget Summary page.  See instructions tab #13 for completing</v>
      </c>
      <c r="B26" s="23"/>
      <c r="C26" s="23"/>
      <c r="D26" s="23"/>
      <c r="E26" s="23"/>
      <c r="F26" s="23"/>
    </row>
    <row r="27" spans="1:6" ht="15.75" x14ac:dyDescent="0.25">
      <c r="A27" s="361" t="s">
        <v>587</v>
      </c>
      <c r="B27" s="23"/>
      <c r="C27" s="23"/>
      <c r="D27" s="23"/>
      <c r="E27" s="23"/>
      <c r="F27" s="23"/>
    </row>
    <row r="28" spans="1:6" ht="15.75" x14ac:dyDescent="0.25">
      <c r="A28" s="361"/>
      <c r="B28" s="23"/>
      <c r="C28" s="23"/>
      <c r="D28" s="23"/>
      <c r="E28" s="23"/>
      <c r="F28" s="23"/>
    </row>
    <row r="29" spans="1:6" ht="15.75" x14ac:dyDescent="0.25">
      <c r="A29" s="361"/>
      <c r="B29" s="23"/>
      <c r="C29" s="23"/>
      <c r="D29" s="23"/>
      <c r="E29" s="23"/>
      <c r="F29" s="23"/>
    </row>
    <row r="30" spans="1:6" x14ac:dyDescent="0.2">
      <c r="A30" s="23"/>
      <c r="B30" s="23"/>
      <c r="C30" s="23"/>
      <c r="D30" s="23"/>
      <c r="E30" s="23"/>
      <c r="F30" s="38"/>
    </row>
    <row r="31" spans="1:6" x14ac:dyDescent="0.2">
      <c r="A31" s="23"/>
      <c r="B31" s="23"/>
      <c r="C31" s="23"/>
      <c r="D31" s="23"/>
      <c r="E31" s="23"/>
      <c r="F31" s="23"/>
    </row>
    <row r="32" spans="1:6" ht="15.75" x14ac:dyDescent="0.25">
      <c r="A32" s="23"/>
      <c r="B32" s="30" t="s">
        <v>165</v>
      </c>
      <c r="C32" s="749"/>
      <c r="D32" s="23"/>
      <c r="E32" s="23"/>
      <c r="F32" s="23"/>
    </row>
  </sheetData>
  <sheetProtection sheet="1"/>
  <mergeCells count="5">
    <mergeCell ref="B4:E4"/>
    <mergeCell ref="B23:C23"/>
    <mergeCell ref="A17:C17"/>
    <mergeCell ref="B19:C19"/>
    <mergeCell ref="A21:C21"/>
  </mergeCells>
  <phoneticPr fontId="10" type="noConversion"/>
  <pageMargins left="0.5" right="0.5" top="0.5" bottom="0.5" header="0" footer="0.5"/>
  <pageSetup scale="99"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3:L85"/>
  <sheetViews>
    <sheetView workbookViewId="0">
      <selection activeCell="E20" sqref="E20"/>
    </sheetView>
  </sheetViews>
  <sheetFormatPr defaultRowHeight="15" x14ac:dyDescent="0.2"/>
  <cols>
    <col min="1" max="1" width="71.33203125" customWidth="1"/>
  </cols>
  <sheetData>
    <row r="3" spans="1:12" x14ac:dyDescent="0.2">
      <c r="A3" s="347" t="s">
        <v>425</v>
      </c>
      <c r="B3" s="347"/>
      <c r="C3" s="347"/>
      <c r="D3" s="347"/>
      <c r="E3" s="347"/>
      <c r="F3" s="347"/>
      <c r="G3" s="347"/>
      <c r="H3" s="347"/>
      <c r="I3" s="347"/>
      <c r="J3" s="347"/>
      <c r="K3" s="347"/>
      <c r="L3" s="347"/>
    </row>
    <row r="5" spans="1:12" x14ac:dyDescent="0.2">
      <c r="A5" s="346" t="s">
        <v>426</v>
      </c>
    </row>
    <row r="6" spans="1:12" x14ac:dyDescent="0.2">
      <c r="A6" s="346" t="str">
        <f>CONCATENATE(inputPrYr!C6-2," 'total expenditures' exceed your ",inputPrYr!C6-2," 'budget authority.'")</f>
        <v>2018 'total expenditures' exceed your 2018 'budget authority.'</v>
      </c>
    </row>
    <row r="7" spans="1:12" x14ac:dyDescent="0.2">
      <c r="A7" s="346"/>
    </row>
    <row r="8" spans="1:12" x14ac:dyDescent="0.2">
      <c r="A8" s="346" t="s">
        <v>427</v>
      </c>
    </row>
    <row r="9" spans="1:12" x14ac:dyDescent="0.2">
      <c r="A9" s="346" t="s">
        <v>428</v>
      </c>
    </row>
    <row r="10" spans="1:12" x14ac:dyDescent="0.2">
      <c r="A10" s="346" t="s">
        <v>429</v>
      </c>
    </row>
    <row r="11" spans="1:12" x14ac:dyDescent="0.2">
      <c r="A11" s="346"/>
    </row>
    <row r="12" spans="1:12" x14ac:dyDescent="0.2">
      <c r="A12" s="346"/>
    </row>
    <row r="13" spans="1:12" x14ac:dyDescent="0.2">
      <c r="A13" s="345" t="s">
        <v>430</v>
      </c>
    </row>
    <row r="15" spans="1:12" x14ac:dyDescent="0.2">
      <c r="A15" s="346" t="s">
        <v>431</v>
      </c>
    </row>
    <row r="16" spans="1:12" x14ac:dyDescent="0.2">
      <c r="A16" s="346" t="str">
        <f>CONCATENATE("(i.e. an audit has not been completed, or the ",inputPrYr!C6," adopted")</f>
        <v>(i.e. an audit has not been completed, or the 2020 adopted</v>
      </c>
    </row>
    <row r="17" spans="1:1" x14ac:dyDescent="0.2">
      <c r="A17" s="346" t="s">
        <v>432</v>
      </c>
    </row>
    <row r="18" spans="1:1" x14ac:dyDescent="0.2">
      <c r="A18" s="346" t="s">
        <v>433</v>
      </c>
    </row>
    <row r="19" spans="1:1" x14ac:dyDescent="0.2">
      <c r="A19" s="346" t="s">
        <v>434</v>
      </c>
    </row>
    <row r="21" spans="1:1" x14ac:dyDescent="0.2">
      <c r="A21" s="345" t="s">
        <v>435</v>
      </c>
    </row>
    <row r="22" spans="1:1" x14ac:dyDescent="0.2">
      <c r="A22" s="345"/>
    </row>
    <row r="23" spans="1:1" x14ac:dyDescent="0.2">
      <c r="A23" s="346" t="s">
        <v>436</v>
      </c>
    </row>
    <row r="24" spans="1:1" x14ac:dyDescent="0.2">
      <c r="A24" s="346" t="s">
        <v>437</v>
      </c>
    </row>
    <row r="25" spans="1:1" x14ac:dyDescent="0.2">
      <c r="A25" s="346" t="str">
        <f>CONCATENATE("particular fund.  If your ",inputPrYr!C6-2," budget was amended, did you")</f>
        <v>particular fund.  If your 2018 budget was amended, did you</v>
      </c>
    </row>
    <row r="26" spans="1:1" x14ac:dyDescent="0.2">
      <c r="A26" s="346" t="s">
        <v>438</v>
      </c>
    </row>
    <row r="27" spans="1:1" x14ac:dyDescent="0.2">
      <c r="A27" s="346"/>
    </row>
    <row r="28" spans="1:1" x14ac:dyDescent="0.2">
      <c r="A28" s="346" t="str">
        <f>CONCATENATE("Next, look to see if any of your ",inputPrYr!C6-2," expenditures can be")</f>
        <v>Next, look to see if any of your 2018 expenditures can be</v>
      </c>
    </row>
    <row r="29" spans="1:1" x14ac:dyDescent="0.2">
      <c r="A29" s="346" t="s">
        <v>439</v>
      </c>
    </row>
    <row r="30" spans="1:1" x14ac:dyDescent="0.2">
      <c r="A30" s="346" t="s">
        <v>440</v>
      </c>
    </row>
    <row r="31" spans="1:1" x14ac:dyDescent="0.2">
      <c r="A31" s="346" t="s">
        <v>441</v>
      </c>
    </row>
    <row r="32" spans="1:1" x14ac:dyDescent="0.2">
      <c r="A32" s="346"/>
    </row>
    <row r="33" spans="1:1" x14ac:dyDescent="0.2">
      <c r="A33" s="346" t="str">
        <f>CONCATENATE("Additionally, do your ",inputPrYr!C6-2," receipts contain a reimbursement")</f>
        <v>Additionally, do your 2018 receipts contain a reimbursement</v>
      </c>
    </row>
    <row r="34" spans="1:1" x14ac:dyDescent="0.2">
      <c r="A34" s="346" t="s">
        <v>442</v>
      </c>
    </row>
    <row r="35" spans="1:1" x14ac:dyDescent="0.2">
      <c r="A35" s="346" t="s">
        <v>443</v>
      </c>
    </row>
    <row r="36" spans="1:1" x14ac:dyDescent="0.2">
      <c r="A36" s="346"/>
    </row>
    <row r="37" spans="1:1" x14ac:dyDescent="0.2">
      <c r="A37" s="346" t="s">
        <v>444</v>
      </c>
    </row>
    <row r="38" spans="1:1" x14ac:dyDescent="0.2">
      <c r="A38" s="346" t="s">
        <v>445</v>
      </c>
    </row>
    <row r="39" spans="1:1" x14ac:dyDescent="0.2">
      <c r="A39" s="346" t="s">
        <v>446</v>
      </c>
    </row>
    <row r="40" spans="1:1" x14ac:dyDescent="0.2">
      <c r="A40" s="346" t="s">
        <v>447</v>
      </c>
    </row>
    <row r="41" spans="1:1" x14ac:dyDescent="0.2">
      <c r="A41" s="346" t="s">
        <v>448</v>
      </c>
    </row>
    <row r="42" spans="1:1" x14ac:dyDescent="0.2">
      <c r="A42" s="346" t="s">
        <v>449</v>
      </c>
    </row>
    <row r="43" spans="1:1" x14ac:dyDescent="0.2">
      <c r="A43" s="346" t="s">
        <v>450</v>
      </c>
    </row>
    <row r="44" spans="1:1" x14ac:dyDescent="0.2">
      <c r="A44" s="346" t="s">
        <v>451</v>
      </c>
    </row>
    <row r="45" spans="1:1" x14ac:dyDescent="0.2">
      <c r="A45" s="346"/>
    </row>
    <row r="46" spans="1:1" x14ac:dyDescent="0.2">
      <c r="A46" s="346" t="s">
        <v>452</v>
      </c>
    </row>
    <row r="47" spans="1:1" x14ac:dyDescent="0.2">
      <c r="A47" s="346" t="s">
        <v>453</v>
      </c>
    </row>
    <row r="48" spans="1:1" x14ac:dyDescent="0.2">
      <c r="A48" s="346" t="s">
        <v>454</v>
      </c>
    </row>
    <row r="49" spans="1:1" x14ac:dyDescent="0.2">
      <c r="A49" s="346"/>
    </row>
    <row r="50" spans="1:1" x14ac:dyDescent="0.2">
      <c r="A50" s="346" t="s">
        <v>455</v>
      </c>
    </row>
    <row r="51" spans="1:1" x14ac:dyDescent="0.2">
      <c r="A51" s="346" t="s">
        <v>456</v>
      </c>
    </row>
    <row r="52" spans="1:1" x14ac:dyDescent="0.2">
      <c r="A52" s="346" t="s">
        <v>457</v>
      </c>
    </row>
    <row r="53" spans="1:1" x14ac:dyDescent="0.2">
      <c r="A53" s="346"/>
    </row>
    <row r="54" spans="1:1" x14ac:dyDescent="0.2">
      <c r="A54" s="345" t="s">
        <v>458</v>
      </c>
    </row>
    <row r="55" spans="1:1" x14ac:dyDescent="0.2">
      <c r="A55" s="346"/>
    </row>
    <row r="56" spans="1:1" x14ac:dyDescent="0.2">
      <c r="A56" s="346" t="s">
        <v>459</v>
      </c>
    </row>
    <row r="57" spans="1:1" x14ac:dyDescent="0.2">
      <c r="A57" s="346" t="s">
        <v>460</v>
      </c>
    </row>
    <row r="58" spans="1:1" x14ac:dyDescent="0.2">
      <c r="A58" s="346" t="s">
        <v>461</v>
      </c>
    </row>
    <row r="59" spans="1:1" x14ac:dyDescent="0.2">
      <c r="A59" s="346" t="s">
        <v>462</v>
      </c>
    </row>
    <row r="60" spans="1:1" x14ac:dyDescent="0.2">
      <c r="A60" s="346" t="s">
        <v>463</v>
      </c>
    </row>
    <row r="61" spans="1:1" x14ac:dyDescent="0.2">
      <c r="A61" s="346" t="s">
        <v>464</v>
      </c>
    </row>
    <row r="62" spans="1:1" x14ac:dyDescent="0.2">
      <c r="A62" s="346" t="s">
        <v>465</v>
      </c>
    </row>
    <row r="63" spans="1:1" x14ac:dyDescent="0.2">
      <c r="A63" s="346" t="s">
        <v>466</v>
      </c>
    </row>
    <row r="64" spans="1:1" x14ac:dyDescent="0.2">
      <c r="A64" s="346" t="s">
        <v>467</v>
      </c>
    </row>
    <row r="65" spans="1:1" x14ac:dyDescent="0.2">
      <c r="A65" s="346" t="s">
        <v>468</v>
      </c>
    </row>
    <row r="66" spans="1:1" x14ac:dyDescent="0.2">
      <c r="A66" s="346" t="s">
        <v>469</v>
      </c>
    </row>
    <row r="67" spans="1:1" x14ac:dyDescent="0.2">
      <c r="A67" s="346" t="s">
        <v>470</v>
      </c>
    </row>
    <row r="68" spans="1:1" x14ac:dyDescent="0.2">
      <c r="A68" s="346" t="s">
        <v>471</v>
      </c>
    </row>
    <row r="69" spans="1:1" x14ac:dyDescent="0.2">
      <c r="A69" s="346"/>
    </row>
    <row r="70" spans="1:1" x14ac:dyDescent="0.2">
      <c r="A70" s="346" t="s">
        <v>472</v>
      </c>
    </row>
    <row r="71" spans="1:1" x14ac:dyDescent="0.2">
      <c r="A71" s="346" t="s">
        <v>473</v>
      </c>
    </row>
    <row r="72" spans="1:1" x14ac:dyDescent="0.2">
      <c r="A72" s="346" t="s">
        <v>474</v>
      </c>
    </row>
    <row r="73" spans="1:1" x14ac:dyDescent="0.2">
      <c r="A73" s="346"/>
    </row>
    <row r="74" spans="1:1" x14ac:dyDescent="0.2">
      <c r="A74" s="345" t="str">
        <f>CONCATENATE("What if the ",inputPrYr!C6-2," financial records have been closed?")</f>
        <v>What if the 2018 financial records have been closed?</v>
      </c>
    </row>
    <row r="76" spans="1:1" x14ac:dyDescent="0.2">
      <c r="A76" s="346" t="s">
        <v>475</v>
      </c>
    </row>
    <row r="77" spans="1:1" x14ac:dyDescent="0.2">
      <c r="A77" s="346" t="str">
        <f>CONCATENATE("(i.e. an audit for ",inputPrYr!C6-2," has been completed, or the ",inputPrYr!C6)</f>
        <v>(i.e. an audit for 2018 has been completed, or the 2020</v>
      </c>
    </row>
    <row r="78" spans="1:1" x14ac:dyDescent="0.2">
      <c r="A78" s="346" t="s">
        <v>476</v>
      </c>
    </row>
    <row r="79" spans="1:1" x14ac:dyDescent="0.2">
      <c r="A79" s="346" t="s">
        <v>477</v>
      </c>
    </row>
    <row r="80" spans="1:1" x14ac:dyDescent="0.2">
      <c r="A80" s="346"/>
    </row>
    <row r="81" spans="1:1" x14ac:dyDescent="0.2">
      <c r="A81" s="346" t="s">
        <v>478</v>
      </c>
    </row>
    <row r="82" spans="1:1" x14ac:dyDescent="0.2">
      <c r="A82" s="346" t="s">
        <v>479</v>
      </c>
    </row>
    <row r="83" spans="1:1" x14ac:dyDescent="0.2">
      <c r="A83" s="346" t="s">
        <v>480</v>
      </c>
    </row>
    <row r="84" spans="1:1" x14ac:dyDescent="0.2">
      <c r="A84" s="346"/>
    </row>
    <row r="85" spans="1:1" x14ac:dyDescent="0.2">
      <c r="A85" s="346" t="s">
        <v>424</v>
      </c>
    </row>
  </sheetData>
  <sheetProtection sheet="1"/>
  <pageMargins left="0.7" right="0.7" top="0.75" bottom="0.75" header="0.3" footer="0.3"/>
  <pageSetup orientation="portrait" r:id="rId1"/>
  <headerFooter>
    <oddFooter>&amp;Lrevised 10/02/09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71"/>
  <sheetViews>
    <sheetView topLeftCell="A45" workbookViewId="0">
      <selection activeCell="E49" sqref="E49"/>
    </sheetView>
  </sheetViews>
  <sheetFormatPr defaultColWidth="8.88671875" defaultRowHeight="15" x14ac:dyDescent="0.2"/>
  <cols>
    <col min="1" max="1" width="15.77734375" style="105" customWidth="1"/>
    <col min="2" max="2" width="20.77734375" style="105" customWidth="1"/>
    <col min="3" max="3" width="9.77734375" style="105" customWidth="1"/>
    <col min="4" max="4" width="15.109375" style="105" customWidth="1"/>
    <col min="5" max="5" width="15.77734375" style="105" customWidth="1"/>
    <col min="6" max="16384" width="8.88671875" style="105"/>
  </cols>
  <sheetData>
    <row r="1" spans="1:5" ht="15.75" x14ac:dyDescent="0.2">
      <c r="A1" s="106" t="str">
        <f>inputPrYr!$D$3</f>
        <v>City of Strong City</v>
      </c>
      <c r="B1" s="107"/>
      <c r="C1" s="107"/>
      <c r="D1" s="107"/>
      <c r="E1" s="108">
        <f>inputPrYr!C6</f>
        <v>2020</v>
      </c>
    </row>
    <row r="2" spans="1:5" x14ac:dyDescent="0.2">
      <c r="A2" s="107"/>
      <c r="B2" s="107"/>
      <c r="C2" s="107"/>
      <c r="D2" s="107"/>
      <c r="E2" s="107"/>
    </row>
    <row r="3" spans="1:5" ht="15.75" x14ac:dyDescent="0.2">
      <c r="A3" s="910" t="s">
        <v>972</v>
      </c>
      <c r="B3" s="911"/>
      <c r="C3" s="911"/>
      <c r="D3" s="911"/>
      <c r="E3" s="911"/>
    </row>
    <row r="4" spans="1:5" ht="15.75" x14ac:dyDescent="0.2">
      <c r="A4" s="65"/>
      <c r="B4" s="65"/>
      <c r="C4" s="65"/>
      <c r="D4" s="65"/>
      <c r="E4" s="65"/>
    </row>
    <row r="5" spans="1:5" ht="15.75" x14ac:dyDescent="0.2">
      <c r="A5" s="65"/>
      <c r="B5" s="65"/>
      <c r="C5" s="65"/>
      <c r="D5" s="65"/>
      <c r="E5" s="65"/>
    </row>
    <row r="6" spans="1:5" ht="15.75" x14ac:dyDescent="0.2">
      <c r="A6" s="736" t="s">
        <v>974</v>
      </c>
      <c r="B6" s="737"/>
      <c r="C6" s="56"/>
      <c r="D6" s="56"/>
      <c r="E6" s="74"/>
    </row>
    <row r="7" spans="1:5" ht="15.75" x14ac:dyDescent="0.2">
      <c r="A7" s="109" t="str">
        <f>CONCATENATE("Total Assessed Valuation for ",E1-1,"")</f>
        <v>Total Assessed Valuation for 2019</v>
      </c>
      <c r="B7" s="97"/>
      <c r="C7" s="97"/>
      <c r="D7" s="97"/>
      <c r="E7" s="73">
        <v>2108621</v>
      </c>
    </row>
    <row r="8" spans="1:5" ht="15.75" x14ac:dyDescent="0.2">
      <c r="A8" s="109" t="str">
        <f>CONCATENATE("New Improvements, Remodeling and Renovations for ",E1-1,"")</f>
        <v>New Improvements, Remodeling and Renovations for 2019</v>
      </c>
      <c r="B8" s="97"/>
      <c r="C8" s="97"/>
      <c r="D8" s="97"/>
      <c r="E8" s="103">
        <v>5269</v>
      </c>
    </row>
    <row r="9" spans="1:5" ht="15.75" x14ac:dyDescent="0.2">
      <c r="A9" s="109" t="str">
        <f>CONCATENATE("Personal Property for ",E1-1,"")</f>
        <v>Personal Property for 2019</v>
      </c>
      <c r="B9" s="97"/>
      <c r="C9" s="97"/>
      <c r="D9" s="97"/>
      <c r="E9" s="103">
        <v>24368</v>
      </c>
    </row>
    <row r="10" spans="1:5" ht="15.75" x14ac:dyDescent="0.2">
      <c r="A10" s="111" t="s">
        <v>259</v>
      </c>
      <c r="B10" s="97"/>
      <c r="C10" s="97"/>
      <c r="D10" s="97"/>
      <c r="E10" s="92"/>
    </row>
    <row r="11" spans="1:5" ht="15.75" x14ac:dyDescent="0.2">
      <c r="A11" s="109" t="s">
        <v>251</v>
      </c>
      <c r="B11" s="97"/>
      <c r="C11" s="97"/>
      <c r="D11" s="97"/>
      <c r="E11" s="103"/>
    </row>
    <row r="12" spans="1:5" ht="15.75" x14ac:dyDescent="0.2">
      <c r="A12" s="109" t="s">
        <v>252</v>
      </c>
      <c r="B12" s="97"/>
      <c r="C12" s="97"/>
      <c r="D12" s="97"/>
      <c r="E12" s="103"/>
    </row>
    <row r="13" spans="1:5" ht="15.75" x14ac:dyDescent="0.2">
      <c r="A13" s="109" t="s">
        <v>253</v>
      </c>
      <c r="B13" s="97"/>
      <c r="C13" s="97"/>
      <c r="D13" s="97"/>
      <c r="E13" s="103"/>
    </row>
    <row r="14" spans="1:5" ht="15.75" x14ac:dyDescent="0.2">
      <c r="A14" s="109" t="str">
        <f>CONCATENATE("Property that has changed in use for ",E1-1,"")</f>
        <v>Property that has changed in use for 2019</v>
      </c>
      <c r="B14" s="97"/>
      <c r="C14" s="97"/>
      <c r="D14" s="97"/>
      <c r="E14" s="103">
        <v>17725</v>
      </c>
    </row>
    <row r="15" spans="1:5" ht="15.75" x14ac:dyDescent="0.2">
      <c r="A15" s="109" t="str">
        <f>CONCATENATE("Personal Property - ",E1-2,"")</f>
        <v>Personal Property - 2018</v>
      </c>
      <c r="B15" s="97"/>
      <c r="C15" s="97"/>
      <c r="D15" s="97"/>
      <c r="E15" s="103">
        <v>24012</v>
      </c>
    </row>
    <row r="16" spans="1:5" ht="15.75" x14ac:dyDescent="0.2">
      <c r="A16" s="109" t="s">
        <v>1068</v>
      </c>
      <c r="B16" s="97"/>
      <c r="C16" s="97"/>
      <c r="D16" s="97"/>
      <c r="E16" s="103"/>
    </row>
    <row r="17" spans="1:5" ht="15.75" x14ac:dyDescent="0.2">
      <c r="A17" s="109" t="str">
        <f>CONCATENATE("Gross earnings (intangible) tax estimate for ",E1,"")</f>
        <v>Gross earnings (intangible) tax estimate for 2020</v>
      </c>
      <c r="B17" s="97"/>
      <c r="C17" s="97"/>
      <c r="D17" s="98"/>
      <c r="E17" s="73"/>
    </row>
    <row r="18" spans="1:5" ht="15.75" x14ac:dyDescent="0.2">
      <c r="A18" s="109" t="s">
        <v>43</v>
      </c>
      <c r="B18" s="97"/>
      <c r="C18" s="97"/>
      <c r="D18" s="97"/>
      <c r="E18" s="103"/>
    </row>
    <row r="19" spans="1:5" ht="15.75" x14ac:dyDescent="0.2">
      <c r="A19" s="85"/>
      <c r="B19" s="82"/>
      <c r="C19" s="82"/>
      <c r="D19" s="82"/>
      <c r="E19" s="87"/>
    </row>
    <row r="20" spans="1:5" ht="15.75" x14ac:dyDescent="0.2">
      <c r="A20" s="85" t="str">
        <f>CONCATENATE("Actual Tax Rates for the ",E1-1," Budget:")</f>
        <v>Actual Tax Rates for the 2019 Budget:</v>
      </c>
      <c r="B20" s="82"/>
      <c r="C20" s="82"/>
      <c r="D20" s="82"/>
      <c r="E20" s="87"/>
    </row>
    <row r="21" spans="1:5" ht="15.75" x14ac:dyDescent="0.2">
      <c r="A21" s="923" t="s">
        <v>138</v>
      </c>
      <c r="B21" s="913"/>
      <c r="C21" s="107"/>
      <c r="D21" s="112" t="s">
        <v>187</v>
      </c>
      <c r="E21" s="87"/>
    </row>
    <row r="22" spans="1:5" ht="15.75" x14ac:dyDescent="0.2">
      <c r="A22" s="77" t="str">
        <f>inputPrYr!B22</f>
        <v>General</v>
      </c>
      <c r="B22" s="78"/>
      <c r="C22" s="82"/>
      <c r="D22" s="94">
        <v>53.503</v>
      </c>
      <c r="E22" s="87"/>
    </row>
    <row r="23" spans="1:5" ht="15.75" x14ac:dyDescent="0.2">
      <c r="A23" s="77" t="str">
        <f>inputPrYr!B23</f>
        <v>Debt Service</v>
      </c>
      <c r="B23" s="97"/>
      <c r="C23" s="82"/>
      <c r="D23" s="94"/>
      <c r="E23" s="87"/>
    </row>
    <row r="24" spans="1:5" ht="15.75" x14ac:dyDescent="0.2">
      <c r="A24" s="109" t="str">
        <f>inputPrYr!B24</f>
        <v>Library</v>
      </c>
      <c r="B24" s="97"/>
      <c r="C24" s="82"/>
      <c r="D24" s="94"/>
      <c r="E24" s="87"/>
    </row>
    <row r="25" spans="1:5" ht="15.75" x14ac:dyDescent="0.2">
      <c r="A25" s="109">
        <f>inputPrYr!B26</f>
        <v>0</v>
      </c>
      <c r="B25" s="97"/>
      <c r="C25" s="82"/>
      <c r="D25" s="94"/>
      <c r="E25" s="87"/>
    </row>
    <row r="26" spans="1:5" ht="15.75" x14ac:dyDescent="0.2">
      <c r="A26" s="109">
        <f>inputPrYr!B27</f>
        <v>0</v>
      </c>
      <c r="B26" s="97"/>
      <c r="C26" s="82"/>
      <c r="D26" s="94"/>
      <c r="E26" s="87"/>
    </row>
    <row r="27" spans="1:5" ht="15.75" x14ac:dyDescent="0.2">
      <c r="A27" s="109">
        <f>inputPrYr!B28</f>
        <v>0</v>
      </c>
      <c r="B27" s="113"/>
      <c r="C27" s="82"/>
      <c r="D27" s="94"/>
      <c r="E27" s="87"/>
    </row>
    <row r="28" spans="1:5" ht="15.75" x14ac:dyDescent="0.2">
      <c r="A28" s="109">
        <f>inputPrYr!B29</f>
        <v>0</v>
      </c>
      <c r="B28" s="113"/>
      <c r="C28" s="82"/>
      <c r="D28" s="94"/>
      <c r="E28" s="87"/>
    </row>
    <row r="29" spans="1:5" ht="15.75" x14ac:dyDescent="0.2">
      <c r="A29" s="114"/>
      <c r="B29" s="72" t="s">
        <v>123</v>
      </c>
      <c r="C29" s="115"/>
      <c r="D29" s="95">
        <f>SUM(D22:D28)</f>
        <v>53.503</v>
      </c>
      <c r="E29" s="114"/>
    </row>
    <row r="30" spans="1:5" x14ac:dyDescent="0.2">
      <c r="A30" s="114"/>
      <c r="B30" s="114"/>
      <c r="C30" s="114"/>
      <c r="D30" s="114"/>
      <c r="E30" s="114"/>
    </row>
    <row r="31" spans="1:5" ht="15.75" x14ac:dyDescent="0.2">
      <c r="A31" s="78" t="str">
        <f>CONCATENATE("Final Assessed Valuation from the November 1, ",E1-2," Abstract")</f>
        <v>Final Assessed Valuation from the November 1, 2018 Abstract</v>
      </c>
      <c r="B31" s="116"/>
      <c r="C31" s="116"/>
      <c r="D31" s="116"/>
      <c r="E31" s="103">
        <v>2066111</v>
      </c>
    </row>
    <row r="32" spans="1:5" x14ac:dyDescent="0.2">
      <c r="A32" s="114"/>
      <c r="B32" s="114"/>
      <c r="C32" s="114"/>
      <c r="D32" s="114"/>
      <c r="E32" s="114"/>
    </row>
    <row r="33" spans="1:5" ht="15.75" x14ac:dyDescent="0.2">
      <c r="A33" s="738" t="s">
        <v>260</v>
      </c>
      <c r="B33" s="96"/>
      <c r="C33" s="96"/>
      <c r="D33" s="739"/>
      <c r="E33" s="74"/>
    </row>
    <row r="34" spans="1:5" ht="15.75" x14ac:dyDescent="0.2">
      <c r="A34" s="77" t="s">
        <v>124</v>
      </c>
      <c r="B34" s="78"/>
      <c r="C34" s="78"/>
      <c r="D34" s="117"/>
      <c r="E34" s="73">
        <v>16244</v>
      </c>
    </row>
    <row r="35" spans="1:5" ht="15.75" x14ac:dyDescent="0.2">
      <c r="A35" s="109" t="s">
        <v>125</v>
      </c>
      <c r="B35" s="97"/>
      <c r="C35" s="97"/>
      <c r="D35" s="118"/>
      <c r="E35" s="73">
        <v>324</v>
      </c>
    </row>
    <row r="36" spans="1:5" ht="15.75" x14ac:dyDescent="0.2">
      <c r="A36" s="109" t="s">
        <v>980</v>
      </c>
      <c r="B36" s="97"/>
      <c r="C36" s="97"/>
      <c r="D36" s="118"/>
      <c r="E36" s="73">
        <v>76</v>
      </c>
    </row>
    <row r="37" spans="1:5" ht="15.75" x14ac:dyDescent="0.2">
      <c r="A37" s="109" t="s">
        <v>979</v>
      </c>
      <c r="B37" s="97"/>
      <c r="C37" s="97"/>
      <c r="D37" s="118"/>
      <c r="E37" s="73">
        <v>1536</v>
      </c>
    </row>
    <row r="38" spans="1:5" ht="15.75" x14ac:dyDescent="0.2">
      <c r="A38" s="109" t="s">
        <v>981</v>
      </c>
      <c r="B38" s="97"/>
      <c r="C38" s="97"/>
      <c r="D38" s="118"/>
      <c r="E38" s="73">
        <v>51</v>
      </c>
    </row>
    <row r="39" spans="1:5" ht="15.75" x14ac:dyDescent="0.2">
      <c r="A39" s="109" t="s">
        <v>111</v>
      </c>
      <c r="B39" s="97"/>
      <c r="C39" s="97"/>
      <c r="D39" s="118"/>
      <c r="E39" s="73">
        <v>0</v>
      </c>
    </row>
    <row r="40" spans="1:5" ht="15.75" x14ac:dyDescent="0.2">
      <c r="A40" s="109" t="s">
        <v>113</v>
      </c>
      <c r="B40" s="97"/>
      <c r="C40" s="97"/>
      <c r="D40" s="118"/>
      <c r="E40" s="73">
        <v>0</v>
      </c>
    </row>
    <row r="41" spans="1:5" ht="15.75" x14ac:dyDescent="0.2">
      <c r="A41" s="56" t="s">
        <v>250</v>
      </c>
      <c r="B41" s="56"/>
      <c r="C41" s="56"/>
      <c r="D41" s="56"/>
      <c r="E41" s="56"/>
    </row>
    <row r="42" spans="1:5" ht="15.75" x14ac:dyDescent="0.2">
      <c r="A42" s="58" t="s">
        <v>145</v>
      </c>
      <c r="B42" s="63"/>
      <c r="C42" s="63"/>
      <c r="D42" s="56"/>
      <c r="E42" s="56"/>
    </row>
    <row r="43" spans="1:5" ht="15.75" x14ac:dyDescent="0.2">
      <c r="A43" s="85" t="str">
        <f>CONCATENATE("Actual Delinquency for ",E1-3," Tax - (e.g. rate .01213 = 1.213%;  key in 1.2)")</f>
        <v>Actual Delinquency for 2017 Tax - (e.g. rate .01213 = 1.213%;  key in 1.2)</v>
      </c>
      <c r="B43" s="82"/>
      <c r="C43" s="82"/>
      <c r="D43" s="82"/>
      <c r="E43" s="746"/>
    </row>
    <row r="44" spans="1:5" ht="15.75" x14ac:dyDescent="0.2">
      <c r="A44" s="77" t="s">
        <v>782</v>
      </c>
      <c r="B44" s="77"/>
      <c r="C44" s="78"/>
      <c r="D44" s="89"/>
      <c r="E44" s="613">
        <v>0</v>
      </c>
    </row>
    <row r="45" spans="1:5" ht="15.75" x14ac:dyDescent="0.2">
      <c r="A45" s="119" t="s">
        <v>7</v>
      </c>
      <c r="B45" s="119"/>
      <c r="C45" s="120"/>
      <c r="D45" s="120"/>
      <c r="E45" s="121"/>
    </row>
    <row r="46" spans="1:5" ht="15.75" x14ac:dyDescent="0.2">
      <c r="A46" s="56"/>
      <c r="B46" s="56"/>
      <c r="C46" s="56"/>
      <c r="D46" s="56"/>
      <c r="E46" s="56"/>
    </row>
    <row r="47" spans="1:5" ht="15.75" x14ac:dyDescent="0.2">
      <c r="A47" s="717" t="s">
        <v>42</v>
      </c>
      <c r="B47" s="741"/>
      <c r="C47" s="742"/>
      <c r="D47" s="742"/>
      <c r="E47" s="743"/>
    </row>
    <row r="48" spans="1:5" ht="15.75" x14ac:dyDescent="0.2">
      <c r="A48" s="122" t="str">
        <f>CONCATENATE("",E1," State Distribution for Kansas Gas Tax")</f>
        <v>2020 State Distribution for Kansas Gas Tax</v>
      </c>
      <c r="B48" s="123"/>
      <c r="C48" s="123"/>
      <c r="D48" s="124"/>
      <c r="E48" s="740">
        <v>12570</v>
      </c>
    </row>
    <row r="49" spans="1:5" ht="15.75" x14ac:dyDescent="0.2">
      <c r="A49" s="125" t="str">
        <f>CONCATENATE("",E1," County Transfers for Gas***")</f>
        <v>2020 County Transfers for Gas***</v>
      </c>
      <c r="B49" s="126"/>
      <c r="C49" s="126"/>
      <c r="D49" s="127"/>
      <c r="E49" s="103"/>
    </row>
    <row r="50" spans="1:5" ht="15.75" x14ac:dyDescent="0.2">
      <c r="A50" s="125" t="str">
        <f>CONCATENATE("Adjusted ",E1-1," State Distribution for Kansas Gas Tax")</f>
        <v>Adjusted 2019 State Distribution for Kansas Gas Tax</v>
      </c>
      <c r="B50" s="126"/>
      <c r="C50" s="126"/>
      <c r="D50" s="127"/>
      <c r="E50" s="103">
        <v>12560</v>
      </c>
    </row>
    <row r="51" spans="1:5" ht="15.75" x14ac:dyDescent="0.2">
      <c r="A51" s="125" t="str">
        <f>CONCATENATE("Adjusted ",E1-1," County Transfers for Gas***")</f>
        <v>Adjusted 2019 County Transfers for Gas***</v>
      </c>
      <c r="B51" s="126"/>
      <c r="C51" s="126"/>
      <c r="D51" s="127"/>
      <c r="E51" s="103"/>
    </row>
    <row r="52" spans="1:5" ht="18" customHeight="1" x14ac:dyDescent="0.2">
      <c r="A52" s="924" t="s">
        <v>13</v>
      </c>
      <c r="B52" s="925"/>
      <c r="C52" s="925"/>
      <c r="D52" s="925"/>
      <c r="E52" s="925"/>
    </row>
    <row r="53" spans="1:5" x14ac:dyDescent="0.2">
      <c r="A53" s="128" t="s">
        <v>14</v>
      </c>
      <c r="B53" s="128"/>
      <c r="C53" s="128"/>
      <c r="D53" s="128"/>
      <c r="E53" s="128"/>
    </row>
    <row r="54" spans="1:5" x14ac:dyDescent="0.2">
      <c r="A54" s="107"/>
      <c r="B54" s="107"/>
      <c r="C54" s="107"/>
      <c r="D54" s="107"/>
      <c r="E54" s="107"/>
    </row>
    <row r="55" spans="1:5" ht="15.75" x14ac:dyDescent="0.2">
      <c r="A55" s="926" t="str">
        <f>CONCATENATE("From the ",E1-2," Budget Certificate Page")</f>
        <v>From the 2018 Budget Certificate Page</v>
      </c>
      <c r="B55" s="927"/>
      <c r="C55" s="107"/>
      <c r="D55" s="107"/>
      <c r="E55" s="107"/>
    </row>
    <row r="56" spans="1:5" ht="15.75" x14ac:dyDescent="0.2">
      <c r="A56" s="129"/>
      <c r="B56" s="129" t="str">
        <f>CONCATENATE("",E1-2," Expenditure Amounts")</f>
        <v>2018 Expenditure Amounts</v>
      </c>
      <c r="C56" s="921" t="str">
        <f>CONCATENATE("Note: If the ",E1-2," budget was amended, then the")</f>
        <v>Note: If the 2018 budget was amended, then the</v>
      </c>
      <c r="D56" s="922"/>
      <c r="E56" s="922"/>
    </row>
    <row r="57" spans="1:5" ht="15.75" x14ac:dyDescent="0.2">
      <c r="A57" s="130" t="s">
        <v>48</v>
      </c>
      <c r="B57" s="130" t="s">
        <v>47</v>
      </c>
      <c r="C57" s="131" t="s">
        <v>45</v>
      </c>
      <c r="D57" s="132"/>
      <c r="E57" s="132"/>
    </row>
    <row r="58" spans="1:5" ht="15.75" x14ac:dyDescent="0.2">
      <c r="A58" s="133" t="str">
        <f>inputPrYr!B22</f>
        <v>General</v>
      </c>
      <c r="B58" s="103">
        <v>362800</v>
      </c>
      <c r="C58" s="131" t="s">
        <v>46</v>
      </c>
      <c r="D58" s="132"/>
      <c r="E58" s="132"/>
    </row>
    <row r="59" spans="1:5" ht="15.75" x14ac:dyDescent="0.2">
      <c r="A59" s="133" t="str">
        <f>inputPrYr!B23</f>
        <v>Debt Service</v>
      </c>
      <c r="B59" s="103"/>
      <c r="C59" s="131"/>
      <c r="D59" s="132"/>
      <c r="E59" s="132"/>
    </row>
    <row r="60" spans="1:5" ht="15.75" x14ac:dyDescent="0.2">
      <c r="A60" s="133" t="str">
        <f>inputPrYr!B24</f>
        <v>Library</v>
      </c>
      <c r="B60" s="103"/>
      <c r="C60" s="107"/>
      <c r="D60" s="107"/>
      <c r="E60" s="107"/>
    </row>
    <row r="61" spans="1:5" ht="15.75" x14ac:dyDescent="0.2">
      <c r="A61" s="133">
        <f>inputPrYr!B26</f>
        <v>0</v>
      </c>
      <c r="B61" s="103"/>
      <c r="C61" s="107"/>
      <c r="D61" s="107"/>
      <c r="E61" s="107"/>
    </row>
    <row r="62" spans="1:5" ht="15.75" x14ac:dyDescent="0.2">
      <c r="A62" s="133">
        <f>inputPrYr!B27</f>
        <v>0</v>
      </c>
      <c r="B62" s="103"/>
      <c r="C62" s="107"/>
      <c r="D62" s="107"/>
      <c r="E62" s="107"/>
    </row>
    <row r="63" spans="1:5" ht="15.75" x14ac:dyDescent="0.2">
      <c r="A63" s="133">
        <f>inputPrYr!B28</f>
        <v>0</v>
      </c>
      <c r="B63" s="103"/>
      <c r="C63" s="107"/>
      <c r="D63" s="107"/>
      <c r="E63" s="107"/>
    </row>
    <row r="64" spans="1:5" ht="15.75" x14ac:dyDescent="0.2">
      <c r="A64" s="133">
        <f>inputPrYr!B29</f>
        <v>0</v>
      </c>
      <c r="B64" s="103"/>
      <c r="C64" s="107"/>
      <c r="D64" s="107"/>
      <c r="E64" s="107"/>
    </row>
    <row r="65" spans="1:5" ht="15.75" x14ac:dyDescent="0.2">
      <c r="A65" s="133" t="str">
        <f>inputPrYr!B33</f>
        <v>Special Highway</v>
      </c>
      <c r="B65" s="103">
        <v>25501</v>
      </c>
      <c r="C65" s="107"/>
      <c r="D65" s="107"/>
      <c r="E65" s="107"/>
    </row>
    <row r="66" spans="1:5" ht="15.75" x14ac:dyDescent="0.2">
      <c r="A66" s="133" t="str">
        <f>inputPrYr!B34</f>
        <v>Special Parks</v>
      </c>
      <c r="B66" s="103">
        <v>121008</v>
      </c>
      <c r="C66" s="107"/>
      <c r="D66" s="107"/>
      <c r="E66" s="107"/>
    </row>
    <row r="67" spans="1:5" ht="15.75" x14ac:dyDescent="0.2">
      <c r="A67" s="133" t="str">
        <f>inputPrYr!B35</f>
        <v>Tourism</v>
      </c>
      <c r="B67" s="103">
        <v>5123</v>
      </c>
      <c r="C67" s="107"/>
      <c r="D67" s="107"/>
      <c r="E67" s="107"/>
    </row>
    <row r="68" spans="1:5" ht="15.75" x14ac:dyDescent="0.2">
      <c r="A68" s="133" t="str">
        <f>inputPrYr!B36</f>
        <v>Water</v>
      </c>
      <c r="B68" s="103">
        <v>305506</v>
      </c>
      <c r="C68" s="107"/>
      <c r="D68" s="107"/>
      <c r="E68" s="107"/>
    </row>
    <row r="69" spans="1:5" ht="15.75" x14ac:dyDescent="0.2">
      <c r="A69" s="133" t="str">
        <f>inputPrYr!B37</f>
        <v>Sewer</v>
      </c>
      <c r="B69" s="103">
        <v>64240</v>
      </c>
      <c r="C69" s="107"/>
      <c r="D69" s="107"/>
      <c r="E69" s="107"/>
    </row>
    <row r="70" spans="1:5" ht="15.75" x14ac:dyDescent="0.2">
      <c r="A70" s="133">
        <f>inputPrYr!B38</f>
        <v>0</v>
      </c>
      <c r="B70" s="103"/>
      <c r="C70" s="107"/>
      <c r="D70" s="107"/>
      <c r="E70" s="107"/>
    </row>
    <row r="71" spans="1:5" ht="15.75" x14ac:dyDescent="0.2">
      <c r="A71" s="133">
        <f>inputPrYr!B40</f>
        <v>0</v>
      </c>
      <c r="B71" s="103"/>
      <c r="C71" s="107"/>
      <c r="D71" s="107"/>
      <c r="E71" s="107"/>
    </row>
  </sheetData>
  <mergeCells count="5">
    <mergeCell ref="C56:E56"/>
    <mergeCell ref="A21:B21"/>
    <mergeCell ref="A52:E52"/>
    <mergeCell ref="A3:E3"/>
    <mergeCell ref="A55:B55"/>
  </mergeCells>
  <phoneticPr fontId="10" type="noConversion"/>
  <pageMargins left="0.75" right="0.75" top="1" bottom="1" header="0.5" footer="0.5"/>
  <pageSetup scale="58"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3:J109"/>
  <sheetViews>
    <sheetView workbookViewId="0">
      <selection activeCell="N112" sqref="N112"/>
    </sheetView>
  </sheetViews>
  <sheetFormatPr defaultRowHeight="15" x14ac:dyDescent="0.2"/>
  <cols>
    <col min="1" max="1" width="71.33203125" customWidth="1"/>
  </cols>
  <sheetData>
    <row r="3" spans="1:10" x14ac:dyDescent="0.2">
      <c r="A3" s="347" t="s">
        <v>369</v>
      </c>
      <c r="B3" s="347"/>
      <c r="C3" s="347"/>
      <c r="D3" s="347"/>
      <c r="E3" s="347"/>
      <c r="F3" s="347"/>
      <c r="G3" s="347"/>
      <c r="H3" s="348"/>
      <c r="I3" s="348"/>
      <c r="J3" s="348"/>
    </row>
    <row r="5" spans="1:10" x14ac:dyDescent="0.2">
      <c r="A5" s="346" t="s">
        <v>370</v>
      </c>
    </row>
    <row r="6" spans="1:10" x14ac:dyDescent="0.2">
      <c r="A6" t="str">
        <f>CONCATENATE(inputPrYr!C6-2," expenditures show that you finished the year with a ")</f>
        <v xml:space="preserve">2018 expenditures show that you finished the year with a </v>
      </c>
    </row>
    <row r="7" spans="1:10" x14ac:dyDescent="0.2">
      <c r="A7" t="s">
        <v>371</v>
      </c>
    </row>
    <row r="9" spans="1:10" x14ac:dyDescent="0.2">
      <c r="A9" t="s">
        <v>372</v>
      </c>
    </row>
    <row r="10" spans="1:10" x14ac:dyDescent="0.2">
      <c r="A10" t="s">
        <v>373</v>
      </c>
    </row>
    <row r="11" spans="1:10" x14ac:dyDescent="0.2">
      <c r="A11" t="s">
        <v>374</v>
      </c>
    </row>
    <row r="13" spans="1:10" x14ac:dyDescent="0.2">
      <c r="A13" s="345" t="s">
        <v>375</v>
      </c>
    </row>
    <row r="14" spans="1:10" x14ac:dyDescent="0.2">
      <c r="A14" s="345"/>
    </row>
    <row r="15" spans="1:10" x14ac:dyDescent="0.2">
      <c r="A15" s="346" t="s">
        <v>376</v>
      </c>
    </row>
    <row r="16" spans="1:10" x14ac:dyDescent="0.2">
      <c r="A16" s="346" t="s">
        <v>377</v>
      </c>
    </row>
    <row r="17" spans="1:1" x14ac:dyDescent="0.2">
      <c r="A17" s="346" t="s">
        <v>378</v>
      </c>
    </row>
    <row r="18" spans="1:1" x14ac:dyDescent="0.2">
      <c r="A18" s="346"/>
    </row>
    <row r="19" spans="1:1" x14ac:dyDescent="0.2">
      <c r="A19" s="345" t="s">
        <v>379</v>
      </c>
    </row>
    <row r="20" spans="1:1" x14ac:dyDescent="0.2">
      <c r="A20" s="345"/>
    </row>
    <row r="21" spans="1:1" x14ac:dyDescent="0.2">
      <c r="A21" s="346" t="s">
        <v>380</v>
      </c>
    </row>
    <row r="22" spans="1:1" x14ac:dyDescent="0.2">
      <c r="A22" s="346" t="s">
        <v>381</v>
      </c>
    </row>
    <row r="23" spans="1:1" x14ac:dyDescent="0.2">
      <c r="A23" s="346" t="s">
        <v>382</v>
      </c>
    </row>
    <row r="24" spans="1:1" x14ac:dyDescent="0.2">
      <c r="A24" s="346"/>
    </row>
    <row r="25" spans="1:1" x14ac:dyDescent="0.2">
      <c r="A25" s="345" t="s">
        <v>383</v>
      </c>
    </row>
    <row r="26" spans="1:1" x14ac:dyDescent="0.2">
      <c r="A26" s="345"/>
    </row>
    <row r="27" spans="1:1" x14ac:dyDescent="0.2">
      <c r="A27" s="346" t="s">
        <v>384</v>
      </c>
    </row>
    <row r="28" spans="1:1" x14ac:dyDescent="0.2">
      <c r="A28" s="346" t="s">
        <v>385</v>
      </c>
    </row>
    <row r="29" spans="1:1" x14ac:dyDescent="0.2">
      <c r="A29" s="346" t="s">
        <v>386</v>
      </c>
    </row>
    <row r="30" spans="1:1" x14ac:dyDescent="0.2">
      <c r="A30" s="346"/>
    </row>
    <row r="31" spans="1:1" x14ac:dyDescent="0.2">
      <c r="A31" s="345" t="s">
        <v>387</v>
      </c>
    </row>
    <row r="32" spans="1:1" x14ac:dyDescent="0.2">
      <c r="A32" s="345"/>
    </row>
    <row r="33" spans="1:8" x14ac:dyDescent="0.2">
      <c r="A33" s="346" t="str">
        <f>CONCATENATE("If your financial records for ",inputPrYr!C6-2," are not closed")</f>
        <v>If your financial records for 2018 are not closed</v>
      </c>
      <c r="B33" s="346"/>
      <c r="C33" s="346"/>
      <c r="D33" s="346"/>
      <c r="E33" s="346"/>
      <c r="F33" s="346"/>
      <c r="G33" s="346"/>
      <c r="H33" s="346"/>
    </row>
    <row r="34" spans="1:8" x14ac:dyDescent="0.2">
      <c r="A34" s="346" t="str">
        <f>CONCATENATE("(i.e. an audit has not been completed, or the ",inputPrYr!C6," adopted ")</f>
        <v xml:space="preserve">(i.e. an audit has not been completed, or the 2020 adopted </v>
      </c>
      <c r="B34" s="346"/>
      <c r="C34" s="346"/>
      <c r="D34" s="346"/>
      <c r="E34" s="346"/>
      <c r="F34" s="346"/>
      <c r="G34" s="346"/>
      <c r="H34" s="346"/>
    </row>
    <row r="35" spans="1:8" x14ac:dyDescent="0.2">
      <c r="A35" s="346" t="s">
        <v>388</v>
      </c>
      <c r="B35" s="346"/>
      <c r="C35" s="346"/>
      <c r="D35" s="346"/>
      <c r="E35" s="346"/>
      <c r="F35" s="346"/>
      <c r="G35" s="346"/>
      <c r="H35" s="346"/>
    </row>
    <row r="36" spans="1:8" x14ac:dyDescent="0.2">
      <c r="A36" s="346" t="s">
        <v>389</v>
      </c>
      <c r="B36" s="346"/>
      <c r="C36" s="346"/>
      <c r="D36" s="346"/>
      <c r="E36" s="346"/>
      <c r="F36" s="346"/>
      <c r="G36" s="346"/>
      <c r="H36" s="346"/>
    </row>
    <row r="37" spans="1:8" x14ac:dyDescent="0.2">
      <c r="A37" s="346" t="s">
        <v>390</v>
      </c>
      <c r="B37" s="346"/>
      <c r="C37" s="346"/>
      <c r="D37" s="346"/>
      <c r="E37" s="346"/>
      <c r="F37" s="346"/>
      <c r="G37" s="346"/>
      <c r="H37" s="346"/>
    </row>
    <row r="38" spans="1:8" x14ac:dyDescent="0.2">
      <c r="A38" s="346" t="s">
        <v>391</v>
      </c>
      <c r="B38" s="346"/>
      <c r="C38" s="346"/>
      <c r="D38" s="346"/>
      <c r="E38" s="346"/>
      <c r="F38" s="346"/>
      <c r="G38" s="346"/>
      <c r="H38" s="346"/>
    </row>
    <row r="39" spans="1:8" x14ac:dyDescent="0.2">
      <c r="A39" s="346" t="s">
        <v>392</v>
      </c>
      <c r="B39" s="346"/>
      <c r="C39" s="346"/>
      <c r="D39" s="346"/>
      <c r="E39" s="346"/>
      <c r="F39" s="346"/>
      <c r="G39" s="346"/>
      <c r="H39" s="346"/>
    </row>
    <row r="40" spans="1:8" x14ac:dyDescent="0.2">
      <c r="A40" s="346"/>
      <c r="B40" s="346"/>
      <c r="C40" s="346"/>
      <c r="D40" s="346"/>
      <c r="E40" s="346"/>
      <c r="F40" s="346"/>
      <c r="G40" s="346"/>
      <c r="H40" s="346"/>
    </row>
    <row r="41" spans="1:8" x14ac:dyDescent="0.2">
      <c r="A41" s="346" t="s">
        <v>393</v>
      </c>
      <c r="B41" s="346"/>
      <c r="C41" s="346"/>
      <c r="D41" s="346"/>
      <c r="E41" s="346"/>
      <c r="F41" s="346"/>
      <c r="G41" s="346"/>
      <c r="H41" s="346"/>
    </row>
    <row r="42" spans="1:8" x14ac:dyDescent="0.2">
      <c r="A42" s="346" t="s">
        <v>394</v>
      </c>
      <c r="B42" s="346"/>
      <c r="C42" s="346"/>
      <c r="D42" s="346"/>
      <c r="E42" s="346"/>
      <c r="F42" s="346"/>
      <c r="G42" s="346"/>
      <c r="H42" s="346"/>
    </row>
    <row r="43" spans="1:8" x14ac:dyDescent="0.2">
      <c r="A43" s="346" t="s">
        <v>395</v>
      </c>
      <c r="B43" s="346"/>
      <c r="C43" s="346"/>
      <c r="D43" s="346"/>
      <c r="E43" s="346"/>
      <c r="F43" s="346"/>
      <c r="G43" s="346"/>
      <c r="H43" s="346"/>
    </row>
    <row r="44" spans="1:8" x14ac:dyDescent="0.2">
      <c r="A44" s="346" t="s">
        <v>396</v>
      </c>
      <c r="B44" s="346"/>
      <c r="C44" s="346"/>
      <c r="D44" s="346"/>
      <c r="E44" s="346"/>
      <c r="F44" s="346"/>
      <c r="G44" s="346"/>
      <c r="H44" s="346"/>
    </row>
    <row r="45" spans="1:8" x14ac:dyDescent="0.2">
      <c r="A45" s="346"/>
      <c r="B45" s="346"/>
      <c r="C45" s="346"/>
      <c r="D45" s="346"/>
      <c r="E45" s="346"/>
      <c r="F45" s="346"/>
      <c r="G45" s="346"/>
      <c r="H45" s="346"/>
    </row>
    <row r="46" spans="1:8" x14ac:dyDescent="0.2">
      <c r="A46" s="346" t="s">
        <v>397</v>
      </c>
      <c r="B46" s="346"/>
      <c r="C46" s="346"/>
      <c r="D46" s="346"/>
      <c r="E46" s="346"/>
      <c r="F46" s="346"/>
      <c r="G46" s="346"/>
      <c r="H46" s="346"/>
    </row>
    <row r="47" spans="1:8" x14ac:dyDescent="0.2">
      <c r="A47" s="346" t="s">
        <v>398</v>
      </c>
      <c r="B47" s="346"/>
      <c r="C47" s="346"/>
      <c r="D47" s="346"/>
      <c r="E47" s="346"/>
      <c r="F47" s="346"/>
      <c r="G47" s="346"/>
      <c r="H47" s="346"/>
    </row>
    <row r="48" spans="1:8" x14ac:dyDescent="0.2">
      <c r="A48" s="346" t="s">
        <v>399</v>
      </c>
      <c r="B48" s="346"/>
      <c r="C48" s="346"/>
      <c r="D48" s="346"/>
      <c r="E48" s="346"/>
      <c r="F48" s="346"/>
      <c r="G48" s="346"/>
      <c r="H48" s="346"/>
    </row>
    <row r="49" spans="1:8" x14ac:dyDescent="0.2">
      <c r="A49" s="346" t="s">
        <v>400</v>
      </c>
      <c r="B49" s="346"/>
      <c r="C49" s="346"/>
      <c r="D49" s="346"/>
      <c r="E49" s="346"/>
      <c r="F49" s="346"/>
      <c r="G49" s="346"/>
      <c r="H49" s="346"/>
    </row>
    <row r="50" spans="1:8" x14ac:dyDescent="0.2">
      <c r="A50" s="346" t="s">
        <v>401</v>
      </c>
      <c r="B50" s="346"/>
      <c r="C50" s="346"/>
      <c r="D50" s="346"/>
      <c r="E50" s="346"/>
      <c r="F50" s="346"/>
      <c r="G50" s="346"/>
      <c r="H50" s="346"/>
    </row>
    <row r="51" spans="1:8" x14ac:dyDescent="0.2">
      <c r="A51" s="346"/>
      <c r="B51" s="346"/>
      <c r="C51" s="346"/>
      <c r="D51" s="346"/>
      <c r="E51" s="346"/>
      <c r="F51" s="346"/>
      <c r="G51" s="346"/>
      <c r="H51" s="346"/>
    </row>
    <row r="52" spans="1:8" x14ac:dyDescent="0.2">
      <c r="A52" s="345" t="s">
        <v>402</v>
      </c>
      <c r="B52" s="345"/>
      <c r="C52" s="345"/>
      <c r="D52" s="345"/>
      <c r="E52" s="345"/>
      <c r="F52" s="345"/>
      <c r="G52" s="345"/>
      <c r="H52" s="346"/>
    </row>
    <row r="53" spans="1:8" x14ac:dyDescent="0.2">
      <c r="A53" s="345" t="s">
        <v>403</v>
      </c>
      <c r="B53" s="345"/>
      <c r="C53" s="345"/>
      <c r="D53" s="345"/>
      <c r="E53" s="345"/>
      <c r="F53" s="345"/>
      <c r="G53" s="345"/>
      <c r="H53" s="346"/>
    </row>
    <row r="54" spans="1:8" x14ac:dyDescent="0.2">
      <c r="A54" s="346"/>
      <c r="B54" s="346"/>
      <c r="C54" s="346"/>
      <c r="D54" s="346"/>
      <c r="E54" s="346"/>
      <c r="F54" s="346"/>
      <c r="G54" s="346"/>
      <c r="H54" s="346"/>
    </row>
    <row r="55" spans="1:8" x14ac:dyDescent="0.2">
      <c r="A55" s="346" t="s">
        <v>404</v>
      </c>
      <c r="B55" s="346"/>
      <c r="C55" s="346"/>
      <c r="D55" s="346"/>
      <c r="E55" s="346"/>
      <c r="F55" s="346"/>
      <c r="G55" s="346"/>
      <c r="H55" s="346"/>
    </row>
    <row r="56" spans="1:8" x14ac:dyDescent="0.2">
      <c r="A56" s="346" t="s">
        <v>405</v>
      </c>
      <c r="B56" s="346"/>
      <c r="C56" s="346"/>
      <c r="D56" s="346"/>
      <c r="E56" s="346"/>
      <c r="F56" s="346"/>
      <c r="G56" s="346"/>
      <c r="H56" s="346"/>
    </row>
    <row r="57" spans="1:8" x14ac:dyDescent="0.2">
      <c r="A57" s="346" t="s">
        <v>406</v>
      </c>
      <c r="B57" s="346"/>
      <c r="C57" s="346"/>
      <c r="D57" s="346"/>
      <c r="E57" s="346"/>
      <c r="F57" s="346"/>
      <c r="G57" s="346"/>
      <c r="H57" s="346"/>
    </row>
    <row r="58" spans="1:8" x14ac:dyDescent="0.2">
      <c r="A58" s="346" t="s">
        <v>407</v>
      </c>
      <c r="B58" s="346"/>
      <c r="C58" s="346"/>
      <c r="D58" s="346"/>
      <c r="E58" s="346"/>
      <c r="F58" s="346"/>
      <c r="G58" s="346"/>
      <c r="H58" s="346"/>
    </row>
    <row r="59" spans="1:8" x14ac:dyDescent="0.2">
      <c r="A59" s="346"/>
      <c r="B59" s="346"/>
      <c r="C59" s="346"/>
      <c r="D59" s="346"/>
      <c r="E59" s="346"/>
      <c r="F59" s="346"/>
      <c r="G59" s="346"/>
      <c r="H59" s="346"/>
    </row>
    <row r="60" spans="1:8" x14ac:dyDescent="0.2">
      <c r="A60" s="346" t="s">
        <v>408</v>
      </c>
      <c r="B60" s="346"/>
      <c r="C60" s="346"/>
      <c r="D60" s="346"/>
      <c r="E60" s="346"/>
      <c r="F60" s="346"/>
      <c r="G60" s="346"/>
      <c r="H60" s="346"/>
    </row>
    <row r="61" spans="1:8" x14ac:dyDescent="0.2">
      <c r="A61" s="346" t="s">
        <v>409</v>
      </c>
      <c r="B61" s="346"/>
      <c r="C61" s="346"/>
      <c r="D61" s="346"/>
      <c r="E61" s="346"/>
      <c r="F61" s="346"/>
      <c r="G61" s="346"/>
      <c r="H61" s="346"/>
    </row>
    <row r="62" spans="1:8" x14ac:dyDescent="0.2">
      <c r="A62" s="346" t="s">
        <v>410</v>
      </c>
      <c r="B62" s="346"/>
      <c r="C62" s="346"/>
      <c r="D62" s="346"/>
      <c r="E62" s="346"/>
      <c r="F62" s="346"/>
      <c r="G62" s="346"/>
      <c r="H62" s="346"/>
    </row>
    <row r="63" spans="1:8" x14ac:dyDescent="0.2">
      <c r="A63" s="346" t="s">
        <v>411</v>
      </c>
      <c r="B63" s="346"/>
      <c r="C63" s="346"/>
      <c r="D63" s="346"/>
      <c r="E63" s="346"/>
      <c r="F63" s="346"/>
      <c r="G63" s="346"/>
      <c r="H63" s="346"/>
    </row>
    <row r="64" spans="1:8" x14ac:dyDescent="0.2">
      <c r="A64" s="346" t="s">
        <v>412</v>
      </c>
      <c r="B64" s="346"/>
      <c r="C64" s="346"/>
      <c r="D64" s="346"/>
      <c r="E64" s="346"/>
      <c r="F64" s="346"/>
      <c r="G64" s="346"/>
      <c r="H64" s="346"/>
    </row>
    <row r="65" spans="1:8" x14ac:dyDescent="0.2">
      <c r="A65" s="346" t="s">
        <v>413</v>
      </c>
      <c r="B65" s="346"/>
      <c r="C65" s="346"/>
      <c r="D65" s="346"/>
      <c r="E65" s="346"/>
      <c r="F65" s="346"/>
      <c r="G65" s="346"/>
      <c r="H65" s="346"/>
    </row>
    <row r="66" spans="1:8" x14ac:dyDescent="0.2">
      <c r="A66" s="346"/>
      <c r="B66" s="346"/>
      <c r="C66" s="346"/>
      <c r="D66" s="346"/>
      <c r="E66" s="346"/>
      <c r="F66" s="346"/>
      <c r="G66" s="346"/>
      <c r="H66" s="346"/>
    </row>
    <row r="67" spans="1:8" x14ac:dyDescent="0.2">
      <c r="A67" s="346" t="s">
        <v>414</v>
      </c>
      <c r="B67" s="346"/>
      <c r="C67" s="346"/>
      <c r="D67" s="346"/>
      <c r="E67" s="346"/>
      <c r="F67" s="346"/>
      <c r="G67" s="346"/>
      <c r="H67" s="346"/>
    </row>
    <row r="68" spans="1:8" x14ac:dyDescent="0.2">
      <c r="A68" s="346" t="s">
        <v>415</v>
      </c>
      <c r="B68" s="346"/>
      <c r="C68" s="346"/>
      <c r="D68" s="346"/>
      <c r="E68" s="346"/>
      <c r="F68" s="346"/>
      <c r="G68" s="346"/>
      <c r="H68" s="346"/>
    </row>
    <row r="69" spans="1:8" x14ac:dyDescent="0.2">
      <c r="A69" s="346" t="s">
        <v>416</v>
      </c>
      <c r="B69" s="346"/>
      <c r="C69" s="346"/>
      <c r="D69" s="346"/>
      <c r="E69" s="346"/>
      <c r="F69" s="346"/>
      <c r="G69" s="346"/>
      <c r="H69" s="346"/>
    </row>
    <row r="70" spans="1:8" x14ac:dyDescent="0.2">
      <c r="A70" s="346" t="s">
        <v>417</v>
      </c>
      <c r="B70" s="346"/>
      <c r="C70" s="346"/>
      <c r="D70" s="346"/>
      <c r="E70" s="346"/>
      <c r="F70" s="346"/>
      <c r="G70" s="346"/>
      <c r="H70" s="346"/>
    </row>
    <row r="71" spans="1:8" x14ac:dyDescent="0.2">
      <c r="A71" s="346" t="s">
        <v>418</v>
      </c>
      <c r="B71" s="346"/>
      <c r="C71" s="346"/>
      <c r="D71" s="346"/>
      <c r="E71" s="346"/>
      <c r="F71" s="346"/>
      <c r="G71" s="346"/>
      <c r="H71" s="346"/>
    </row>
    <row r="72" spans="1:8" x14ac:dyDescent="0.2">
      <c r="A72" s="346" t="s">
        <v>419</v>
      </c>
      <c r="B72" s="346"/>
      <c r="C72" s="346"/>
      <c r="D72" s="346"/>
      <c r="E72" s="346"/>
      <c r="F72" s="346"/>
      <c r="G72" s="346"/>
      <c r="H72" s="346"/>
    </row>
    <row r="73" spans="1:8" x14ac:dyDescent="0.2">
      <c r="A73" s="346" t="s">
        <v>420</v>
      </c>
      <c r="B73" s="346"/>
      <c r="C73" s="346"/>
      <c r="D73" s="346"/>
      <c r="E73" s="346"/>
      <c r="F73" s="346"/>
      <c r="G73" s="346"/>
      <c r="H73" s="346"/>
    </row>
    <row r="74" spans="1:8" x14ac:dyDescent="0.2">
      <c r="A74" s="346"/>
      <c r="B74" s="346"/>
      <c r="C74" s="346"/>
      <c r="D74" s="346"/>
      <c r="E74" s="346"/>
      <c r="F74" s="346"/>
      <c r="G74" s="346"/>
      <c r="H74" s="346"/>
    </row>
    <row r="75" spans="1:8" x14ac:dyDescent="0.2">
      <c r="A75" s="346" t="s">
        <v>421</v>
      </c>
      <c r="B75" s="346"/>
      <c r="C75" s="346"/>
      <c r="D75" s="346"/>
      <c r="E75" s="346"/>
      <c r="F75" s="346"/>
      <c r="G75" s="346"/>
      <c r="H75" s="346"/>
    </row>
    <row r="76" spans="1:8" x14ac:dyDescent="0.2">
      <c r="A76" s="346" t="s">
        <v>422</v>
      </c>
      <c r="B76" s="346"/>
      <c r="C76" s="346"/>
      <c r="D76" s="346"/>
      <c r="E76" s="346"/>
      <c r="F76" s="346"/>
      <c r="G76" s="346"/>
      <c r="H76" s="346"/>
    </row>
    <row r="77" spans="1:8" x14ac:dyDescent="0.2">
      <c r="A77" s="346" t="s">
        <v>423</v>
      </c>
      <c r="B77" s="346"/>
      <c r="C77" s="346"/>
      <c r="D77" s="346"/>
      <c r="E77" s="346"/>
      <c r="F77" s="346"/>
      <c r="G77" s="346"/>
      <c r="H77" s="346"/>
    </row>
    <row r="78" spans="1:8" x14ac:dyDescent="0.2">
      <c r="A78" s="346"/>
      <c r="B78" s="346"/>
      <c r="C78" s="346"/>
      <c r="D78" s="346"/>
      <c r="E78" s="346"/>
      <c r="F78" s="346"/>
      <c r="G78" s="346"/>
      <c r="H78" s="346"/>
    </row>
    <row r="79" spans="1:8" x14ac:dyDescent="0.2">
      <c r="A79" s="346" t="s">
        <v>424</v>
      </c>
    </row>
    <row r="80" spans="1:8" x14ac:dyDescent="0.2">
      <c r="A80" s="345"/>
    </row>
    <row r="81" spans="1:1" x14ac:dyDescent="0.2">
      <c r="A81" s="346"/>
    </row>
    <row r="82" spans="1:1" x14ac:dyDescent="0.2">
      <c r="A82" s="346"/>
    </row>
    <row r="83" spans="1:1" x14ac:dyDescent="0.2">
      <c r="A83" s="346"/>
    </row>
    <row r="84" spans="1:1" x14ac:dyDescent="0.2">
      <c r="A84" s="346"/>
    </row>
    <row r="85" spans="1:1" x14ac:dyDescent="0.2">
      <c r="A85" s="346"/>
    </row>
    <row r="86" spans="1:1" x14ac:dyDescent="0.2">
      <c r="A86" s="346"/>
    </row>
    <row r="87" spans="1:1" x14ac:dyDescent="0.2">
      <c r="A87" s="346"/>
    </row>
    <row r="88" spans="1:1" x14ac:dyDescent="0.2">
      <c r="A88" s="346"/>
    </row>
    <row r="89" spans="1:1" x14ac:dyDescent="0.2">
      <c r="A89" s="346"/>
    </row>
    <row r="90" spans="1:1" x14ac:dyDescent="0.2">
      <c r="A90" s="346"/>
    </row>
    <row r="91" spans="1:1" x14ac:dyDescent="0.2">
      <c r="A91" s="346"/>
    </row>
    <row r="92" spans="1:1" x14ac:dyDescent="0.2">
      <c r="A92" s="346"/>
    </row>
    <row r="93" spans="1:1" x14ac:dyDescent="0.2">
      <c r="A93" s="346"/>
    </row>
    <row r="94" spans="1:1" x14ac:dyDescent="0.2">
      <c r="A94" s="346"/>
    </row>
    <row r="95" spans="1:1" x14ac:dyDescent="0.2">
      <c r="A95" s="346"/>
    </row>
    <row r="96" spans="1:1" x14ac:dyDescent="0.2">
      <c r="A96" s="346"/>
    </row>
    <row r="97" spans="1:1" x14ac:dyDescent="0.2">
      <c r="A97" s="346"/>
    </row>
    <row r="98" spans="1:1" x14ac:dyDescent="0.2">
      <c r="A98" s="346"/>
    </row>
    <row r="99" spans="1:1" x14ac:dyDescent="0.2">
      <c r="A99" s="346"/>
    </row>
    <row r="100" spans="1:1" x14ac:dyDescent="0.2">
      <c r="A100" s="346"/>
    </row>
    <row r="101" spans="1:1" x14ac:dyDescent="0.2">
      <c r="A101" s="346"/>
    </row>
    <row r="103" spans="1:1" x14ac:dyDescent="0.2">
      <c r="A103" s="346"/>
    </row>
    <row r="104" spans="1:1" x14ac:dyDescent="0.2">
      <c r="A104" s="346"/>
    </row>
    <row r="105" spans="1:1" x14ac:dyDescent="0.2">
      <c r="A105" s="346"/>
    </row>
    <row r="107" spans="1:1" x14ac:dyDescent="0.2">
      <c r="A107" s="345"/>
    </row>
    <row r="108" spans="1:1" x14ac:dyDescent="0.2">
      <c r="A108" s="345"/>
    </row>
    <row r="109" spans="1:1" x14ac:dyDescent="0.2">
      <c r="A109" s="345"/>
    </row>
  </sheetData>
  <sheetProtection sheet="1"/>
  <pageMargins left="0.7" right="0.7" top="0.75" bottom="0.75" header="0.3" footer="0.3"/>
  <pageSetup orientation="portrait" r:id="rId1"/>
  <headerFooter>
    <oddFooter>&amp;Lrevised 10/02/09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3:L75"/>
  <sheetViews>
    <sheetView workbookViewId="0">
      <selection activeCell="N109" sqref="N109"/>
    </sheetView>
  </sheetViews>
  <sheetFormatPr defaultRowHeight="15" x14ac:dyDescent="0.2"/>
  <cols>
    <col min="1" max="1" width="71.33203125" customWidth="1"/>
  </cols>
  <sheetData>
    <row r="3" spans="1:12" x14ac:dyDescent="0.2">
      <c r="A3" s="347" t="s">
        <v>481</v>
      </c>
      <c r="B3" s="347"/>
      <c r="C3" s="347"/>
      <c r="D3" s="347"/>
      <c r="E3" s="347"/>
      <c r="F3" s="347"/>
      <c r="G3" s="347"/>
      <c r="H3" s="347"/>
      <c r="I3" s="347"/>
      <c r="J3" s="347"/>
      <c r="K3" s="347"/>
      <c r="L3" s="347"/>
    </row>
    <row r="4" spans="1:12" x14ac:dyDescent="0.2">
      <c r="A4" s="347"/>
      <c r="B4" s="347"/>
      <c r="C4" s="347"/>
      <c r="D4" s="347"/>
      <c r="E4" s="347"/>
      <c r="F4" s="347"/>
      <c r="G4" s="347"/>
      <c r="H4" s="347"/>
      <c r="I4" s="347"/>
      <c r="J4" s="347"/>
      <c r="K4" s="347"/>
      <c r="L4" s="347"/>
    </row>
    <row r="5" spans="1:12" x14ac:dyDescent="0.2">
      <c r="A5" s="346" t="s">
        <v>426</v>
      </c>
      <c r="I5" s="347"/>
      <c r="J5" s="347"/>
      <c r="K5" s="347"/>
      <c r="L5" s="347"/>
    </row>
    <row r="6" spans="1:12" x14ac:dyDescent="0.2">
      <c r="A6" s="346" t="str">
        <f>CONCATENATE("estimated ",inputPrYr!C6-1," 'total expenditures' exceed your ",inputPrYr!C6-1,"")</f>
        <v>estimated 2019 'total expenditures' exceed your 2019</v>
      </c>
      <c r="I6" s="347"/>
      <c r="J6" s="347"/>
      <c r="K6" s="347"/>
      <c r="L6" s="347"/>
    </row>
    <row r="7" spans="1:12" x14ac:dyDescent="0.2">
      <c r="A7" s="349" t="s">
        <v>482</v>
      </c>
      <c r="I7" s="347"/>
      <c r="J7" s="347"/>
      <c r="K7" s="347"/>
      <c r="L7" s="347"/>
    </row>
    <row r="8" spans="1:12" x14ac:dyDescent="0.2">
      <c r="A8" s="346"/>
      <c r="I8" s="347"/>
      <c r="J8" s="347"/>
      <c r="K8" s="347"/>
      <c r="L8" s="347"/>
    </row>
    <row r="9" spans="1:12" x14ac:dyDescent="0.2">
      <c r="A9" s="346" t="s">
        <v>483</v>
      </c>
      <c r="I9" s="347"/>
      <c r="J9" s="347"/>
      <c r="K9" s="347"/>
      <c r="L9" s="347"/>
    </row>
    <row r="10" spans="1:12" x14ac:dyDescent="0.2">
      <c r="A10" s="346" t="s">
        <v>484</v>
      </c>
      <c r="I10" s="347"/>
      <c r="J10" s="347"/>
      <c r="K10" s="347"/>
      <c r="L10" s="347"/>
    </row>
    <row r="11" spans="1:12" x14ac:dyDescent="0.2">
      <c r="A11" s="346" t="s">
        <v>485</v>
      </c>
      <c r="I11" s="347"/>
      <c r="J11" s="347"/>
      <c r="K11" s="347"/>
      <c r="L11" s="347"/>
    </row>
    <row r="12" spans="1:12" x14ac:dyDescent="0.2">
      <c r="A12" s="346" t="s">
        <v>486</v>
      </c>
      <c r="I12" s="347"/>
      <c r="J12" s="347"/>
      <c r="K12" s="347"/>
      <c r="L12" s="347"/>
    </row>
    <row r="13" spans="1:12" x14ac:dyDescent="0.2">
      <c r="A13" s="346" t="s">
        <v>487</v>
      </c>
      <c r="I13" s="347"/>
      <c r="J13" s="347"/>
      <c r="K13" s="347"/>
      <c r="L13" s="347"/>
    </row>
    <row r="14" spans="1:12" x14ac:dyDescent="0.2">
      <c r="A14" s="347"/>
      <c r="B14" s="347"/>
      <c r="C14" s="347"/>
      <c r="D14" s="347"/>
      <c r="E14" s="347"/>
      <c r="F14" s="347"/>
      <c r="G14" s="347"/>
      <c r="H14" s="347"/>
      <c r="I14" s="347"/>
      <c r="J14" s="347"/>
      <c r="K14" s="347"/>
      <c r="L14" s="347"/>
    </row>
    <row r="15" spans="1:12" x14ac:dyDescent="0.2">
      <c r="A15" s="345" t="s">
        <v>488</v>
      </c>
    </row>
    <row r="16" spans="1:12" x14ac:dyDescent="0.2">
      <c r="A16" s="345" t="s">
        <v>489</v>
      </c>
    </row>
    <row r="17" spans="1:7" x14ac:dyDescent="0.2">
      <c r="A17" s="345"/>
    </row>
    <row r="18" spans="1:7" x14ac:dyDescent="0.2">
      <c r="A18" s="346" t="s">
        <v>490</v>
      </c>
      <c r="B18" s="346"/>
      <c r="C18" s="346"/>
      <c r="D18" s="346"/>
      <c r="E18" s="346"/>
      <c r="F18" s="346"/>
      <c r="G18" s="346"/>
    </row>
    <row r="19" spans="1:7" x14ac:dyDescent="0.2">
      <c r="A19" s="346" t="str">
        <f>CONCATENATE("your ",inputPrYr!C6-1," numbers to see what steps might be necessary to")</f>
        <v>your 2019 numbers to see what steps might be necessary to</v>
      </c>
      <c r="B19" s="346"/>
      <c r="C19" s="346"/>
      <c r="D19" s="346"/>
      <c r="E19" s="346"/>
      <c r="F19" s="346"/>
      <c r="G19" s="346"/>
    </row>
    <row r="20" spans="1:7" x14ac:dyDescent="0.2">
      <c r="A20" s="346" t="s">
        <v>491</v>
      </c>
      <c r="B20" s="346"/>
      <c r="C20" s="346"/>
      <c r="D20" s="346"/>
      <c r="E20" s="346"/>
      <c r="F20" s="346"/>
      <c r="G20" s="346"/>
    </row>
    <row r="21" spans="1:7" x14ac:dyDescent="0.2">
      <c r="A21" s="346" t="s">
        <v>492</v>
      </c>
      <c r="B21" s="346"/>
      <c r="C21" s="346"/>
      <c r="D21" s="346"/>
      <c r="E21" s="346"/>
      <c r="F21" s="346"/>
      <c r="G21" s="346"/>
    </row>
    <row r="22" spans="1:7" x14ac:dyDescent="0.2">
      <c r="A22" s="346"/>
    </row>
    <row r="23" spans="1:7" x14ac:dyDescent="0.2">
      <c r="A23" s="345" t="s">
        <v>493</v>
      </c>
    </row>
    <row r="24" spans="1:7" x14ac:dyDescent="0.2">
      <c r="A24" s="345"/>
    </row>
    <row r="25" spans="1:7" x14ac:dyDescent="0.2">
      <c r="A25" s="346" t="s">
        <v>494</v>
      </c>
    </row>
    <row r="26" spans="1:7" x14ac:dyDescent="0.2">
      <c r="A26" s="346" t="s">
        <v>495</v>
      </c>
      <c r="B26" s="346"/>
      <c r="C26" s="346"/>
      <c r="D26" s="346"/>
      <c r="E26" s="346"/>
      <c r="F26" s="346"/>
    </row>
    <row r="27" spans="1:7" x14ac:dyDescent="0.2">
      <c r="A27" s="346" t="s">
        <v>496</v>
      </c>
      <c r="B27" s="346"/>
      <c r="C27" s="346"/>
      <c r="D27" s="346"/>
      <c r="E27" s="346"/>
      <c r="F27" s="346"/>
    </row>
    <row r="28" spans="1:7" x14ac:dyDescent="0.2">
      <c r="A28" s="346" t="s">
        <v>497</v>
      </c>
      <c r="B28" s="346"/>
      <c r="C28" s="346"/>
      <c r="D28" s="346"/>
      <c r="E28" s="346"/>
      <c r="F28" s="346"/>
    </row>
    <row r="29" spans="1:7" x14ac:dyDescent="0.2">
      <c r="A29" s="346"/>
      <c r="B29" s="346"/>
      <c r="C29" s="346"/>
      <c r="D29" s="346"/>
      <c r="E29" s="346"/>
      <c r="F29" s="346"/>
    </row>
    <row r="30" spans="1:7" x14ac:dyDescent="0.2">
      <c r="A30" s="345" t="s">
        <v>498</v>
      </c>
      <c r="B30" s="345"/>
      <c r="C30" s="345"/>
      <c r="D30" s="345"/>
      <c r="E30" s="345"/>
      <c r="F30" s="345"/>
      <c r="G30" s="345"/>
    </row>
    <row r="31" spans="1:7" x14ac:dyDescent="0.2">
      <c r="A31" s="345" t="s">
        <v>499</v>
      </c>
      <c r="B31" s="345"/>
      <c r="C31" s="345"/>
      <c r="D31" s="345"/>
      <c r="E31" s="345"/>
      <c r="F31" s="345"/>
      <c r="G31" s="345"/>
    </row>
    <row r="32" spans="1:7" x14ac:dyDescent="0.2">
      <c r="A32" s="346"/>
      <c r="B32" s="346"/>
      <c r="C32" s="346"/>
      <c r="D32" s="346"/>
      <c r="E32" s="346"/>
      <c r="F32" s="346"/>
    </row>
    <row r="33" spans="1:6" x14ac:dyDescent="0.2">
      <c r="A33" s="350" t="str">
        <f>CONCATENATE("Well, let's look to see if any of your ",inputPrYr!C6-1," expenditures can")</f>
        <v>Well, let's look to see if any of your 2019 expenditures can</v>
      </c>
      <c r="B33" s="346"/>
      <c r="C33" s="346"/>
      <c r="D33" s="346"/>
      <c r="E33" s="346"/>
      <c r="F33" s="346"/>
    </row>
    <row r="34" spans="1:6" x14ac:dyDescent="0.2">
      <c r="A34" s="350" t="s">
        <v>500</v>
      </c>
      <c r="B34" s="346"/>
      <c r="C34" s="346"/>
      <c r="D34" s="346"/>
      <c r="E34" s="346"/>
      <c r="F34" s="346"/>
    </row>
    <row r="35" spans="1:6" x14ac:dyDescent="0.2">
      <c r="A35" s="350" t="s">
        <v>440</v>
      </c>
      <c r="B35" s="346"/>
      <c r="C35" s="346"/>
      <c r="D35" s="346"/>
      <c r="E35" s="346"/>
      <c r="F35" s="346"/>
    </row>
    <row r="36" spans="1:6" x14ac:dyDescent="0.2">
      <c r="A36" s="350" t="s">
        <v>441</v>
      </c>
      <c r="B36" s="346"/>
      <c r="C36" s="346"/>
      <c r="D36" s="346"/>
      <c r="E36" s="346"/>
      <c r="F36" s="346"/>
    </row>
    <row r="37" spans="1:6" x14ac:dyDescent="0.2">
      <c r="A37" s="350"/>
      <c r="B37" s="346"/>
      <c r="C37" s="346"/>
      <c r="D37" s="346"/>
      <c r="E37" s="346"/>
      <c r="F37" s="346"/>
    </row>
    <row r="38" spans="1:6" x14ac:dyDescent="0.2">
      <c r="A38" s="350" t="str">
        <f>CONCATENATE("Additionally, do your ",inputPrYr!C6-1," receipts contain a reimbursement")</f>
        <v>Additionally, do your 2019 receipts contain a reimbursement</v>
      </c>
      <c r="B38" s="346"/>
      <c r="C38" s="346"/>
      <c r="D38" s="346"/>
      <c r="E38" s="346"/>
      <c r="F38" s="346"/>
    </row>
    <row r="39" spans="1:6" x14ac:dyDescent="0.2">
      <c r="A39" s="350" t="s">
        <v>442</v>
      </c>
      <c r="B39" s="346"/>
      <c r="C39" s="346"/>
      <c r="D39" s="346"/>
      <c r="E39" s="346"/>
      <c r="F39" s="346"/>
    </row>
    <row r="40" spans="1:6" x14ac:dyDescent="0.2">
      <c r="A40" s="350" t="s">
        <v>443</v>
      </c>
      <c r="B40" s="346"/>
      <c r="C40" s="346"/>
      <c r="D40" s="346"/>
      <c r="E40" s="346"/>
      <c r="F40" s="346"/>
    </row>
    <row r="41" spans="1:6" x14ac:dyDescent="0.2">
      <c r="A41" s="350"/>
      <c r="B41" s="346"/>
      <c r="C41" s="346"/>
      <c r="D41" s="346"/>
      <c r="E41" s="346"/>
      <c r="F41" s="346"/>
    </row>
    <row r="42" spans="1:6" x14ac:dyDescent="0.2">
      <c r="A42" s="350" t="s">
        <v>444</v>
      </c>
      <c r="B42" s="346"/>
      <c r="C42" s="346"/>
      <c r="D42" s="346"/>
      <c r="E42" s="346"/>
      <c r="F42" s="346"/>
    </row>
    <row r="43" spans="1:6" x14ac:dyDescent="0.2">
      <c r="A43" s="350" t="s">
        <v>445</v>
      </c>
      <c r="B43" s="346"/>
      <c r="C43" s="346"/>
      <c r="D43" s="346"/>
      <c r="E43" s="346"/>
      <c r="F43" s="346"/>
    </row>
    <row r="44" spans="1:6" x14ac:dyDescent="0.2">
      <c r="A44" s="350" t="s">
        <v>446</v>
      </c>
      <c r="B44" s="346"/>
      <c r="C44" s="346"/>
      <c r="D44" s="346"/>
      <c r="E44" s="346"/>
      <c r="F44" s="346"/>
    </row>
    <row r="45" spans="1:6" x14ac:dyDescent="0.2">
      <c r="A45" s="350" t="s">
        <v>501</v>
      </c>
      <c r="B45" s="346"/>
      <c r="C45" s="346"/>
      <c r="D45" s="346"/>
      <c r="E45" s="346"/>
      <c r="F45" s="346"/>
    </row>
    <row r="46" spans="1:6" x14ac:dyDescent="0.2">
      <c r="A46" s="350" t="s">
        <v>448</v>
      </c>
      <c r="B46" s="346"/>
      <c r="C46" s="346"/>
      <c r="D46" s="346"/>
      <c r="E46" s="346"/>
      <c r="F46" s="346"/>
    </row>
    <row r="47" spans="1:6" x14ac:dyDescent="0.2">
      <c r="A47" s="350" t="s">
        <v>502</v>
      </c>
      <c r="B47" s="346"/>
      <c r="C47" s="346"/>
      <c r="D47" s="346"/>
      <c r="E47" s="346"/>
      <c r="F47" s="346"/>
    </row>
    <row r="48" spans="1:6" x14ac:dyDescent="0.2">
      <c r="A48" s="350" t="s">
        <v>503</v>
      </c>
      <c r="B48" s="346"/>
      <c r="C48" s="346"/>
      <c r="D48" s="346"/>
      <c r="E48" s="346"/>
      <c r="F48" s="346"/>
    </row>
    <row r="49" spans="1:6" x14ac:dyDescent="0.2">
      <c r="A49" s="350" t="s">
        <v>451</v>
      </c>
      <c r="B49" s="346"/>
      <c r="C49" s="346"/>
      <c r="D49" s="346"/>
      <c r="E49" s="346"/>
      <c r="F49" s="346"/>
    </row>
    <row r="50" spans="1:6" x14ac:dyDescent="0.2">
      <c r="A50" s="350"/>
      <c r="B50" s="346"/>
      <c r="C50" s="346"/>
      <c r="D50" s="346"/>
      <c r="E50" s="346"/>
      <c r="F50" s="346"/>
    </row>
    <row r="51" spans="1:6" x14ac:dyDescent="0.2">
      <c r="A51" s="350" t="s">
        <v>452</v>
      </c>
      <c r="B51" s="346"/>
      <c r="C51" s="346"/>
      <c r="D51" s="346"/>
      <c r="E51" s="346"/>
      <c r="F51" s="346"/>
    </row>
    <row r="52" spans="1:6" x14ac:dyDescent="0.2">
      <c r="A52" s="350" t="s">
        <v>453</v>
      </c>
      <c r="B52" s="346"/>
      <c r="C52" s="346"/>
      <c r="D52" s="346"/>
      <c r="E52" s="346"/>
      <c r="F52" s="346"/>
    </row>
    <row r="53" spans="1:6" x14ac:dyDescent="0.2">
      <c r="A53" s="350" t="s">
        <v>454</v>
      </c>
      <c r="B53" s="346"/>
      <c r="C53" s="346"/>
      <c r="D53" s="346"/>
      <c r="E53" s="346"/>
      <c r="F53" s="346"/>
    </row>
    <row r="54" spans="1:6" x14ac:dyDescent="0.2">
      <c r="A54" s="350"/>
      <c r="B54" s="346"/>
      <c r="C54" s="346"/>
      <c r="D54" s="346"/>
      <c r="E54" s="346"/>
      <c r="F54" s="346"/>
    </row>
    <row r="55" spans="1:6" x14ac:dyDescent="0.2">
      <c r="A55" s="350" t="s">
        <v>504</v>
      </c>
      <c r="B55" s="346"/>
      <c r="C55" s="346"/>
      <c r="D55" s="346"/>
      <c r="E55" s="346"/>
      <c r="F55" s="346"/>
    </row>
    <row r="56" spans="1:6" x14ac:dyDescent="0.2">
      <c r="A56" s="350" t="s">
        <v>505</v>
      </c>
      <c r="B56" s="346"/>
      <c r="C56" s="346"/>
      <c r="D56" s="346"/>
      <c r="E56" s="346"/>
      <c r="F56" s="346"/>
    </row>
    <row r="57" spans="1:6" x14ac:dyDescent="0.2">
      <c r="A57" s="350" t="s">
        <v>506</v>
      </c>
      <c r="B57" s="346"/>
      <c r="C57" s="346"/>
      <c r="D57" s="346"/>
      <c r="E57" s="346"/>
      <c r="F57" s="346"/>
    </row>
    <row r="58" spans="1:6" x14ac:dyDescent="0.2">
      <c r="A58" s="350" t="s">
        <v>507</v>
      </c>
      <c r="B58" s="346"/>
      <c r="C58" s="346"/>
      <c r="D58" s="346"/>
      <c r="E58" s="346"/>
      <c r="F58" s="346"/>
    </row>
    <row r="59" spans="1:6" x14ac:dyDescent="0.2">
      <c r="A59" s="350" t="s">
        <v>508</v>
      </c>
      <c r="B59" s="346"/>
      <c r="C59" s="346"/>
      <c r="D59" s="346"/>
      <c r="E59" s="346"/>
      <c r="F59" s="346"/>
    </row>
    <row r="60" spans="1:6" x14ac:dyDescent="0.2">
      <c r="A60" s="350"/>
      <c r="B60" s="346"/>
      <c r="C60" s="346"/>
      <c r="D60" s="346"/>
      <c r="E60" s="346"/>
      <c r="F60" s="346"/>
    </row>
    <row r="61" spans="1:6" x14ac:dyDescent="0.2">
      <c r="A61" s="351" t="s">
        <v>509</v>
      </c>
      <c r="B61" s="346"/>
      <c r="C61" s="346"/>
      <c r="D61" s="346"/>
      <c r="E61" s="346"/>
      <c r="F61" s="346"/>
    </row>
    <row r="62" spans="1:6" x14ac:dyDescent="0.2">
      <c r="A62" s="351" t="s">
        <v>510</v>
      </c>
      <c r="B62" s="346"/>
      <c r="C62" s="346"/>
      <c r="D62" s="346"/>
      <c r="E62" s="346"/>
      <c r="F62" s="346"/>
    </row>
    <row r="63" spans="1:6" x14ac:dyDescent="0.2">
      <c r="A63" s="351" t="s">
        <v>511</v>
      </c>
      <c r="B63" s="346"/>
      <c r="C63" s="346"/>
      <c r="D63" s="346"/>
      <c r="E63" s="346"/>
      <c r="F63" s="346"/>
    </row>
    <row r="64" spans="1:6" x14ac:dyDescent="0.2">
      <c r="A64" s="351" t="s">
        <v>512</v>
      </c>
    </row>
    <row r="65" spans="1:1" x14ac:dyDescent="0.2">
      <c r="A65" s="351" t="s">
        <v>513</v>
      </c>
    </row>
    <row r="66" spans="1:1" x14ac:dyDescent="0.2">
      <c r="A66" s="351" t="s">
        <v>514</v>
      </c>
    </row>
    <row r="68" spans="1:1" x14ac:dyDescent="0.2">
      <c r="A68" s="346" t="s">
        <v>515</v>
      </c>
    </row>
    <row r="69" spans="1:1" x14ac:dyDescent="0.2">
      <c r="A69" s="346" t="s">
        <v>516</v>
      </c>
    </row>
    <row r="70" spans="1:1" x14ac:dyDescent="0.2">
      <c r="A70" s="346" t="s">
        <v>517</v>
      </c>
    </row>
    <row r="71" spans="1:1" x14ac:dyDescent="0.2">
      <c r="A71" s="346" t="s">
        <v>518</v>
      </c>
    </row>
    <row r="72" spans="1:1" x14ac:dyDescent="0.2">
      <c r="A72" s="346" t="s">
        <v>519</v>
      </c>
    </row>
    <row r="73" spans="1:1" x14ac:dyDescent="0.2">
      <c r="A73" s="346" t="s">
        <v>520</v>
      </c>
    </row>
    <row r="75" spans="1:1" x14ac:dyDescent="0.2">
      <c r="A75" s="346" t="s">
        <v>424</v>
      </c>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3:G106"/>
  <sheetViews>
    <sheetView workbookViewId="0">
      <selection activeCell="N106" sqref="N106"/>
    </sheetView>
  </sheetViews>
  <sheetFormatPr defaultRowHeight="15" x14ac:dyDescent="0.2"/>
  <cols>
    <col min="1" max="1" width="71.33203125" customWidth="1"/>
  </cols>
  <sheetData>
    <row r="3" spans="1:7" x14ac:dyDescent="0.2">
      <c r="A3" s="347" t="s">
        <v>521</v>
      </c>
      <c r="B3" s="347"/>
      <c r="C3" s="347"/>
      <c r="D3" s="347"/>
      <c r="E3" s="347"/>
      <c r="F3" s="347"/>
      <c r="G3" s="347"/>
    </row>
    <row r="4" spans="1:7" x14ac:dyDescent="0.2">
      <c r="A4" s="347"/>
      <c r="B4" s="347"/>
      <c r="C4" s="347"/>
      <c r="D4" s="347"/>
      <c r="E4" s="347"/>
      <c r="F4" s="347"/>
      <c r="G4" s="347"/>
    </row>
    <row r="5" spans="1:7" x14ac:dyDescent="0.2">
      <c r="A5" s="346" t="s">
        <v>370</v>
      </c>
    </row>
    <row r="6" spans="1:7" x14ac:dyDescent="0.2">
      <c r="A6" s="346" t="str">
        <f>CONCATENATE(inputPrYr!C6," estimated expenditures show that at the end of this year")</f>
        <v>2020 estimated expenditures show that at the end of this year</v>
      </c>
    </row>
    <row r="7" spans="1:7" x14ac:dyDescent="0.2">
      <c r="A7" s="346" t="s">
        <v>522</v>
      </c>
    </row>
    <row r="8" spans="1:7" x14ac:dyDescent="0.2">
      <c r="A8" s="346" t="s">
        <v>523</v>
      </c>
    </row>
    <row r="10" spans="1:7" x14ac:dyDescent="0.2">
      <c r="A10" t="s">
        <v>372</v>
      </c>
    </row>
    <row r="11" spans="1:7" x14ac:dyDescent="0.2">
      <c r="A11" t="s">
        <v>373</v>
      </c>
    </row>
    <row r="12" spans="1:7" x14ac:dyDescent="0.2">
      <c r="A12" t="s">
        <v>374</v>
      </c>
    </row>
    <row r="13" spans="1:7" x14ac:dyDescent="0.2">
      <c r="A13" s="347"/>
      <c r="B13" s="347"/>
      <c r="C13" s="347"/>
      <c r="D13" s="347"/>
      <c r="E13" s="347"/>
      <c r="F13" s="347"/>
      <c r="G13" s="347"/>
    </row>
    <row r="14" spans="1:7" x14ac:dyDescent="0.2">
      <c r="A14" s="345" t="s">
        <v>524</v>
      </c>
    </row>
    <row r="15" spans="1:7" x14ac:dyDescent="0.2">
      <c r="A15" s="346"/>
    </row>
    <row r="16" spans="1:7" x14ac:dyDescent="0.2">
      <c r="A16" s="346" t="s">
        <v>525</v>
      </c>
    </row>
    <row r="17" spans="1:7" x14ac:dyDescent="0.2">
      <c r="A17" s="346" t="s">
        <v>526</v>
      </c>
    </row>
    <row r="18" spans="1:7" x14ac:dyDescent="0.2">
      <c r="A18" s="346" t="s">
        <v>527</v>
      </c>
    </row>
    <row r="19" spans="1:7" x14ac:dyDescent="0.2">
      <c r="A19" s="346"/>
    </row>
    <row r="20" spans="1:7" x14ac:dyDescent="0.2">
      <c r="A20" s="346" t="s">
        <v>528</v>
      </c>
    </row>
    <row r="21" spans="1:7" x14ac:dyDescent="0.2">
      <c r="A21" s="346" t="s">
        <v>529</v>
      </c>
    </row>
    <row r="22" spans="1:7" x14ac:dyDescent="0.2">
      <c r="A22" s="346" t="s">
        <v>530</v>
      </c>
    </row>
    <row r="23" spans="1:7" x14ac:dyDescent="0.2">
      <c r="A23" s="346" t="s">
        <v>531</v>
      </c>
    </row>
    <row r="24" spans="1:7" x14ac:dyDescent="0.2">
      <c r="A24" s="346"/>
    </row>
    <row r="25" spans="1:7" x14ac:dyDescent="0.2">
      <c r="A25" s="345" t="s">
        <v>493</v>
      </c>
    </row>
    <row r="26" spans="1:7" x14ac:dyDescent="0.2">
      <c r="A26" s="345"/>
    </row>
    <row r="27" spans="1:7" x14ac:dyDescent="0.2">
      <c r="A27" s="346" t="s">
        <v>494</v>
      </c>
    </row>
    <row r="28" spans="1:7" x14ac:dyDescent="0.2">
      <c r="A28" s="346" t="s">
        <v>495</v>
      </c>
      <c r="B28" s="346"/>
      <c r="C28" s="346"/>
      <c r="D28" s="346"/>
      <c r="E28" s="346"/>
      <c r="F28" s="346"/>
    </row>
    <row r="29" spans="1:7" x14ac:dyDescent="0.2">
      <c r="A29" s="346" t="s">
        <v>496</v>
      </c>
      <c r="B29" s="346"/>
      <c r="C29" s="346"/>
      <c r="D29" s="346"/>
      <c r="E29" s="346"/>
      <c r="F29" s="346"/>
    </row>
    <row r="30" spans="1:7" x14ac:dyDescent="0.2">
      <c r="A30" s="346" t="s">
        <v>497</v>
      </c>
      <c r="B30" s="346"/>
      <c r="C30" s="346"/>
      <c r="D30" s="346"/>
      <c r="E30" s="346"/>
      <c r="F30" s="346"/>
    </row>
    <row r="31" spans="1:7" x14ac:dyDescent="0.2">
      <c r="A31" s="346"/>
    </row>
    <row r="32" spans="1:7" x14ac:dyDescent="0.2">
      <c r="A32" s="345" t="s">
        <v>498</v>
      </c>
      <c r="B32" s="345"/>
      <c r="C32" s="345"/>
      <c r="D32" s="345"/>
      <c r="E32" s="345"/>
      <c r="F32" s="345"/>
      <c r="G32" s="345"/>
    </row>
    <row r="33" spans="1:7" x14ac:dyDescent="0.2">
      <c r="A33" s="345" t="s">
        <v>499</v>
      </c>
      <c r="B33" s="345"/>
      <c r="C33" s="345"/>
      <c r="D33" s="345"/>
      <c r="E33" s="345"/>
      <c r="F33" s="345"/>
      <c r="G33" s="345"/>
    </row>
    <row r="34" spans="1:7" x14ac:dyDescent="0.2">
      <c r="A34" s="345"/>
      <c r="B34" s="345"/>
      <c r="C34" s="345"/>
      <c r="D34" s="345"/>
      <c r="E34" s="345"/>
      <c r="F34" s="345"/>
      <c r="G34" s="345"/>
    </row>
    <row r="35" spans="1:7" x14ac:dyDescent="0.2">
      <c r="A35" s="346" t="s">
        <v>532</v>
      </c>
      <c r="B35" s="346"/>
      <c r="C35" s="346"/>
      <c r="D35" s="346"/>
      <c r="E35" s="346"/>
      <c r="F35" s="346"/>
      <c r="G35" s="346"/>
    </row>
    <row r="36" spans="1:7" x14ac:dyDescent="0.2">
      <c r="A36" s="346" t="s">
        <v>533</v>
      </c>
      <c r="B36" s="346"/>
      <c r="C36" s="346"/>
      <c r="D36" s="346"/>
      <c r="E36" s="346"/>
      <c r="F36" s="346"/>
      <c r="G36" s="346"/>
    </row>
    <row r="37" spans="1:7" x14ac:dyDescent="0.2">
      <c r="A37" s="346" t="s">
        <v>534</v>
      </c>
      <c r="B37" s="346"/>
      <c r="C37" s="346"/>
      <c r="D37" s="346"/>
      <c r="E37" s="346"/>
      <c r="F37" s="346"/>
      <c r="G37" s="346"/>
    </row>
    <row r="38" spans="1:7" x14ac:dyDescent="0.2">
      <c r="A38" s="346" t="s">
        <v>535</v>
      </c>
      <c r="B38" s="346"/>
      <c r="C38" s="346"/>
      <c r="D38" s="346"/>
      <c r="E38" s="346"/>
      <c r="F38" s="346"/>
      <c r="G38" s="346"/>
    </row>
    <row r="39" spans="1:7" x14ac:dyDescent="0.2">
      <c r="A39" s="346" t="s">
        <v>536</v>
      </c>
      <c r="B39" s="346"/>
      <c r="C39" s="346"/>
      <c r="D39" s="346"/>
      <c r="E39" s="346"/>
      <c r="F39" s="346"/>
      <c r="G39" s="346"/>
    </row>
    <row r="40" spans="1:7" x14ac:dyDescent="0.2">
      <c r="A40" s="345"/>
      <c r="B40" s="345"/>
      <c r="C40" s="345"/>
      <c r="D40" s="345"/>
      <c r="E40" s="345"/>
      <c r="F40" s="345"/>
      <c r="G40" s="345"/>
    </row>
    <row r="41" spans="1:7" x14ac:dyDescent="0.2">
      <c r="A41" s="350" t="str">
        <f>CONCATENATE("So, let's look to see if any of your ",inputPrYr!C6-1," expenditures can")</f>
        <v>So, let's look to see if any of your 2019 expenditures can</v>
      </c>
      <c r="B41" s="346"/>
      <c r="C41" s="346"/>
      <c r="D41" s="346"/>
      <c r="E41" s="346"/>
      <c r="F41" s="346"/>
    </row>
    <row r="42" spans="1:7" x14ac:dyDescent="0.2">
      <c r="A42" s="350" t="s">
        <v>500</v>
      </c>
      <c r="B42" s="346"/>
      <c r="C42" s="346"/>
      <c r="D42" s="346"/>
      <c r="E42" s="346"/>
      <c r="F42" s="346"/>
    </row>
    <row r="43" spans="1:7" x14ac:dyDescent="0.2">
      <c r="A43" s="350" t="s">
        <v>440</v>
      </c>
      <c r="B43" s="346"/>
      <c r="C43" s="346"/>
      <c r="D43" s="346"/>
      <c r="E43" s="346"/>
      <c r="F43" s="346"/>
    </row>
    <row r="44" spans="1:7" x14ac:dyDescent="0.2">
      <c r="A44" s="350" t="s">
        <v>441</v>
      </c>
      <c r="B44" s="346"/>
      <c r="C44" s="346"/>
      <c r="D44" s="346"/>
      <c r="E44" s="346"/>
      <c r="F44" s="346"/>
    </row>
    <row r="45" spans="1:7" x14ac:dyDescent="0.2">
      <c r="A45" s="346"/>
    </row>
    <row r="46" spans="1:7" x14ac:dyDescent="0.2">
      <c r="A46" s="350" t="str">
        <f>CONCATENATE("Additionally, do your ",inputPrYr!C6-1," receipts contain a reimbursement")</f>
        <v>Additionally, do your 2019 receipts contain a reimbursement</v>
      </c>
      <c r="B46" s="346"/>
      <c r="C46" s="346"/>
      <c r="D46" s="346"/>
      <c r="E46" s="346"/>
      <c r="F46" s="346"/>
    </row>
    <row r="47" spans="1:7" x14ac:dyDescent="0.2">
      <c r="A47" s="350" t="s">
        <v>442</v>
      </c>
      <c r="B47" s="346"/>
      <c r="C47" s="346"/>
      <c r="D47" s="346"/>
      <c r="E47" s="346"/>
      <c r="F47" s="346"/>
    </row>
    <row r="48" spans="1:7" x14ac:dyDescent="0.2">
      <c r="A48" s="350" t="s">
        <v>443</v>
      </c>
      <c r="B48" s="346"/>
      <c r="C48" s="346"/>
      <c r="D48" s="346"/>
      <c r="E48" s="346"/>
      <c r="F48" s="346"/>
    </row>
    <row r="49" spans="1:7" x14ac:dyDescent="0.2">
      <c r="A49" s="346"/>
      <c r="B49" s="346"/>
      <c r="C49" s="346"/>
      <c r="D49" s="346"/>
      <c r="E49" s="346"/>
      <c r="F49" s="346"/>
      <c r="G49" s="346"/>
    </row>
    <row r="50" spans="1:7" x14ac:dyDescent="0.2">
      <c r="A50" s="346" t="s">
        <v>397</v>
      </c>
      <c r="B50" s="346"/>
      <c r="C50" s="346"/>
      <c r="D50" s="346"/>
      <c r="E50" s="346"/>
      <c r="F50" s="346"/>
      <c r="G50" s="346"/>
    </row>
    <row r="51" spans="1:7" x14ac:dyDescent="0.2">
      <c r="A51" s="346" t="s">
        <v>398</v>
      </c>
      <c r="B51" s="346"/>
      <c r="C51" s="346"/>
      <c r="D51" s="346"/>
      <c r="E51" s="346"/>
      <c r="F51" s="346"/>
      <c r="G51" s="346"/>
    </row>
    <row r="52" spans="1:7" x14ac:dyDescent="0.2">
      <c r="A52" s="346" t="s">
        <v>399</v>
      </c>
      <c r="B52" s="346"/>
      <c r="C52" s="346"/>
      <c r="D52" s="346"/>
      <c r="E52" s="346"/>
      <c r="F52" s="346"/>
      <c r="G52" s="346"/>
    </row>
    <row r="53" spans="1:7" x14ac:dyDescent="0.2">
      <c r="A53" s="346" t="s">
        <v>400</v>
      </c>
      <c r="B53" s="346"/>
      <c r="C53" s="346"/>
      <c r="D53" s="346"/>
      <c r="E53" s="346"/>
      <c r="F53" s="346"/>
      <c r="G53" s="346"/>
    </row>
    <row r="54" spans="1:7" x14ac:dyDescent="0.2">
      <c r="A54" s="346" t="s">
        <v>401</v>
      </c>
      <c r="B54" s="346"/>
      <c r="C54" s="346"/>
      <c r="D54" s="346"/>
      <c r="E54" s="346"/>
      <c r="F54" s="346"/>
      <c r="G54" s="346"/>
    </row>
    <row r="55" spans="1:7" x14ac:dyDescent="0.2">
      <c r="A55" s="346"/>
      <c r="B55" s="346"/>
      <c r="C55" s="346"/>
      <c r="D55" s="346"/>
      <c r="E55" s="346"/>
      <c r="F55" s="346"/>
      <c r="G55" s="346"/>
    </row>
    <row r="56" spans="1:7" x14ac:dyDescent="0.2">
      <c r="A56" s="350" t="s">
        <v>452</v>
      </c>
      <c r="B56" s="346"/>
      <c r="C56" s="346"/>
      <c r="D56" s="346"/>
      <c r="E56" s="346"/>
      <c r="F56" s="346"/>
    </row>
    <row r="57" spans="1:7" x14ac:dyDescent="0.2">
      <c r="A57" s="350" t="s">
        <v>453</v>
      </c>
      <c r="B57" s="346"/>
      <c r="C57" s="346"/>
      <c r="D57" s="346"/>
      <c r="E57" s="346"/>
      <c r="F57" s="346"/>
    </row>
    <row r="58" spans="1:7" x14ac:dyDescent="0.2">
      <c r="A58" s="350" t="s">
        <v>454</v>
      </c>
      <c r="B58" s="346"/>
      <c r="C58" s="346"/>
      <c r="D58" s="346"/>
      <c r="E58" s="346"/>
      <c r="F58" s="346"/>
    </row>
    <row r="59" spans="1:7" x14ac:dyDescent="0.2">
      <c r="A59" s="350"/>
      <c r="B59" s="346"/>
      <c r="C59" s="346"/>
      <c r="D59" s="346"/>
      <c r="E59" s="346"/>
      <c r="F59" s="346"/>
    </row>
    <row r="60" spans="1:7" x14ac:dyDescent="0.2">
      <c r="A60" s="346" t="s">
        <v>537</v>
      </c>
      <c r="B60" s="346"/>
      <c r="C60" s="346"/>
      <c r="D60" s="346"/>
      <c r="E60" s="346"/>
      <c r="F60" s="346"/>
      <c r="G60" s="346"/>
    </row>
    <row r="61" spans="1:7" x14ac:dyDescent="0.2">
      <c r="A61" s="346" t="s">
        <v>538</v>
      </c>
      <c r="B61" s="346"/>
      <c r="C61" s="346"/>
      <c r="D61" s="346"/>
      <c r="E61" s="346"/>
      <c r="F61" s="346"/>
      <c r="G61" s="346"/>
    </row>
    <row r="62" spans="1:7" x14ac:dyDescent="0.2">
      <c r="A62" s="346" t="s">
        <v>539</v>
      </c>
      <c r="B62" s="346"/>
      <c r="C62" s="346"/>
      <c r="D62" s="346"/>
      <c r="E62" s="346"/>
      <c r="F62" s="346"/>
      <c r="G62" s="346"/>
    </row>
    <row r="63" spans="1:7" x14ac:dyDescent="0.2">
      <c r="A63" s="346" t="s">
        <v>540</v>
      </c>
      <c r="B63" s="346"/>
      <c r="C63" s="346"/>
      <c r="D63" s="346"/>
      <c r="E63" s="346"/>
      <c r="F63" s="346"/>
      <c r="G63" s="346"/>
    </row>
    <row r="64" spans="1:7" x14ac:dyDescent="0.2">
      <c r="A64" s="346" t="s">
        <v>541</v>
      </c>
      <c r="B64" s="346"/>
      <c r="C64" s="346"/>
      <c r="D64" s="346"/>
      <c r="E64" s="346"/>
      <c r="F64" s="346"/>
      <c r="G64" s="346"/>
    </row>
    <row r="66" spans="1:6" x14ac:dyDescent="0.2">
      <c r="A66" s="350" t="s">
        <v>504</v>
      </c>
      <c r="B66" s="346"/>
      <c r="C66" s="346"/>
      <c r="D66" s="346"/>
      <c r="E66" s="346"/>
      <c r="F66" s="346"/>
    </row>
    <row r="67" spans="1:6" x14ac:dyDescent="0.2">
      <c r="A67" s="350" t="s">
        <v>505</v>
      </c>
      <c r="B67" s="346"/>
      <c r="C67" s="346"/>
      <c r="D67" s="346"/>
      <c r="E67" s="346"/>
      <c r="F67" s="346"/>
    </row>
    <row r="68" spans="1:6" x14ac:dyDescent="0.2">
      <c r="A68" s="350" t="s">
        <v>506</v>
      </c>
      <c r="B68" s="346"/>
      <c r="C68" s="346"/>
      <c r="D68" s="346"/>
      <c r="E68" s="346"/>
      <c r="F68" s="346"/>
    </row>
    <row r="69" spans="1:6" x14ac:dyDescent="0.2">
      <c r="A69" s="350" t="s">
        <v>507</v>
      </c>
      <c r="B69" s="346"/>
      <c r="C69" s="346"/>
      <c r="D69" s="346"/>
      <c r="E69" s="346"/>
      <c r="F69" s="346"/>
    </row>
    <row r="70" spans="1:6" x14ac:dyDescent="0.2">
      <c r="A70" s="350" t="s">
        <v>508</v>
      </c>
      <c r="B70" s="346"/>
      <c r="C70" s="346"/>
      <c r="D70" s="346"/>
      <c r="E70" s="346"/>
      <c r="F70" s="346"/>
    </row>
    <row r="71" spans="1:6" x14ac:dyDescent="0.2">
      <c r="A71" s="346"/>
    </row>
    <row r="72" spans="1:6" x14ac:dyDescent="0.2">
      <c r="A72" s="346" t="s">
        <v>424</v>
      </c>
    </row>
    <row r="73" spans="1:6" x14ac:dyDescent="0.2">
      <c r="A73" s="346"/>
    </row>
    <row r="74" spans="1:6" x14ac:dyDescent="0.2">
      <c r="A74" s="346"/>
    </row>
    <row r="75" spans="1:6" x14ac:dyDescent="0.2">
      <c r="A75" s="346"/>
    </row>
    <row r="78" spans="1:6" x14ac:dyDescent="0.2">
      <c r="A78" s="345"/>
    </row>
    <row r="80" spans="1:6" x14ac:dyDescent="0.2">
      <c r="A80" s="346"/>
    </row>
    <row r="81" spans="1:1" x14ac:dyDescent="0.2">
      <c r="A81" s="346"/>
    </row>
    <row r="82" spans="1:1" x14ac:dyDescent="0.2">
      <c r="A82" s="346"/>
    </row>
    <row r="83" spans="1:1" x14ac:dyDescent="0.2">
      <c r="A83" s="346"/>
    </row>
    <row r="84" spans="1:1" x14ac:dyDescent="0.2">
      <c r="A84" s="346"/>
    </row>
    <row r="85" spans="1:1" x14ac:dyDescent="0.2">
      <c r="A85" s="346"/>
    </row>
    <row r="86" spans="1:1" x14ac:dyDescent="0.2">
      <c r="A86" s="346"/>
    </row>
    <row r="87" spans="1:1" x14ac:dyDescent="0.2">
      <c r="A87" s="346"/>
    </row>
    <row r="88" spans="1:1" x14ac:dyDescent="0.2">
      <c r="A88" s="346"/>
    </row>
    <row r="89" spans="1:1" x14ac:dyDescent="0.2">
      <c r="A89" s="346"/>
    </row>
    <row r="90" spans="1:1" x14ac:dyDescent="0.2">
      <c r="A90" s="346"/>
    </row>
    <row r="92" spans="1:1" x14ac:dyDescent="0.2">
      <c r="A92" s="346"/>
    </row>
    <row r="93" spans="1:1" x14ac:dyDescent="0.2">
      <c r="A93" s="346"/>
    </row>
    <row r="94" spans="1:1" x14ac:dyDescent="0.2">
      <c r="A94" s="346"/>
    </row>
    <row r="95" spans="1:1" x14ac:dyDescent="0.2">
      <c r="A95" s="346"/>
    </row>
    <row r="96" spans="1:1" x14ac:dyDescent="0.2">
      <c r="A96" s="346"/>
    </row>
    <row r="97" spans="1:1" x14ac:dyDescent="0.2">
      <c r="A97" s="346"/>
    </row>
    <row r="98" spans="1:1" x14ac:dyDescent="0.2">
      <c r="A98" s="346"/>
    </row>
    <row r="99" spans="1:1" x14ac:dyDescent="0.2">
      <c r="A99" s="346"/>
    </row>
    <row r="100" spans="1:1" x14ac:dyDescent="0.2">
      <c r="A100" s="346"/>
    </row>
    <row r="101" spans="1:1" x14ac:dyDescent="0.2">
      <c r="A101" s="346"/>
    </row>
    <row r="102" spans="1:1" x14ac:dyDescent="0.2">
      <c r="A102" s="346"/>
    </row>
    <row r="103" spans="1:1" x14ac:dyDescent="0.2">
      <c r="A103" s="346"/>
    </row>
    <row r="104" spans="1:1" x14ac:dyDescent="0.2">
      <c r="A104" s="346"/>
    </row>
    <row r="105" spans="1:1" x14ac:dyDescent="0.2">
      <c r="A105" s="346"/>
    </row>
    <row r="106" spans="1:1" x14ac:dyDescent="0.2">
      <c r="A106" s="346"/>
    </row>
  </sheetData>
  <sheetProtection sheet="1"/>
  <pageMargins left="0.7" right="0.7" top="0.75" bottom="0.75" header="0.3" footer="0.3"/>
  <pageSetup orientation="portrait" r:id="rId1"/>
  <headerFooter>
    <oddFooter>&amp;Lrevised 10/2/09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3:H52"/>
  <sheetViews>
    <sheetView workbookViewId="0">
      <selection activeCell="N99" sqref="N99"/>
    </sheetView>
  </sheetViews>
  <sheetFormatPr defaultRowHeight="15" x14ac:dyDescent="0.2"/>
  <cols>
    <col min="1" max="1" width="71.33203125" customWidth="1"/>
  </cols>
  <sheetData>
    <row r="3" spans="1:7" x14ac:dyDescent="0.2">
      <c r="A3" s="347" t="s">
        <v>542</v>
      </c>
      <c r="B3" s="347"/>
      <c r="C3" s="347"/>
      <c r="D3" s="347"/>
      <c r="E3" s="347"/>
      <c r="F3" s="347"/>
      <c r="G3" s="347"/>
    </row>
    <row r="4" spans="1:7" x14ac:dyDescent="0.2">
      <c r="A4" s="347" t="s">
        <v>543</v>
      </c>
      <c r="B4" s="347"/>
      <c r="C4" s="347"/>
      <c r="D4" s="347"/>
      <c r="E4" s="347"/>
      <c r="F4" s="347"/>
      <c r="G4" s="347"/>
    </row>
    <row r="5" spans="1:7" x14ac:dyDescent="0.2">
      <c r="A5" s="347"/>
      <c r="B5" s="347"/>
      <c r="C5" s="347"/>
      <c r="D5" s="347"/>
      <c r="E5" s="347"/>
      <c r="F5" s="347"/>
      <c r="G5" s="347"/>
    </row>
    <row r="6" spans="1:7" x14ac:dyDescent="0.2">
      <c r="A6" s="347"/>
      <c r="B6" s="347"/>
      <c r="C6" s="347"/>
      <c r="D6" s="347"/>
      <c r="E6" s="347"/>
      <c r="F6" s="347"/>
      <c r="G6" s="347"/>
    </row>
    <row r="7" spans="1:7" x14ac:dyDescent="0.2">
      <c r="A7" s="346" t="s">
        <v>426</v>
      </c>
    </row>
    <row r="8" spans="1:7" x14ac:dyDescent="0.2">
      <c r="A8" s="346" t="str">
        <f>CONCATENATE("estimated ",inputPrYr!C6," 'total expenditures' exceed your ",inputPrYr!C6,"")</f>
        <v>estimated 2020 'total expenditures' exceed your 2020</v>
      </c>
    </row>
    <row r="9" spans="1:7" x14ac:dyDescent="0.2">
      <c r="A9" s="349" t="s">
        <v>544</v>
      </c>
    </row>
    <row r="10" spans="1:7" x14ac:dyDescent="0.2">
      <c r="A10" s="346"/>
    </row>
    <row r="11" spans="1:7" x14ac:dyDescent="0.2">
      <c r="A11" s="346" t="s">
        <v>545</v>
      </c>
    </row>
    <row r="12" spans="1:7" x14ac:dyDescent="0.2">
      <c r="A12" s="346" t="s">
        <v>546</v>
      </c>
    </row>
    <row r="13" spans="1:7" x14ac:dyDescent="0.2">
      <c r="A13" s="346" t="s">
        <v>547</v>
      </c>
    </row>
    <row r="14" spans="1:7" x14ac:dyDescent="0.2">
      <c r="A14" s="346"/>
    </row>
    <row r="15" spans="1:7" x14ac:dyDescent="0.2">
      <c r="A15" s="345" t="s">
        <v>548</v>
      </c>
    </row>
    <row r="16" spans="1:7" x14ac:dyDescent="0.2">
      <c r="A16" s="347"/>
      <c r="B16" s="347"/>
      <c r="C16" s="347"/>
      <c r="D16" s="347"/>
      <c r="E16" s="347"/>
      <c r="F16" s="347"/>
      <c r="G16" s="347"/>
    </row>
    <row r="17" spans="1:8" x14ac:dyDescent="0.2">
      <c r="A17" s="352" t="s">
        <v>549</v>
      </c>
      <c r="B17" s="338"/>
      <c r="C17" s="338"/>
      <c r="D17" s="338"/>
      <c r="E17" s="338"/>
      <c r="F17" s="338"/>
      <c r="G17" s="338"/>
      <c r="H17" s="338"/>
    </row>
    <row r="18" spans="1:8" x14ac:dyDescent="0.2">
      <c r="A18" s="346" t="s">
        <v>550</v>
      </c>
      <c r="B18" s="353"/>
      <c r="C18" s="353"/>
      <c r="D18" s="353"/>
      <c r="E18" s="353"/>
      <c r="F18" s="353"/>
      <c r="G18" s="353"/>
    </row>
    <row r="19" spans="1:8" x14ac:dyDescent="0.2">
      <c r="A19" s="346" t="s">
        <v>551</v>
      </c>
    </row>
    <row r="20" spans="1:8" x14ac:dyDescent="0.2">
      <c r="A20" s="346" t="s">
        <v>552</v>
      </c>
    </row>
    <row r="22" spans="1:8" x14ac:dyDescent="0.2">
      <c r="A22" s="345" t="s">
        <v>553</v>
      </c>
    </row>
    <row r="24" spans="1:8" x14ac:dyDescent="0.2">
      <c r="A24" s="346" t="s">
        <v>554</v>
      </c>
    </row>
    <row r="25" spans="1:8" x14ac:dyDescent="0.2">
      <c r="A25" s="346" t="s">
        <v>555</v>
      </c>
    </row>
    <row r="26" spans="1:8" x14ac:dyDescent="0.2">
      <c r="A26" s="346" t="s">
        <v>556</v>
      </c>
    </row>
    <row r="28" spans="1:8" x14ac:dyDescent="0.2">
      <c r="A28" s="345" t="s">
        <v>557</v>
      </c>
    </row>
    <row r="30" spans="1:8" x14ac:dyDescent="0.2">
      <c r="A30" t="s">
        <v>558</v>
      </c>
    </row>
    <row r="31" spans="1:8" x14ac:dyDescent="0.2">
      <c r="A31" t="s">
        <v>559</v>
      </c>
    </row>
    <row r="32" spans="1:8" x14ac:dyDescent="0.2">
      <c r="A32" t="s">
        <v>560</v>
      </c>
    </row>
    <row r="33" spans="1:1" x14ac:dyDescent="0.2">
      <c r="A33" s="346" t="s">
        <v>561</v>
      </c>
    </row>
    <row r="35" spans="1:1" x14ac:dyDescent="0.2">
      <c r="A35" t="s">
        <v>562</v>
      </c>
    </row>
    <row r="36" spans="1:1" x14ac:dyDescent="0.2">
      <c r="A36" t="s">
        <v>563</v>
      </c>
    </row>
    <row r="37" spans="1:1" x14ac:dyDescent="0.2">
      <c r="A37" t="s">
        <v>564</v>
      </c>
    </row>
    <row r="38" spans="1:1" x14ac:dyDescent="0.2">
      <c r="A38" t="s">
        <v>565</v>
      </c>
    </row>
    <row r="40" spans="1:1" x14ac:dyDescent="0.2">
      <c r="A40" t="s">
        <v>566</v>
      </c>
    </row>
    <row r="41" spans="1:1" x14ac:dyDescent="0.2">
      <c r="A41" t="s">
        <v>567</v>
      </c>
    </row>
    <row r="42" spans="1:1" x14ac:dyDescent="0.2">
      <c r="A42" t="s">
        <v>568</v>
      </c>
    </row>
    <row r="43" spans="1:1" x14ac:dyDescent="0.2">
      <c r="A43" t="s">
        <v>569</v>
      </c>
    </row>
    <row r="44" spans="1:1" x14ac:dyDescent="0.2">
      <c r="A44" t="s">
        <v>570</v>
      </c>
    </row>
    <row r="45" spans="1:1" x14ac:dyDescent="0.2">
      <c r="A45" t="s">
        <v>571</v>
      </c>
    </row>
    <row r="47" spans="1:1" x14ac:dyDescent="0.2">
      <c r="A47" t="s">
        <v>572</v>
      </c>
    </row>
    <row r="48" spans="1:1" x14ac:dyDescent="0.2">
      <c r="A48" t="s">
        <v>573</v>
      </c>
    </row>
    <row r="49" spans="1:1" x14ac:dyDescent="0.2">
      <c r="A49" s="346" t="s">
        <v>574</v>
      </c>
    </row>
    <row r="50" spans="1:1" x14ac:dyDescent="0.2">
      <c r="A50" s="346" t="s">
        <v>575</v>
      </c>
    </row>
    <row r="52" spans="1:1" x14ac:dyDescent="0.2">
      <c r="A52" t="s">
        <v>424</v>
      </c>
    </row>
  </sheetData>
  <sheetProtection sheet="1"/>
  <pageMargins left="0.7" right="0.7" top="0.75" bottom="0.75" header="0.3" footer="0.3"/>
  <pageSetup orientation="portrait" r:id="rId1"/>
  <headerFooter>
    <oddFooter>&amp;Lrevised 10/2/09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354"/>
  <sheetViews>
    <sheetView zoomScaleNormal="100" workbookViewId="0">
      <selection activeCell="V202" sqref="V202"/>
    </sheetView>
  </sheetViews>
  <sheetFormatPr defaultColWidth="8.88671875" defaultRowHeight="14.25" x14ac:dyDescent="0.2"/>
  <cols>
    <col min="1" max="1" width="7.5546875" style="480" customWidth="1"/>
    <col min="2" max="2" width="11.21875" style="481" customWidth="1"/>
    <col min="3" max="3" width="7.44140625" style="481" customWidth="1"/>
    <col min="4" max="4" width="8.88671875" style="481"/>
    <col min="5" max="5" width="1.5546875" style="481" customWidth="1"/>
    <col min="6" max="6" width="14.33203125" style="481" customWidth="1"/>
    <col min="7" max="7" width="2.5546875" style="481" customWidth="1"/>
    <col min="8" max="8" width="9.77734375" style="481" customWidth="1"/>
    <col min="9" max="9" width="2" style="481" customWidth="1"/>
    <col min="10" max="10" width="8.5546875" style="481" customWidth="1"/>
    <col min="11" max="11" width="11.6640625" style="481" customWidth="1"/>
    <col min="12" max="12" width="7.5546875" style="480" customWidth="1"/>
    <col min="13" max="14" width="8.88671875" style="480"/>
    <col min="15" max="15" width="9.88671875" style="480" bestFit="1" customWidth="1"/>
    <col min="16" max="16384" width="8.88671875" style="480"/>
  </cols>
  <sheetData>
    <row r="1" spans="1:12" x14ac:dyDescent="0.2">
      <c r="A1" s="526"/>
      <c r="B1" s="526"/>
      <c r="C1" s="526"/>
      <c r="D1" s="526"/>
      <c r="E1" s="526"/>
      <c r="F1" s="526"/>
      <c r="G1" s="526"/>
      <c r="H1" s="526"/>
      <c r="I1" s="526"/>
      <c r="J1" s="526"/>
      <c r="K1" s="526"/>
      <c r="L1" s="526"/>
    </row>
    <row r="2" spans="1:12" x14ac:dyDescent="0.2">
      <c r="A2" s="526"/>
      <c r="B2" s="526"/>
      <c r="C2" s="526"/>
      <c r="D2" s="526"/>
      <c r="E2" s="526"/>
      <c r="F2" s="526"/>
      <c r="G2" s="526"/>
      <c r="H2" s="526"/>
      <c r="I2" s="526"/>
      <c r="J2" s="526"/>
      <c r="K2" s="526"/>
      <c r="L2" s="526"/>
    </row>
    <row r="3" spans="1:12" x14ac:dyDescent="0.2">
      <c r="A3" s="526"/>
      <c r="B3" s="526"/>
      <c r="C3" s="526"/>
      <c r="D3" s="526"/>
      <c r="E3" s="526"/>
      <c r="F3" s="526"/>
      <c r="G3" s="526"/>
      <c r="H3" s="526"/>
      <c r="I3" s="526"/>
      <c r="J3" s="526"/>
      <c r="K3" s="526"/>
      <c r="L3" s="526"/>
    </row>
    <row r="4" spans="1:12" x14ac:dyDescent="0.2">
      <c r="A4" s="526"/>
      <c r="L4" s="526"/>
    </row>
    <row r="5" spans="1:12" ht="15" customHeight="1" x14ac:dyDescent="0.2">
      <c r="A5" s="526"/>
      <c r="L5" s="526"/>
    </row>
    <row r="6" spans="1:12" ht="33" customHeight="1" x14ac:dyDescent="0.2">
      <c r="A6" s="526"/>
      <c r="B6" s="1007" t="s">
        <v>975</v>
      </c>
      <c r="C6" s="1012"/>
      <c r="D6" s="1012"/>
      <c r="E6" s="1012"/>
      <c r="F6" s="1012"/>
      <c r="G6" s="1012"/>
      <c r="H6" s="1012"/>
      <c r="I6" s="1012"/>
      <c r="J6" s="1012"/>
      <c r="K6" s="1012"/>
      <c r="L6" s="527"/>
    </row>
    <row r="7" spans="1:12" ht="40.5" customHeight="1" x14ac:dyDescent="0.2">
      <c r="A7" s="526"/>
      <c r="B7" s="1013" t="s">
        <v>627</v>
      </c>
      <c r="C7" s="1014"/>
      <c r="D7" s="1014"/>
      <c r="E7" s="1014"/>
      <c r="F7" s="1014"/>
      <c r="G7" s="1014"/>
      <c r="H7" s="1014"/>
      <c r="I7" s="1014"/>
      <c r="J7" s="1014"/>
      <c r="K7" s="1014"/>
      <c r="L7" s="526"/>
    </row>
    <row r="8" spans="1:12" x14ac:dyDescent="0.2">
      <c r="A8" s="526"/>
      <c r="B8" s="1011" t="s">
        <v>628</v>
      </c>
      <c r="C8" s="1011"/>
      <c r="D8" s="1011"/>
      <c r="E8" s="1011"/>
      <c r="F8" s="1011"/>
      <c r="G8" s="1011"/>
      <c r="H8" s="1011"/>
      <c r="I8" s="1011"/>
      <c r="J8" s="1011"/>
      <c r="K8" s="1011"/>
      <c r="L8" s="526"/>
    </row>
    <row r="9" spans="1:12" x14ac:dyDescent="0.2">
      <c r="A9" s="526"/>
      <c r="L9" s="526"/>
    </row>
    <row r="10" spans="1:12" x14ac:dyDescent="0.2">
      <c r="A10" s="526"/>
      <c r="B10" s="1011" t="s">
        <v>629</v>
      </c>
      <c r="C10" s="1011"/>
      <c r="D10" s="1011"/>
      <c r="E10" s="1011"/>
      <c r="F10" s="1011"/>
      <c r="G10" s="1011"/>
      <c r="H10" s="1011"/>
      <c r="I10" s="1011"/>
      <c r="J10" s="1011"/>
      <c r="K10" s="1011"/>
      <c r="L10" s="526"/>
    </row>
    <row r="11" spans="1:12" x14ac:dyDescent="0.2">
      <c r="A11" s="526"/>
      <c r="B11" s="543"/>
      <c r="C11" s="543"/>
      <c r="D11" s="543"/>
      <c r="E11" s="543"/>
      <c r="F11" s="543"/>
      <c r="G11" s="543"/>
      <c r="H11" s="543"/>
      <c r="I11" s="543"/>
      <c r="J11" s="543"/>
      <c r="K11" s="543"/>
      <c r="L11" s="526"/>
    </row>
    <row r="12" spans="1:12" ht="32.25" customHeight="1" x14ac:dyDescent="0.2">
      <c r="A12" s="526"/>
      <c r="B12" s="1008" t="s">
        <v>630</v>
      </c>
      <c r="C12" s="1008"/>
      <c r="D12" s="1008"/>
      <c r="E12" s="1008"/>
      <c r="F12" s="1008"/>
      <c r="G12" s="1008"/>
      <c r="H12" s="1008"/>
      <c r="I12" s="1008"/>
      <c r="J12" s="1008"/>
      <c r="K12" s="1008"/>
      <c r="L12" s="526"/>
    </row>
    <row r="13" spans="1:12" x14ac:dyDescent="0.2">
      <c r="A13" s="526"/>
      <c r="L13" s="526"/>
    </row>
    <row r="14" spans="1:12" x14ac:dyDescent="0.2">
      <c r="A14" s="526"/>
      <c r="B14" s="475" t="s">
        <v>631</v>
      </c>
      <c r="L14" s="526"/>
    </row>
    <row r="15" spans="1:12" x14ac:dyDescent="0.2">
      <c r="A15" s="526"/>
      <c r="L15" s="526"/>
    </row>
    <row r="16" spans="1:12" x14ac:dyDescent="0.2">
      <c r="A16" s="526"/>
      <c r="B16" s="481" t="s">
        <v>632</v>
      </c>
      <c r="L16" s="526"/>
    </row>
    <row r="17" spans="1:12" x14ac:dyDescent="0.2">
      <c r="A17" s="526"/>
      <c r="B17" s="481" t="s">
        <v>633</v>
      </c>
      <c r="L17" s="526"/>
    </row>
    <row r="18" spans="1:12" x14ac:dyDescent="0.2">
      <c r="A18" s="526"/>
      <c r="L18" s="526"/>
    </row>
    <row r="19" spans="1:12" x14ac:dyDescent="0.2">
      <c r="A19" s="526"/>
      <c r="B19" s="475" t="s">
        <v>771</v>
      </c>
      <c r="L19" s="526"/>
    </row>
    <row r="20" spans="1:12" x14ac:dyDescent="0.2">
      <c r="A20" s="526"/>
      <c r="B20" s="475"/>
      <c r="L20" s="526"/>
    </row>
    <row r="21" spans="1:12" x14ac:dyDescent="0.2">
      <c r="A21" s="526"/>
      <c r="B21" s="481" t="s">
        <v>772</v>
      </c>
      <c r="L21" s="526"/>
    </row>
    <row r="22" spans="1:12" x14ac:dyDescent="0.2">
      <c r="A22" s="526"/>
      <c r="L22" s="526"/>
    </row>
    <row r="23" spans="1:12" x14ac:dyDescent="0.2">
      <c r="A23" s="526"/>
      <c r="B23" s="481" t="s">
        <v>634</v>
      </c>
      <c r="E23" s="481" t="s">
        <v>635</v>
      </c>
      <c r="F23" s="1005">
        <v>312000000</v>
      </c>
      <c r="G23" s="1005"/>
      <c r="L23" s="526"/>
    </row>
    <row r="24" spans="1:12" x14ac:dyDescent="0.2">
      <c r="A24" s="526"/>
      <c r="L24" s="526"/>
    </row>
    <row r="25" spans="1:12" x14ac:dyDescent="0.2">
      <c r="A25" s="526"/>
      <c r="C25" s="1015">
        <f>F23</f>
        <v>312000000</v>
      </c>
      <c r="D25" s="1015"/>
      <c r="E25" s="481" t="s">
        <v>636</v>
      </c>
      <c r="F25" s="482">
        <v>1000</v>
      </c>
      <c r="G25" s="482" t="s">
        <v>635</v>
      </c>
      <c r="H25" s="750">
        <f>F23/F25</f>
        <v>312000</v>
      </c>
      <c r="L25" s="526"/>
    </row>
    <row r="26" spans="1:12" ht="15" thickBot="1" x14ac:dyDescent="0.25">
      <c r="A26" s="526"/>
      <c r="L26" s="526"/>
    </row>
    <row r="27" spans="1:12" x14ac:dyDescent="0.2">
      <c r="A27" s="526"/>
      <c r="B27" s="476" t="s">
        <v>631</v>
      </c>
      <c r="C27" s="483"/>
      <c r="D27" s="483"/>
      <c r="E27" s="483"/>
      <c r="F27" s="483"/>
      <c r="G27" s="483"/>
      <c r="H27" s="483"/>
      <c r="I27" s="483"/>
      <c r="J27" s="483"/>
      <c r="K27" s="484"/>
      <c r="L27" s="526"/>
    </row>
    <row r="28" spans="1:12" x14ac:dyDescent="0.2">
      <c r="A28" s="526"/>
      <c r="B28" s="485">
        <f>F23</f>
        <v>312000000</v>
      </c>
      <c r="C28" s="486" t="s">
        <v>637</v>
      </c>
      <c r="D28" s="486"/>
      <c r="E28" s="486" t="s">
        <v>636</v>
      </c>
      <c r="F28" s="547">
        <v>1000</v>
      </c>
      <c r="G28" s="547" t="s">
        <v>635</v>
      </c>
      <c r="H28" s="751">
        <f>B28/F28</f>
        <v>312000</v>
      </c>
      <c r="I28" s="486" t="s">
        <v>638</v>
      </c>
      <c r="J28" s="486"/>
      <c r="K28" s="487"/>
      <c r="L28" s="526"/>
    </row>
    <row r="29" spans="1:12" ht="15" thickBot="1" x14ac:dyDescent="0.25">
      <c r="A29" s="526"/>
      <c r="B29" s="488"/>
      <c r="C29" s="489"/>
      <c r="D29" s="489"/>
      <c r="E29" s="489"/>
      <c r="F29" s="489"/>
      <c r="G29" s="489"/>
      <c r="H29" s="489"/>
      <c r="I29" s="489"/>
      <c r="J29" s="489"/>
      <c r="K29" s="490"/>
      <c r="L29" s="526"/>
    </row>
    <row r="30" spans="1:12" ht="40.5" customHeight="1" x14ac:dyDescent="0.2">
      <c r="A30" s="526"/>
      <c r="B30" s="1009" t="s">
        <v>627</v>
      </c>
      <c r="C30" s="1009"/>
      <c r="D30" s="1009"/>
      <c r="E30" s="1009"/>
      <c r="F30" s="1009"/>
      <c r="G30" s="1009"/>
      <c r="H30" s="1009"/>
      <c r="I30" s="1009"/>
      <c r="J30" s="1009"/>
      <c r="K30" s="1009"/>
      <c r="L30" s="526"/>
    </row>
    <row r="31" spans="1:12" x14ac:dyDescent="0.2">
      <c r="A31" s="526"/>
      <c r="B31" s="1011" t="s">
        <v>639</v>
      </c>
      <c r="C31" s="1011"/>
      <c r="D31" s="1011"/>
      <c r="E31" s="1011"/>
      <c r="F31" s="1011"/>
      <c r="G31" s="1011"/>
      <c r="H31" s="1011"/>
      <c r="I31" s="1011"/>
      <c r="J31" s="1011"/>
      <c r="K31" s="1011"/>
      <c r="L31" s="526"/>
    </row>
    <row r="32" spans="1:12" x14ac:dyDescent="0.2">
      <c r="A32" s="526"/>
      <c r="L32" s="526"/>
    </row>
    <row r="33" spans="1:12" x14ac:dyDescent="0.2">
      <c r="A33" s="526"/>
      <c r="B33" s="1011" t="s">
        <v>640</v>
      </c>
      <c r="C33" s="1011"/>
      <c r="D33" s="1011"/>
      <c r="E33" s="1011"/>
      <c r="F33" s="1011"/>
      <c r="G33" s="1011"/>
      <c r="H33" s="1011"/>
      <c r="I33" s="1011"/>
      <c r="J33" s="1011"/>
      <c r="K33" s="1011"/>
      <c r="L33" s="526"/>
    </row>
    <row r="34" spans="1:12" x14ac:dyDescent="0.2">
      <c r="A34" s="526"/>
      <c r="L34" s="526"/>
    </row>
    <row r="35" spans="1:12" ht="89.25" customHeight="1" x14ac:dyDescent="0.2">
      <c r="A35" s="526"/>
      <c r="B35" s="1008" t="s">
        <v>641</v>
      </c>
      <c r="C35" s="1010"/>
      <c r="D35" s="1010"/>
      <c r="E35" s="1010"/>
      <c r="F35" s="1010"/>
      <c r="G35" s="1010"/>
      <c r="H35" s="1010"/>
      <c r="I35" s="1010"/>
      <c r="J35" s="1010"/>
      <c r="K35" s="1010"/>
      <c r="L35" s="526"/>
    </row>
    <row r="36" spans="1:12" x14ac:dyDescent="0.2">
      <c r="A36" s="526"/>
      <c r="L36" s="526"/>
    </row>
    <row r="37" spans="1:12" x14ac:dyDescent="0.2">
      <c r="A37" s="526"/>
      <c r="B37" s="475" t="s">
        <v>642</v>
      </c>
      <c r="L37" s="526"/>
    </row>
    <row r="38" spans="1:12" x14ac:dyDescent="0.2">
      <c r="A38" s="526"/>
      <c r="L38" s="526"/>
    </row>
    <row r="39" spans="1:12" x14ac:dyDescent="0.2">
      <c r="A39" s="526"/>
      <c r="B39" s="481" t="s">
        <v>675</v>
      </c>
      <c r="L39" s="526"/>
    </row>
    <row r="40" spans="1:12" x14ac:dyDescent="0.2">
      <c r="A40" s="526"/>
      <c r="L40" s="526"/>
    </row>
    <row r="41" spans="1:12" x14ac:dyDescent="0.2">
      <c r="A41" s="526"/>
      <c r="C41" s="1016">
        <v>312000000</v>
      </c>
      <c r="D41" s="1016"/>
      <c r="E41" s="481" t="s">
        <v>636</v>
      </c>
      <c r="F41" s="482">
        <v>1000</v>
      </c>
      <c r="G41" s="482" t="s">
        <v>635</v>
      </c>
      <c r="H41" s="752">
        <f>C41/F41</f>
        <v>312000</v>
      </c>
      <c r="L41" s="526"/>
    </row>
    <row r="42" spans="1:12" x14ac:dyDescent="0.2">
      <c r="A42" s="526"/>
      <c r="L42" s="526"/>
    </row>
    <row r="43" spans="1:12" x14ac:dyDescent="0.2">
      <c r="A43" s="526"/>
      <c r="B43" s="481" t="s">
        <v>676</v>
      </c>
      <c r="L43" s="526"/>
    </row>
    <row r="44" spans="1:12" x14ac:dyDescent="0.2">
      <c r="A44" s="526"/>
      <c r="L44" s="526"/>
    </row>
    <row r="45" spans="1:12" x14ac:dyDescent="0.2">
      <c r="A45" s="526"/>
      <c r="B45" s="481" t="s">
        <v>643</v>
      </c>
      <c r="L45" s="526"/>
    </row>
    <row r="46" spans="1:12" ht="15" thickBot="1" x14ac:dyDescent="0.25">
      <c r="A46" s="526"/>
      <c r="L46" s="526"/>
    </row>
    <row r="47" spans="1:12" x14ac:dyDescent="0.2">
      <c r="A47" s="526"/>
      <c r="B47" s="491" t="s">
        <v>631</v>
      </c>
      <c r="C47" s="483"/>
      <c r="D47" s="483"/>
      <c r="E47" s="483"/>
      <c r="F47" s="483"/>
      <c r="G47" s="483"/>
      <c r="H47" s="483"/>
      <c r="I47" s="483"/>
      <c r="J47" s="483"/>
      <c r="K47" s="484"/>
      <c r="L47" s="526"/>
    </row>
    <row r="48" spans="1:12" x14ac:dyDescent="0.2">
      <c r="A48" s="526"/>
      <c r="B48" s="1017">
        <v>312000000</v>
      </c>
      <c r="C48" s="1005"/>
      <c r="D48" s="486" t="s">
        <v>644</v>
      </c>
      <c r="E48" s="486" t="s">
        <v>636</v>
      </c>
      <c r="F48" s="582">
        <v>1000</v>
      </c>
      <c r="G48" s="582" t="s">
        <v>635</v>
      </c>
      <c r="H48" s="751">
        <f>B48/F48</f>
        <v>312000</v>
      </c>
      <c r="I48" s="486" t="s">
        <v>645</v>
      </c>
      <c r="J48" s="486"/>
      <c r="K48" s="487"/>
      <c r="L48" s="526"/>
    </row>
    <row r="49" spans="1:24" x14ac:dyDescent="0.2">
      <c r="A49" s="526"/>
      <c r="B49" s="492"/>
      <c r="C49" s="486"/>
      <c r="D49" s="486"/>
      <c r="E49" s="486"/>
      <c r="F49" s="486"/>
      <c r="G49" s="486"/>
      <c r="H49" s="486"/>
      <c r="I49" s="486"/>
      <c r="J49" s="486"/>
      <c r="K49" s="487"/>
      <c r="L49" s="526"/>
    </row>
    <row r="50" spans="1:24" x14ac:dyDescent="0.2">
      <c r="A50" s="526"/>
      <c r="B50" s="493">
        <v>50000</v>
      </c>
      <c r="C50" s="486" t="s">
        <v>646</v>
      </c>
      <c r="D50" s="486"/>
      <c r="E50" s="486" t="s">
        <v>636</v>
      </c>
      <c r="F50" s="751">
        <f>H48</f>
        <v>312000</v>
      </c>
      <c r="G50" s="1018" t="s">
        <v>647</v>
      </c>
      <c r="H50" s="1019"/>
      <c r="I50" s="582" t="s">
        <v>635</v>
      </c>
      <c r="J50" s="494">
        <f>B50/F50</f>
        <v>0.16025641025641027</v>
      </c>
      <c r="K50" s="487"/>
      <c r="L50" s="526"/>
    </row>
    <row r="51" spans="1:24" ht="15" thickBot="1" x14ac:dyDescent="0.25">
      <c r="A51" s="526"/>
      <c r="B51" s="488"/>
      <c r="C51" s="489"/>
      <c r="D51" s="489"/>
      <c r="E51" s="489"/>
      <c r="F51" s="489"/>
      <c r="G51" s="489"/>
      <c r="H51" s="489"/>
      <c r="I51" s="1020" t="s">
        <v>648</v>
      </c>
      <c r="J51" s="1020"/>
      <c r="K51" s="1021"/>
      <c r="L51" s="526"/>
      <c r="O51" s="562"/>
    </row>
    <row r="52" spans="1:24" ht="40.5" customHeight="1" x14ac:dyDescent="0.2">
      <c r="A52" s="526"/>
      <c r="B52" s="1009" t="s">
        <v>627</v>
      </c>
      <c r="C52" s="1009"/>
      <c r="D52" s="1009"/>
      <c r="E52" s="1009"/>
      <c r="F52" s="1009"/>
      <c r="G52" s="1009"/>
      <c r="H52" s="1009"/>
      <c r="I52" s="1009"/>
      <c r="J52" s="1009"/>
      <c r="K52" s="1009"/>
      <c r="L52" s="526"/>
    </row>
    <row r="53" spans="1:24" x14ac:dyDescent="0.2">
      <c r="A53" s="526"/>
      <c r="B53" s="1011" t="s">
        <v>649</v>
      </c>
      <c r="C53" s="1011"/>
      <c r="D53" s="1011"/>
      <c r="E53" s="1011"/>
      <c r="F53" s="1011"/>
      <c r="G53" s="1011"/>
      <c r="H53" s="1011"/>
      <c r="I53" s="1011"/>
      <c r="J53" s="1011"/>
      <c r="K53" s="1011"/>
      <c r="L53" s="526"/>
    </row>
    <row r="54" spans="1:24" x14ac:dyDescent="0.2">
      <c r="A54" s="526"/>
      <c r="B54" s="543"/>
      <c r="C54" s="543"/>
      <c r="D54" s="543"/>
      <c r="E54" s="543"/>
      <c r="F54" s="543"/>
      <c r="G54" s="543"/>
      <c r="H54" s="543"/>
      <c r="I54" s="543"/>
      <c r="J54" s="543"/>
      <c r="K54" s="543"/>
      <c r="L54" s="526"/>
    </row>
    <row r="55" spans="1:24" x14ac:dyDescent="0.2">
      <c r="A55" s="526"/>
      <c r="B55" s="1007" t="s">
        <v>650</v>
      </c>
      <c r="C55" s="1007"/>
      <c r="D55" s="1007"/>
      <c r="E55" s="1007"/>
      <c r="F55" s="1007"/>
      <c r="G55" s="1007"/>
      <c r="H55" s="1007"/>
      <c r="I55" s="1007"/>
      <c r="J55" s="1007"/>
      <c r="K55" s="1007"/>
      <c r="L55" s="526"/>
    </row>
    <row r="56" spans="1:24" ht="15" customHeight="1" x14ac:dyDescent="0.2">
      <c r="A56" s="526"/>
      <c r="L56" s="526"/>
    </row>
    <row r="57" spans="1:24" ht="74.25" customHeight="1" x14ac:dyDescent="0.2">
      <c r="A57" s="526"/>
      <c r="B57" s="1008" t="s">
        <v>651</v>
      </c>
      <c r="C57" s="1010"/>
      <c r="D57" s="1010"/>
      <c r="E57" s="1010"/>
      <c r="F57" s="1010"/>
      <c r="G57" s="1010"/>
      <c r="H57" s="1010"/>
      <c r="I57" s="1010"/>
      <c r="J57" s="1010"/>
      <c r="K57" s="1010"/>
      <c r="L57" s="526"/>
      <c r="M57" s="477"/>
      <c r="N57" s="495"/>
      <c r="O57" s="495"/>
      <c r="P57" s="495"/>
      <c r="Q57" s="495"/>
      <c r="R57" s="495"/>
      <c r="S57" s="495"/>
      <c r="T57" s="495"/>
      <c r="U57" s="495"/>
      <c r="V57" s="495"/>
      <c r="W57" s="495"/>
      <c r="X57" s="495"/>
    </row>
    <row r="58" spans="1:24" ht="15" customHeight="1" x14ac:dyDescent="0.2">
      <c r="A58" s="526"/>
      <c r="B58" s="1008"/>
      <c r="C58" s="1010"/>
      <c r="D58" s="1010"/>
      <c r="E58" s="1010"/>
      <c r="F58" s="1010"/>
      <c r="G58" s="1010"/>
      <c r="H58" s="1010"/>
      <c r="I58" s="1010"/>
      <c r="J58" s="1010"/>
      <c r="K58" s="1010"/>
      <c r="L58" s="526"/>
      <c r="M58" s="477"/>
      <c r="N58" s="495"/>
      <c r="O58" s="495"/>
      <c r="P58" s="495"/>
      <c r="Q58" s="495"/>
      <c r="R58" s="495"/>
      <c r="S58" s="495"/>
      <c r="T58" s="495"/>
      <c r="U58" s="495"/>
      <c r="V58" s="495"/>
      <c r="W58" s="495"/>
      <c r="X58" s="495"/>
    </row>
    <row r="59" spans="1:24" x14ac:dyDescent="0.2">
      <c r="A59" s="526"/>
      <c r="B59" s="475" t="s">
        <v>642</v>
      </c>
      <c r="L59" s="526"/>
      <c r="M59" s="495"/>
      <c r="N59" s="495"/>
      <c r="O59" s="495"/>
      <c r="P59" s="495"/>
      <c r="Q59" s="495"/>
      <c r="R59" s="495"/>
      <c r="S59" s="495"/>
      <c r="T59" s="495"/>
      <c r="U59" s="495"/>
      <c r="V59" s="495"/>
      <c r="W59" s="495"/>
      <c r="X59" s="495"/>
    </row>
    <row r="60" spans="1:24" x14ac:dyDescent="0.2">
      <c r="A60" s="526"/>
      <c r="L60" s="526"/>
      <c r="M60" s="495"/>
      <c r="N60" s="495"/>
      <c r="O60" s="495"/>
      <c r="P60" s="495"/>
      <c r="Q60" s="495"/>
      <c r="R60" s="495"/>
      <c r="S60" s="495"/>
      <c r="T60" s="495"/>
      <c r="U60" s="495"/>
      <c r="V60" s="495"/>
      <c r="W60" s="495"/>
      <c r="X60" s="495"/>
    </row>
    <row r="61" spans="1:24" x14ac:dyDescent="0.2">
      <c r="A61" s="526"/>
      <c r="B61" s="481" t="s">
        <v>677</v>
      </c>
      <c r="L61" s="526"/>
      <c r="M61" s="495"/>
      <c r="N61" s="495"/>
      <c r="O61" s="495"/>
      <c r="P61" s="495"/>
      <c r="Q61" s="495"/>
      <c r="R61" s="495"/>
      <c r="S61" s="495"/>
      <c r="T61" s="495"/>
      <c r="U61" s="495"/>
      <c r="V61" s="495"/>
      <c r="W61" s="495"/>
      <c r="X61" s="495"/>
    </row>
    <row r="62" spans="1:24" x14ac:dyDescent="0.2">
      <c r="A62" s="526"/>
      <c r="B62" s="481" t="s">
        <v>773</v>
      </c>
      <c r="L62" s="526"/>
      <c r="M62" s="495"/>
      <c r="N62" s="495"/>
      <c r="O62" s="495"/>
      <c r="P62" s="495"/>
      <c r="Q62" s="495"/>
      <c r="R62" s="495"/>
      <c r="S62" s="495"/>
      <c r="T62" s="495"/>
      <c r="U62" s="495"/>
      <c r="V62" s="495"/>
      <c r="W62" s="495"/>
      <c r="X62" s="495"/>
    </row>
    <row r="63" spans="1:24" x14ac:dyDescent="0.2">
      <c r="A63" s="526"/>
      <c r="B63" s="481" t="s">
        <v>774</v>
      </c>
      <c r="L63" s="526"/>
      <c r="M63" s="495"/>
      <c r="N63" s="495"/>
      <c r="O63" s="495"/>
      <c r="P63" s="495"/>
      <c r="Q63" s="495"/>
      <c r="R63" s="495"/>
      <c r="S63" s="495"/>
      <c r="T63" s="495"/>
      <c r="U63" s="495"/>
      <c r="V63" s="495"/>
      <c r="W63" s="495"/>
      <c r="X63" s="495"/>
    </row>
    <row r="64" spans="1:24" x14ac:dyDescent="0.2">
      <c r="A64" s="526"/>
      <c r="L64" s="526"/>
      <c r="M64" s="495"/>
      <c r="N64" s="495"/>
      <c r="O64" s="495"/>
      <c r="P64" s="495"/>
      <c r="Q64" s="495"/>
      <c r="R64" s="495"/>
      <c r="S64" s="495"/>
      <c r="T64" s="495"/>
      <c r="U64" s="495"/>
      <c r="V64" s="495"/>
      <c r="W64" s="495"/>
      <c r="X64" s="495"/>
    </row>
    <row r="65" spans="1:24" x14ac:dyDescent="0.2">
      <c r="A65" s="526"/>
      <c r="B65" s="481" t="s">
        <v>678</v>
      </c>
      <c r="L65" s="526"/>
      <c r="M65" s="495"/>
      <c r="N65" s="495"/>
      <c r="O65" s="495"/>
      <c r="P65" s="495"/>
      <c r="Q65" s="495"/>
      <c r="R65" s="495"/>
      <c r="S65" s="495"/>
      <c r="T65" s="495"/>
      <c r="U65" s="495"/>
      <c r="V65" s="495"/>
      <c r="W65" s="495"/>
      <c r="X65" s="495"/>
    </row>
    <row r="66" spans="1:24" x14ac:dyDescent="0.2">
      <c r="A66" s="526"/>
      <c r="B66" s="481" t="s">
        <v>652</v>
      </c>
      <c r="L66" s="526"/>
      <c r="M66" s="495"/>
      <c r="N66" s="495"/>
      <c r="O66" s="495"/>
      <c r="P66" s="495"/>
      <c r="Q66" s="495"/>
      <c r="R66" s="495"/>
      <c r="S66" s="495"/>
      <c r="T66" s="495"/>
      <c r="U66" s="495"/>
      <c r="V66" s="495"/>
      <c r="W66" s="495"/>
      <c r="X66" s="495"/>
    </row>
    <row r="67" spans="1:24" x14ac:dyDescent="0.2">
      <c r="A67" s="526"/>
      <c r="L67" s="526"/>
      <c r="M67" s="495"/>
      <c r="N67" s="495"/>
      <c r="O67" s="495"/>
      <c r="P67" s="495"/>
      <c r="Q67" s="495"/>
      <c r="R67" s="495"/>
      <c r="S67" s="495"/>
      <c r="T67" s="495"/>
      <c r="U67" s="495"/>
      <c r="V67" s="495"/>
      <c r="W67" s="495"/>
      <c r="X67" s="495"/>
    </row>
    <row r="68" spans="1:24" x14ac:dyDescent="0.2">
      <c r="A68" s="526"/>
      <c r="B68" s="481" t="s">
        <v>679</v>
      </c>
      <c r="L68" s="526"/>
      <c r="M68" s="478"/>
      <c r="N68" s="496"/>
      <c r="O68" s="496"/>
      <c r="P68" s="496"/>
      <c r="Q68" s="496"/>
      <c r="R68" s="496"/>
      <c r="S68" s="496"/>
      <c r="T68" s="496"/>
      <c r="U68" s="496"/>
      <c r="V68" s="496"/>
      <c r="W68" s="496"/>
      <c r="X68" s="495"/>
    </row>
    <row r="69" spans="1:24" x14ac:dyDescent="0.2">
      <c r="A69" s="526"/>
      <c r="B69" s="481" t="s">
        <v>775</v>
      </c>
      <c r="L69" s="526"/>
      <c r="M69" s="495"/>
      <c r="N69" s="495"/>
      <c r="O69" s="495"/>
      <c r="P69" s="495"/>
      <c r="Q69" s="495"/>
      <c r="R69" s="495"/>
      <c r="S69" s="495"/>
      <c r="T69" s="495"/>
      <c r="U69" s="495"/>
      <c r="V69" s="495"/>
      <c r="W69" s="495"/>
      <c r="X69" s="495"/>
    </row>
    <row r="70" spans="1:24" x14ac:dyDescent="0.2">
      <c r="A70" s="526"/>
      <c r="B70" s="481" t="s">
        <v>776</v>
      </c>
      <c r="L70" s="526"/>
      <c r="M70" s="495"/>
      <c r="N70" s="495"/>
      <c r="O70" s="495"/>
      <c r="P70" s="495"/>
      <c r="Q70" s="495"/>
      <c r="R70" s="495"/>
      <c r="S70" s="495"/>
      <c r="T70" s="495"/>
      <c r="U70" s="495"/>
      <c r="V70" s="495"/>
      <c r="W70" s="495"/>
      <c r="X70" s="495"/>
    </row>
    <row r="71" spans="1:24" ht="15" thickBot="1" x14ac:dyDescent="0.25">
      <c r="A71" s="526"/>
      <c r="B71" s="486"/>
      <c r="C71" s="486"/>
      <c r="D71" s="486"/>
      <c r="E71" s="486"/>
      <c r="F71" s="486"/>
      <c r="G71" s="486"/>
      <c r="H71" s="486"/>
      <c r="I71" s="486"/>
      <c r="J71" s="486"/>
      <c r="K71" s="486"/>
      <c r="L71" s="526"/>
    </row>
    <row r="72" spans="1:24" x14ac:dyDescent="0.2">
      <c r="A72" s="526"/>
      <c r="B72" s="476" t="s">
        <v>631</v>
      </c>
      <c r="C72" s="483"/>
      <c r="D72" s="483"/>
      <c r="E72" s="483"/>
      <c r="F72" s="483"/>
      <c r="G72" s="483"/>
      <c r="H72" s="483"/>
      <c r="I72" s="483"/>
      <c r="J72" s="483"/>
      <c r="K72" s="484"/>
      <c r="L72" s="528"/>
    </row>
    <row r="73" spans="1:24" x14ac:dyDescent="0.2">
      <c r="A73" s="526"/>
      <c r="B73" s="492"/>
      <c r="C73" s="486" t="s">
        <v>637</v>
      </c>
      <c r="D73" s="486"/>
      <c r="E73" s="486"/>
      <c r="F73" s="486"/>
      <c r="G73" s="486"/>
      <c r="H73" s="486"/>
      <c r="I73" s="486"/>
      <c r="J73" s="486"/>
      <c r="K73" s="487"/>
      <c r="L73" s="528"/>
    </row>
    <row r="74" spans="1:24" x14ac:dyDescent="0.2">
      <c r="A74" s="526"/>
      <c r="B74" s="492" t="s">
        <v>653</v>
      </c>
      <c r="C74" s="1005">
        <v>312000000</v>
      </c>
      <c r="D74" s="1005"/>
      <c r="E74" s="547" t="s">
        <v>636</v>
      </c>
      <c r="F74" s="547">
        <v>1000</v>
      </c>
      <c r="G74" s="547" t="s">
        <v>635</v>
      </c>
      <c r="H74" s="716">
        <f>C74/F74</f>
        <v>312000</v>
      </c>
      <c r="I74" s="486" t="s">
        <v>654</v>
      </c>
      <c r="J74" s="486"/>
      <c r="K74" s="487"/>
      <c r="L74" s="528"/>
    </row>
    <row r="75" spans="1:24" x14ac:dyDescent="0.2">
      <c r="A75" s="526"/>
      <c r="B75" s="492"/>
      <c r="C75" s="486"/>
      <c r="D75" s="486"/>
      <c r="E75" s="547"/>
      <c r="F75" s="486"/>
      <c r="G75" s="486"/>
      <c r="H75" s="486"/>
      <c r="I75" s="486"/>
      <c r="J75" s="486"/>
      <c r="K75" s="487"/>
      <c r="L75" s="528"/>
    </row>
    <row r="76" spans="1:24" x14ac:dyDescent="0.2">
      <c r="A76" s="526"/>
      <c r="B76" s="492"/>
      <c r="C76" s="486" t="s">
        <v>655</v>
      </c>
      <c r="D76" s="486"/>
      <c r="E76" s="547"/>
      <c r="F76" s="486" t="s">
        <v>654</v>
      </c>
      <c r="G76" s="486"/>
      <c r="H76" s="486"/>
      <c r="I76" s="486"/>
      <c r="J76" s="486"/>
      <c r="K76" s="487"/>
      <c r="L76" s="528"/>
    </row>
    <row r="77" spans="1:24" x14ac:dyDescent="0.2">
      <c r="A77" s="526"/>
      <c r="B77" s="492" t="s">
        <v>658</v>
      </c>
      <c r="C77" s="1005">
        <v>50000</v>
      </c>
      <c r="D77" s="1005"/>
      <c r="E77" s="547" t="s">
        <v>636</v>
      </c>
      <c r="F77" s="716">
        <f>H74</f>
        <v>312000</v>
      </c>
      <c r="G77" s="547" t="s">
        <v>635</v>
      </c>
      <c r="H77" s="494">
        <f>C77/F77</f>
        <v>0.16025641025641027</v>
      </c>
      <c r="I77" s="486" t="s">
        <v>656</v>
      </c>
      <c r="J77" s="486"/>
      <c r="K77" s="487"/>
      <c r="L77" s="528"/>
    </row>
    <row r="78" spans="1:24" x14ac:dyDescent="0.2">
      <c r="A78" s="526"/>
      <c r="B78" s="492"/>
      <c r="C78" s="486"/>
      <c r="D78" s="486"/>
      <c r="E78" s="547"/>
      <c r="F78" s="486"/>
      <c r="G78" s="486"/>
      <c r="H78" s="486"/>
      <c r="I78" s="486"/>
      <c r="J78" s="486"/>
      <c r="K78" s="487"/>
      <c r="L78" s="528"/>
    </row>
    <row r="79" spans="1:24" x14ac:dyDescent="0.2">
      <c r="A79" s="526"/>
      <c r="B79" s="497"/>
      <c r="C79" s="498" t="s">
        <v>657</v>
      </c>
      <c r="D79" s="498"/>
      <c r="E79" s="549"/>
      <c r="F79" s="498"/>
      <c r="G79" s="498"/>
      <c r="H79" s="498"/>
      <c r="I79" s="498"/>
      <c r="J79" s="498"/>
      <c r="K79" s="499"/>
      <c r="L79" s="528"/>
    </row>
    <row r="80" spans="1:24" x14ac:dyDescent="0.2">
      <c r="A80" s="526"/>
      <c r="B80" s="492" t="s">
        <v>734</v>
      </c>
      <c r="C80" s="1005">
        <v>100000</v>
      </c>
      <c r="D80" s="1005"/>
      <c r="E80" s="547" t="s">
        <v>140</v>
      </c>
      <c r="F80" s="547">
        <v>0.115</v>
      </c>
      <c r="G80" s="547" t="s">
        <v>635</v>
      </c>
      <c r="H80" s="548">
        <f>C80*F80</f>
        <v>11500</v>
      </c>
      <c r="I80" s="486" t="s">
        <v>659</v>
      </c>
      <c r="J80" s="486"/>
      <c r="K80" s="487"/>
      <c r="L80" s="528"/>
    </row>
    <row r="81" spans="1:12" x14ac:dyDescent="0.2">
      <c r="A81" s="526"/>
      <c r="B81" s="492"/>
      <c r="C81" s="486"/>
      <c r="D81" s="486"/>
      <c r="E81" s="547"/>
      <c r="F81" s="486"/>
      <c r="G81" s="486"/>
      <c r="H81" s="486"/>
      <c r="I81" s="486"/>
      <c r="J81" s="486"/>
      <c r="K81" s="487"/>
      <c r="L81" s="528"/>
    </row>
    <row r="82" spans="1:12" x14ac:dyDescent="0.2">
      <c r="A82" s="526"/>
      <c r="B82" s="497"/>
      <c r="C82" s="498" t="s">
        <v>660</v>
      </c>
      <c r="D82" s="498"/>
      <c r="E82" s="549"/>
      <c r="F82" s="498" t="s">
        <v>656</v>
      </c>
      <c r="G82" s="498"/>
      <c r="H82" s="498"/>
      <c r="I82" s="498"/>
      <c r="J82" s="498" t="s">
        <v>661</v>
      </c>
      <c r="K82" s="499"/>
      <c r="L82" s="528"/>
    </row>
    <row r="83" spans="1:12" x14ac:dyDescent="0.2">
      <c r="A83" s="526"/>
      <c r="B83" s="492" t="s">
        <v>735</v>
      </c>
      <c r="C83" s="1006">
        <f>H80</f>
        <v>11500</v>
      </c>
      <c r="D83" s="1006"/>
      <c r="E83" s="547" t="s">
        <v>140</v>
      </c>
      <c r="F83" s="494">
        <f>H77</f>
        <v>0.16025641025641027</v>
      </c>
      <c r="G83" s="547" t="s">
        <v>636</v>
      </c>
      <c r="H83" s="547">
        <v>1000</v>
      </c>
      <c r="I83" s="547" t="s">
        <v>635</v>
      </c>
      <c r="J83" s="500">
        <f>C83*F83/H83</f>
        <v>1.8429487179487181</v>
      </c>
      <c r="K83" s="487"/>
      <c r="L83" s="528"/>
    </row>
    <row r="84" spans="1:12" ht="15" thickBot="1" x14ac:dyDescent="0.25">
      <c r="A84" s="526"/>
      <c r="B84" s="488"/>
      <c r="C84" s="501"/>
      <c r="D84" s="501"/>
      <c r="E84" s="502"/>
      <c r="F84" s="503"/>
      <c r="G84" s="502"/>
      <c r="H84" s="502"/>
      <c r="I84" s="502"/>
      <c r="J84" s="504"/>
      <c r="K84" s="490"/>
      <c r="L84" s="528"/>
    </row>
    <row r="85" spans="1:12" ht="40.5" customHeight="1" x14ac:dyDescent="0.2">
      <c r="A85" s="526"/>
      <c r="B85" s="1009" t="s">
        <v>627</v>
      </c>
      <c r="C85" s="1009"/>
      <c r="D85" s="1009"/>
      <c r="E85" s="1009"/>
      <c r="F85" s="1009"/>
      <c r="G85" s="1009"/>
      <c r="H85" s="1009"/>
      <c r="I85" s="1009"/>
      <c r="J85" s="1009"/>
      <c r="K85" s="1009"/>
      <c r="L85" s="526"/>
    </row>
    <row r="86" spans="1:12" x14ac:dyDescent="0.2">
      <c r="A86" s="526"/>
      <c r="B86" s="1007" t="s">
        <v>662</v>
      </c>
      <c r="C86" s="1007"/>
      <c r="D86" s="1007"/>
      <c r="E86" s="1007"/>
      <c r="F86" s="1007"/>
      <c r="G86" s="1007"/>
      <c r="H86" s="1007"/>
      <c r="I86" s="1007"/>
      <c r="J86" s="1007"/>
      <c r="K86" s="1007"/>
      <c r="L86" s="526"/>
    </row>
    <row r="87" spans="1:12" x14ac:dyDescent="0.2">
      <c r="A87" s="526"/>
      <c r="B87" s="505"/>
      <c r="C87" s="505"/>
      <c r="D87" s="505"/>
      <c r="E87" s="505"/>
      <c r="F87" s="505"/>
      <c r="G87" s="505"/>
      <c r="H87" s="505"/>
      <c r="I87" s="505"/>
      <c r="J87" s="505"/>
      <c r="K87" s="505"/>
      <c r="L87" s="526"/>
    </row>
    <row r="88" spans="1:12" x14ac:dyDescent="0.2">
      <c r="A88" s="526"/>
      <c r="B88" s="1007" t="s">
        <v>663</v>
      </c>
      <c r="C88" s="1007"/>
      <c r="D88" s="1007"/>
      <c r="E88" s="1007"/>
      <c r="F88" s="1007"/>
      <c r="G88" s="1007"/>
      <c r="H88" s="1007"/>
      <c r="I88" s="1007"/>
      <c r="J88" s="1007"/>
      <c r="K88" s="1007"/>
      <c r="L88" s="526"/>
    </row>
    <row r="89" spans="1:12" x14ac:dyDescent="0.2">
      <c r="A89" s="526"/>
      <c r="B89" s="542"/>
      <c r="C89" s="542"/>
      <c r="D89" s="542"/>
      <c r="E89" s="542"/>
      <c r="F89" s="542"/>
      <c r="G89" s="542"/>
      <c r="H89" s="542"/>
      <c r="I89" s="542"/>
      <c r="J89" s="542"/>
      <c r="K89" s="542"/>
      <c r="L89" s="526"/>
    </row>
    <row r="90" spans="1:12" ht="45" customHeight="1" x14ac:dyDescent="0.2">
      <c r="A90" s="526"/>
      <c r="B90" s="1008" t="s">
        <v>664</v>
      </c>
      <c r="C90" s="1008"/>
      <c r="D90" s="1008"/>
      <c r="E90" s="1008"/>
      <c r="F90" s="1008"/>
      <c r="G90" s="1008"/>
      <c r="H90" s="1008"/>
      <c r="I90" s="1008"/>
      <c r="J90" s="1008"/>
      <c r="K90" s="1008"/>
      <c r="L90" s="526"/>
    </row>
    <row r="91" spans="1:12" ht="15" customHeight="1" thickBot="1" x14ac:dyDescent="0.25">
      <c r="A91" s="526"/>
      <c r="L91" s="526"/>
    </row>
    <row r="92" spans="1:12" ht="15" customHeight="1" x14ac:dyDescent="0.2">
      <c r="A92" s="526"/>
      <c r="B92" s="479" t="s">
        <v>631</v>
      </c>
      <c r="C92" s="506"/>
      <c r="D92" s="506"/>
      <c r="E92" s="506"/>
      <c r="F92" s="506"/>
      <c r="G92" s="506"/>
      <c r="H92" s="506"/>
      <c r="I92" s="506"/>
      <c r="J92" s="506"/>
      <c r="K92" s="507"/>
      <c r="L92" s="526"/>
    </row>
    <row r="93" spans="1:12" ht="15" customHeight="1" x14ac:dyDescent="0.2">
      <c r="A93" s="526"/>
      <c r="B93" s="508"/>
      <c r="C93" s="545" t="s">
        <v>637</v>
      </c>
      <c r="D93" s="545"/>
      <c r="E93" s="545"/>
      <c r="F93" s="545"/>
      <c r="G93" s="545"/>
      <c r="H93" s="545"/>
      <c r="I93" s="545"/>
      <c r="J93" s="545"/>
      <c r="K93" s="509"/>
      <c r="L93" s="526"/>
    </row>
    <row r="94" spans="1:12" ht="15" customHeight="1" x14ac:dyDescent="0.2">
      <c r="A94" s="526"/>
      <c r="B94" s="508" t="s">
        <v>653</v>
      </c>
      <c r="C94" s="1005">
        <v>312000000</v>
      </c>
      <c r="D94" s="1005"/>
      <c r="E94" s="547" t="s">
        <v>636</v>
      </c>
      <c r="F94" s="547">
        <v>1000</v>
      </c>
      <c r="G94" s="547" t="s">
        <v>635</v>
      </c>
      <c r="H94" s="716">
        <f>C94/F94</f>
        <v>312000</v>
      </c>
      <c r="I94" s="545" t="s">
        <v>654</v>
      </c>
      <c r="J94" s="545"/>
      <c r="K94" s="509"/>
      <c r="L94" s="526"/>
    </row>
    <row r="95" spans="1:12" ht="15" customHeight="1" x14ac:dyDescent="0.2">
      <c r="A95" s="526"/>
      <c r="B95" s="508"/>
      <c r="C95" s="545"/>
      <c r="D95" s="545"/>
      <c r="E95" s="547"/>
      <c r="F95" s="545"/>
      <c r="G95" s="545"/>
      <c r="H95" s="545"/>
      <c r="I95" s="545"/>
      <c r="J95" s="545"/>
      <c r="K95" s="509"/>
      <c r="L95" s="526"/>
    </row>
    <row r="96" spans="1:12" ht="15" customHeight="1" x14ac:dyDescent="0.2">
      <c r="A96" s="526"/>
      <c r="B96" s="508"/>
      <c r="C96" s="545" t="s">
        <v>655</v>
      </c>
      <c r="D96" s="545"/>
      <c r="E96" s="547"/>
      <c r="F96" s="545" t="s">
        <v>654</v>
      </c>
      <c r="G96" s="545"/>
      <c r="H96" s="545"/>
      <c r="I96" s="545"/>
      <c r="J96" s="545"/>
      <c r="K96" s="509"/>
      <c r="L96" s="526"/>
    </row>
    <row r="97" spans="1:12" ht="15" customHeight="1" x14ac:dyDescent="0.2">
      <c r="A97" s="526"/>
      <c r="B97" s="508" t="s">
        <v>658</v>
      </c>
      <c r="C97" s="1005">
        <v>50000</v>
      </c>
      <c r="D97" s="1005"/>
      <c r="E97" s="547" t="s">
        <v>636</v>
      </c>
      <c r="F97" s="716">
        <f>H94</f>
        <v>312000</v>
      </c>
      <c r="G97" s="547" t="s">
        <v>635</v>
      </c>
      <c r="H97" s="494">
        <f>C97/F97</f>
        <v>0.16025641025641027</v>
      </c>
      <c r="I97" s="545" t="s">
        <v>656</v>
      </c>
      <c r="J97" s="545"/>
      <c r="K97" s="509"/>
      <c r="L97" s="526"/>
    </row>
    <row r="98" spans="1:12" ht="15" customHeight="1" x14ac:dyDescent="0.2">
      <c r="A98" s="526"/>
      <c r="B98" s="508"/>
      <c r="C98" s="545"/>
      <c r="D98" s="545"/>
      <c r="E98" s="547"/>
      <c r="F98" s="545"/>
      <c r="G98" s="545"/>
      <c r="H98" s="545"/>
      <c r="I98" s="545"/>
      <c r="J98" s="545"/>
      <c r="K98" s="509"/>
      <c r="L98" s="526"/>
    </row>
    <row r="99" spans="1:12" ht="15" customHeight="1" x14ac:dyDescent="0.2">
      <c r="A99" s="526"/>
      <c r="B99" s="510"/>
      <c r="C99" s="511" t="s">
        <v>665</v>
      </c>
      <c r="D99" s="511"/>
      <c r="E99" s="549"/>
      <c r="F99" s="511"/>
      <c r="G99" s="511"/>
      <c r="H99" s="511"/>
      <c r="I99" s="511"/>
      <c r="J99" s="511"/>
      <c r="K99" s="512"/>
      <c r="L99" s="526"/>
    </row>
    <row r="100" spans="1:12" ht="15" customHeight="1" x14ac:dyDescent="0.2">
      <c r="A100" s="526"/>
      <c r="B100" s="508" t="s">
        <v>734</v>
      </c>
      <c r="C100" s="1005">
        <v>2500000</v>
      </c>
      <c r="D100" s="1005"/>
      <c r="E100" s="547" t="s">
        <v>140</v>
      </c>
      <c r="F100" s="513">
        <v>0.3</v>
      </c>
      <c r="G100" s="547" t="s">
        <v>635</v>
      </c>
      <c r="H100" s="548">
        <f>C100*F100</f>
        <v>750000</v>
      </c>
      <c r="I100" s="545" t="s">
        <v>659</v>
      </c>
      <c r="J100" s="545"/>
      <c r="K100" s="509"/>
      <c r="L100" s="526"/>
    </row>
    <row r="101" spans="1:12" ht="15" customHeight="1" x14ac:dyDescent="0.2">
      <c r="A101" s="526"/>
      <c r="B101" s="508"/>
      <c r="C101" s="545"/>
      <c r="D101" s="545"/>
      <c r="E101" s="547"/>
      <c r="F101" s="545"/>
      <c r="G101" s="545"/>
      <c r="H101" s="545"/>
      <c r="I101" s="545"/>
      <c r="J101" s="545"/>
      <c r="K101" s="509"/>
      <c r="L101" s="526"/>
    </row>
    <row r="102" spans="1:12" ht="15" customHeight="1" x14ac:dyDescent="0.2">
      <c r="A102" s="526"/>
      <c r="B102" s="510"/>
      <c r="C102" s="511" t="s">
        <v>660</v>
      </c>
      <c r="D102" s="511"/>
      <c r="E102" s="549"/>
      <c r="F102" s="511" t="s">
        <v>656</v>
      </c>
      <c r="G102" s="511"/>
      <c r="H102" s="511"/>
      <c r="I102" s="511"/>
      <c r="J102" s="511" t="s">
        <v>661</v>
      </c>
      <c r="K102" s="512"/>
      <c r="L102" s="526"/>
    </row>
    <row r="103" spans="1:12" ht="15" customHeight="1" x14ac:dyDescent="0.2">
      <c r="A103" s="526"/>
      <c r="B103" s="508" t="s">
        <v>735</v>
      </c>
      <c r="C103" s="1006">
        <f>H100</f>
        <v>750000</v>
      </c>
      <c r="D103" s="1006"/>
      <c r="E103" s="547" t="s">
        <v>140</v>
      </c>
      <c r="F103" s="494">
        <f>H97</f>
        <v>0.16025641025641027</v>
      </c>
      <c r="G103" s="547" t="s">
        <v>636</v>
      </c>
      <c r="H103" s="547">
        <v>1000</v>
      </c>
      <c r="I103" s="547" t="s">
        <v>635</v>
      </c>
      <c r="J103" s="500">
        <f>C103*F103/H103</f>
        <v>120.19230769230771</v>
      </c>
      <c r="K103" s="509"/>
      <c r="L103" s="526"/>
    </row>
    <row r="104" spans="1:12" ht="15" customHeight="1" thickBot="1" x14ac:dyDescent="0.25">
      <c r="A104" s="526"/>
      <c r="B104" s="514"/>
      <c r="C104" s="501"/>
      <c r="D104" s="501"/>
      <c r="E104" s="502"/>
      <c r="F104" s="503"/>
      <c r="G104" s="502"/>
      <c r="H104" s="502"/>
      <c r="I104" s="502"/>
      <c r="J104" s="504"/>
      <c r="K104" s="546"/>
      <c r="L104" s="526"/>
    </row>
    <row r="105" spans="1:12" ht="40.5" customHeight="1" x14ac:dyDescent="0.2">
      <c r="A105" s="526"/>
      <c r="B105" s="1009" t="s">
        <v>627</v>
      </c>
      <c r="C105" s="1022"/>
      <c r="D105" s="1022"/>
      <c r="E105" s="1022"/>
      <c r="F105" s="1022"/>
      <c r="G105" s="1022"/>
      <c r="H105" s="1022"/>
      <c r="I105" s="1022"/>
      <c r="J105" s="1022"/>
      <c r="K105" s="1022"/>
      <c r="L105" s="526"/>
    </row>
    <row r="106" spans="1:12" ht="15" customHeight="1" x14ac:dyDescent="0.2">
      <c r="A106" s="526"/>
      <c r="B106" s="1026" t="s">
        <v>666</v>
      </c>
      <c r="C106" s="1012"/>
      <c r="D106" s="1012"/>
      <c r="E106" s="1012"/>
      <c r="F106" s="1012"/>
      <c r="G106" s="1012"/>
      <c r="H106" s="1012"/>
      <c r="I106" s="1012"/>
      <c r="J106" s="1012"/>
      <c r="K106" s="1012"/>
      <c r="L106" s="526"/>
    </row>
    <row r="107" spans="1:12" ht="15" customHeight="1" x14ac:dyDescent="0.2">
      <c r="A107" s="526"/>
      <c r="B107" s="545"/>
      <c r="C107" s="515"/>
      <c r="D107" s="515"/>
      <c r="E107" s="547"/>
      <c r="F107" s="494"/>
      <c r="G107" s="547"/>
      <c r="H107" s="547"/>
      <c r="I107" s="547"/>
      <c r="J107" s="500"/>
      <c r="K107" s="545"/>
      <c r="L107" s="526"/>
    </row>
    <row r="108" spans="1:12" ht="15" customHeight="1" x14ac:dyDescent="0.2">
      <c r="A108" s="526"/>
      <c r="B108" s="1026" t="s">
        <v>667</v>
      </c>
      <c r="C108" s="1028"/>
      <c r="D108" s="1028"/>
      <c r="E108" s="1028"/>
      <c r="F108" s="1028"/>
      <c r="G108" s="1028"/>
      <c r="H108" s="1028"/>
      <c r="I108" s="1028"/>
      <c r="J108" s="1028"/>
      <c r="K108" s="1028"/>
      <c r="L108" s="526"/>
    </row>
    <row r="109" spans="1:12" ht="15" customHeight="1" x14ac:dyDescent="0.2">
      <c r="A109" s="526"/>
      <c r="B109" s="545"/>
      <c r="C109" s="515"/>
      <c r="D109" s="515"/>
      <c r="E109" s="547"/>
      <c r="F109" s="494"/>
      <c r="G109" s="547"/>
      <c r="H109" s="547"/>
      <c r="I109" s="547"/>
      <c r="J109" s="500"/>
      <c r="K109" s="545"/>
      <c r="L109" s="526"/>
    </row>
    <row r="110" spans="1:12" ht="59.25" customHeight="1" x14ac:dyDescent="0.2">
      <c r="A110" s="526"/>
      <c r="B110" s="1034" t="s">
        <v>668</v>
      </c>
      <c r="C110" s="1010"/>
      <c r="D110" s="1010"/>
      <c r="E110" s="1010"/>
      <c r="F110" s="1010"/>
      <c r="G110" s="1010"/>
      <c r="H110" s="1010"/>
      <c r="I110" s="1010"/>
      <c r="J110" s="1010"/>
      <c r="K110" s="1010"/>
      <c r="L110" s="526"/>
    </row>
    <row r="111" spans="1:12" ht="15" thickBot="1" x14ac:dyDescent="0.25">
      <c r="A111" s="526"/>
      <c r="B111" s="543"/>
      <c r="C111" s="543"/>
      <c r="D111" s="543"/>
      <c r="E111" s="543"/>
      <c r="F111" s="543"/>
      <c r="G111" s="543"/>
      <c r="H111" s="543"/>
      <c r="I111" s="543"/>
      <c r="J111" s="543"/>
      <c r="K111" s="543"/>
      <c r="L111" s="529"/>
    </row>
    <row r="112" spans="1:12" x14ac:dyDescent="0.2">
      <c r="A112" s="526"/>
      <c r="B112" s="476" t="s">
        <v>631</v>
      </c>
      <c r="C112" s="483"/>
      <c r="D112" s="483"/>
      <c r="E112" s="483"/>
      <c r="F112" s="483"/>
      <c r="G112" s="483"/>
      <c r="H112" s="483"/>
      <c r="I112" s="483"/>
      <c r="J112" s="483"/>
      <c r="K112" s="484"/>
      <c r="L112" s="526"/>
    </row>
    <row r="113" spans="1:12" x14ac:dyDescent="0.2">
      <c r="A113" s="526"/>
      <c r="B113" s="492"/>
      <c r="C113" s="486" t="s">
        <v>637</v>
      </c>
      <c r="D113" s="486"/>
      <c r="E113" s="486"/>
      <c r="F113" s="486"/>
      <c r="G113" s="486"/>
      <c r="H113" s="486"/>
      <c r="I113" s="486"/>
      <c r="J113" s="486"/>
      <c r="K113" s="487"/>
      <c r="L113" s="526"/>
    </row>
    <row r="114" spans="1:12" x14ac:dyDescent="0.2">
      <c r="A114" s="526"/>
      <c r="B114" s="492" t="s">
        <v>653</v>
      </c>
      <c r="C114" s="1005">
        <v>312000000</v>
      </c>
      <c r="D114" s="1005"/>
      <c r="E114" s="547" t="s">
        <v>636</v>
      </c>
      <c r="F114" s="547">
        <v>1000</v>
      </c>
      <c r="G114" s="547" t="s">
        <v>635</v>
      </c>
      <c r="H114" s="716">
        <f>C114/F114</f>
        <v>312000</v>
      </c>
      <c r="I114" s="486" t="s">
        <v>654</v>
      </c>
      <c r="J114" s="486"/>
      <c r="K114" s="487"/>
      <c r="L114" s="526"/>
    </row>
    <row r="115" spans="1:12" x14ac:dyDescent="0.2">
      <c r="A115" s="526"/>
      <c r="B115" s="492"/>
      <c r="C115" s="486"/>
      <c r="D115" s="486"/>
      <c r="E115" s="547"/>
      <c r="F115" s="486"/>
      <c r="G115" s="486"/>
      <c r="H115" s="486"/>
      <c r="I115" s="486"/>
      <c r="J115" s="486"/>
      <c r="K115" s="487"/>
      <c r="L115" s="526"/>
    </row>
    <row r="116" spans="1:12" x14ac:dyDescent="0.2">
      <c r="A116" s="526"/>
      <c r="B116" s="492"/>
      <c r="C116" s="486" t="s">
        <v>655</v>
      </c>
      <c r="D116" s="486"/>
      <c r="E116" s="547"/>
      <c r="F116" s="486" t="s">
        <v>654</v>
      </c>
      <c r="G116" s="486"/>
      <c r="H116" s="486"/>
      <c r="I116" s="486"/>
      <c r="J116" s="486"/>
      <c r="K116" s="487"/>
      <c r="L116" s="526"/>
    </row>
    <row r="117" spans="1:12" x14ac:dyDescent="0.2">
      <c r="A117" s="526"/>
      <c r="B117" s="492" t="s">
        <v>658</v>
      </c>
      <c r="C117" s="1005">
        <v>50000</v>
      </c>
      <c r="D117" s="1005"/>
      <c r="E117" s="547" t="s">
        <v>636</v>
      </c>
      <c r="F117" s="716">
        <f>H114</f>
        <v>312000</v>
      </c>
      <c r="G117" s="547" t="s">
        <v>635</v>
      </c>
      <c r="H117" s="494">
        <f>C117/F117</f>
        <v>0.16025641025641027</v>
      </c>
      <c r="I117" s="486" t="s">
        <v>656</v>
      </c>
      <c r="J117" s="486"/>
      <c r="K117" s="487"/>
      <c r="L117" s="526"/>
    </row>
    <row r="118" spans="1:12" x14ac:dyDescent="0.2">
      <c r="A118" s="526"/>
      <c r="B118" s="492"/>
      <c r="C118" s="486"/>
      <c r="D118" s="486"/>
      <c r="E118" s="547"/>
      <c r="F118" s="486"/>
      <c r="G118" s="486"/>
      <c r="H118" s="486"/>
      <c r="I118" s="486"/>
      <c r="J118" s="486"/>
      <c r="K118" s="487"/>
      <c r="L118" s="526"/>
    </row>
    <row r="119" spans="1:12" x14ac:dyDescent="0.2">
      <c r="A119" s="526"/>
      <c r="B119" s="497"/>
      <c r="C119" s="498" t="s">
        <v>665</v>
      </c>
      <c r="D119" s="498"/>
      <c r="E119" s="549"/>
      <c r="F119" s="498"/>
      <c r="G119" s="498"/>
      <c r="H119" s="498"/>
      <c r="I119" s="498"/>
      <c r="J119" s="498"/>
      <c r="K119" s="499"/>
      <c r="L119" s="526"/>
    </row>
    <row r="120" spans="1:12" x14ac:dyDescent="0.2">
      <c r="A120" s="526"/>
      <c r="B120" s="492" t="s">
        <v>734</v>
      </c>
      <c r="C120" s="1005">
        <v>2500000</v>
      </c>
      <c r="D120" s="1005"/>
      <c r="E120" s="547" t="s">
        <v>140</v>
      </c>
      <c r="F120" s="513">
        <v>0.25</v>
      </c>
      <c r="G120" s="547" t="s">
        <v>635</v>
      </c>
      <c r="H120" s="548">
        <f>C120*F120</f>
        <v>625000</v>
      </c>
      <c r="I120" s="486" t="s">
        <v>659</v>
      </c>
      <c r="J120" s="486"/>
      <c r="K120" s="487"/>
      <c r="L120" s="526"/>
    </row>
    <row r="121" spans="1:12" x14ac:dyDescent="0.2">
      <c r="A121" s="526"/>
      <c r="B121" s="492"/>
      <c r="C121" s="486"/>
      <c r="D121" s="486"/>
      <c r="E121" s="547"/>
      <c r="F121" s="486"/>
      <c r="G121" s="486"/>
      <c r="H121" s="486"/>
      <c r="I121" s="486"/>
      <c r="J121" s="486"/>
      <c r="K121" s="487"/>
      <c r="L121" s="526"/>
    </row>
    <row r="122" spans="1:12" x14ac:dyDescent="0.2">
      <c r="A122" s="526"/>
      <c r="B122" s="497"/>
      <c r="C122" s="498" t="s">
        <v>660</v>
      </c>
      <c r="D122" s="498"/>
      <c r="E122" s="549"/>
      <c r="F122" s="498" t="s">
        <v>656</v>
      </c>
      <c r="G122" s="498"/>
      <c r="H122" s="498"/>
      <c r="I122" s="498"/>
      <c r="J122" s="498" t="s">
        <v>661</v>
      </c>
      <c r="K122" s="499"/>
      <c r="L122" s="526"/>
    </row>
    <row r="123" spans="1:12" x14ac:dyDescent="0.2">
      <c r="A123" s="526"/>
      <c r="B123" s="492" t="s">
        <v>735</v>
      </c>
      <c r="C123" s="1006">
        <f>H120</f>
        <v>625000</v>
      </c>
      <c r="D123" s="1006"/>
      <c r="E123" s="547" t="s">
        <v>140</v>
      </c>
      <c r="F123" s="494">
        <f>H117</f>
        <v>0.16025641025641027</v>
      </c>
      <c r="G123" s="547" t="s">
        <v>636</v>
      </c>
      <c r="H123" s="547">
        <v>1000</v>
      </c>
      <c r="I123" s="547" t="s">
        <v>635</v>
      </c>
      <c r="J123" s="500">
        <f>C123*F123/H123</f>
        <v>100.16025641025642</v>
      </c>
      <c r="K123" s="487"/>
      <c r="L123" s="526"/>
    </row>
    <row r="124" spans="1:12" ht="15" thickBot="1" x14ac:dyDescent="0.25">
      <c r="A124" s="526"/>
      <c r="B124" s="488"/>
      <c r="C124" s="501"/>
      <c r="D124" s="501"/>
      <c r="E124" s="502"/>
      <c r="F124" s="503"/>
      <c r="G124" s="502"/>
      <c r="H124" s="502"/>
      <c r="I124" s="502"/>
      <c r="J124" s="504"/>
      <c r="K124" s="490"/>
      <c r="L124" s="526"/>
    </row>
    <row r="125" spans="1:12" ht="40.5" customHeight="1" x14ac:dyDescent="0.2">
      <c r="A125" s="526"/>
      <c r="B125" s="1009" t="s">
        <v>627</v>
      </c>
      <c r="C125" s="1009"/>
      <c r="D125" s="1009"/>
      <c r="E125" s="1009"/>
      <c r="F125" s="1009"/>
      <c r="G125" s="1009"/>
      <c r="H125" s="1009"/>
      <c r="I125" s="1009"/>
      <c r="J125" s="1009"/>
      <c r="K125" s="1009"/>
      <c r="L125" s="529"/>
    </row>
    <row r="126" spans="1:12" x14ac:dyDescent="0.2">
      <c r="A126" s="526"/>
      <c r="B126" s="1007" t="s">
        <v>669</v>
      </c>
      <c r="C126" s="1007"/>
      <c r="D126" s="1007"/>
      <c r="E126" s="1007"/>
      <c r="F126" s="1007"/>
      <c r="G126" s="1007"/>
      <c r="H126" s="1007"/>
      <c r="I126" s="1007"/>
      <c r="J126" s="1007"/>
      <c r="K126" s="1007"/>
      <c r="L126" s="529"/>
    </row>
    <row r="127" spans="1:12" x14ac:dyDescent="0.2">
      <c r="A127" s="526"/>
      <c r="B127" s="543"/>
      <c r="C127" s="543"/>
      <c r="D127" s="543"/>
      <c r="E127" s="543"/>
      <c r="F127" s="543"/>
      <c r="G127" s="543"/>
      <c r="H127" s="543"/>
      <c r="I127" s="543"/>
      <c r="J127" s="543"/>
      <c r="K127" s="543"/>
      <c r="L127" s="529"/>
    </row>
    <row r="128" spans="1:12" x14ac:dyDescent="0.2">
      <c r="A128" s="526"/>
      <c r="B128" s="1007" t="s">
        <v>670</v>
      </c>
      <c r="C128" s="1007"/>
      <c r="D128" s="1007"/>
      <c r="E128" s="1007"/>
      <c r="F128" s="1007"/>
      <c r="G128" s="1007"/>
      <c r="H128" s="1007"/>
      <c r="I128" s="1007"/>
      <c r="J128" s="1007"/>
      <c r="K128" s="1007"/>
      <c r="L128" s="529"/>
    </row>
    <row r="129" spans="1:12" x14ac:dyDescent="0.2">
      <c r="A129" s="526"/>
      <c r="B129" s="542"/>
      <c r="C129" s="542"/>
      <c r="D129" s="542"/>
      <c r="E129" s="542"/>
      <c r="F129" s="542"/>
      <c r="G129" s="542"/>
      <c r="H129" s="542"/>
      <c r="I129" s="542"/>
      <c r="J129" s="542"/>
      <c r="K129" s="542"/>
      <c r="L129" s="529"/>
    </row>
    <row r="130" spans="1:12" ht="74.25" customHeight="1" x14ac:dyDescent="0.2">
      <c r="A130" s="526"/>
      <c r="B130" s="1008" t="s">
        <v>736</v>
      </c>
      <c r="C130" s="1008"/>
      <c r="D130" s="1008"/>
      <c r="E130" s="1008"/>
      <c r="F130" s="1008"/>
      <c r="G130" s="1008"/>
      <c r="H130" s="1008"/>
      <c r="I130" s="1008"/>
      <c r="J130" s="1008"/>
      <c r="K130" s="1008"/>
      <c r="L130" s="529"/>
    </row>
    <row r="131" spans="1:12" ht="15" thickBot="1" x14ac:dyDescent="0.25">
      <c r="A131" s="526"/>
      <c r="L131" s="526"/>
    </row>
    <row r="132" spans="1:12" x14ac:dyDescent="0.2">
      <c r="A132" s="526"/>
      <c r="B132" s="476" t="s">
        <v>631</v>
      </c>
      <c r="C132" s="483"/>
      <c r="D132" s="483"/>
      <c r="E132" s="483"/>
      <c r="F132" s="483"/>
      <c r="G132" s="483"/>
      <c r="H132" s="483"/>
      <c r="I132" s="483"/>
      <c r="J132" s="483"/>
      <c r="K132" s="484"/>
      <c r="L132" s="526"/>
    </row>
    <row r="133" spans="1:12" x14ac:dyDescent="0.2">
      <c r="A133" s="526"/>
      <c r="B133" s="492"/>
      <c r="C133" s="1032" t="s">
        <v>671</v>
      </c>
      <c r="D133" s="1032"/>
      <c r="E133" s="486"/>
      <c r="F133" s="547" t="s">
        <v>672</v>
      </c>
      <c r="G133" s="486"/>
      <c r="H133" s="1032" t="s">
        <v>659</v>
      </c>
      <c r="I133" s="1032"/>
      <c r="J133" s="486"/>
      <c r="K133" s="487"/>
      <c r="L133" s="526"/>
    </row>
    <row r="134" spans="1:12" x14ac:dyDescent="0.2">
      <c r="A134" s="526"/>
      <c r="B134" s="492" t="s">
        <v>653</v>
      </c>
      <c r="C134" s="1005">
        <v>100000</v>
      </c>
      <c r="D134" s="1005"/>
      <c r="E134" s="547" t="s">
        <v>140</v>
      </c>
      <c r="F134" s="547">
        <v>0.115</v>
      </c>
      <c r="G134" s="547" t="s">
        <v>635</v>
      </c>
      <c r="H134" s="1033">
        <f>C134*F134</f>
        <v>11500</v>
      </c>
      <c r="I134" s="1033"/>
      <c r="J134" s="486"/>
      <c r="K134" s="487"/>
      <c r="L134" s="526"/>
    </row>
    <row r="135" spans="1:12" x14ac:dyDescent="0.2">
      <c r="A135" s="526"/>
      <c r="B135" s="492"/>
      <c r="C135" s="486"/>
      <c r="D135" s="486"/>
      <c r="E135" s="486"/>
      <c r="F135" s="486"/>
      <c r="G135" s="486"/>
      <c r="H135" s="486"/>
      <c r="I135" s="486"/>
      <c r="J135" s="486"/>
      <c r="K135" s="487"/>
      <c r="L135" s="526"/>
    </row>
    <row r="136" spans="1:12" x14ac:dyDescent="0.2">
      <c r="A136" s="526"/>
      <c r="B136" s="497"/>
      <c r="C136" s="1027" t="s">
        <v>659</v>
      </c>
      <c r="D136" s="1027"/>
      <c r="E136" s="498"/>
      <c r="F136" s="549" t="s">
        <v>673</v>
      </c>
      <c r="G136" s="549"/>
      <c r="H136" s="498"/>
      <c r="I136" s="498"/>
      <c r="J136" s="498" t="s">
        <v>674</v>
      </c>
      <c r="K136" s="499"/>
      <c r="L136" s="526"/>
    </row>
    <row r="137" spans="1:12" x14ac:dyDescent="0.2">
      <c r="A137" s="526"/>
      <c r="B137" s="492" t="s">
        <v>658</v>
      </c>
      <c r="C137" s="1033">
        <f>H134</f>
        <v>11500</v>
      </c>
      <c r="D137" s="1033"/>
      <c r="E137" s="547" t="s">
        <v>140</v>
      </c>
      <c r="F137" s="516">
        <v>52.869</v>
      </c>
      <c r="G137" s="547" t="s">
        <v>636</v>
      </c>
      <c r="H137" s="547">
        <v>1000</v>
      </c>
      <c r="I137" s="547" t="s">
        <v>635</v>
      </c>
      <c r="J137" s="517">
        <f>C137*F137/H137</f>
        <v>607.99350000000004</v>
      </c>
      <c r="K137" s="487"/>
      <c r="L137" s="526"/>
    </row>
    <row r="138" spans="1:12" ht="15" thickBot="1" x14ac:dyDescent="0.25">
      <c r="A138" s="526"/>
      <c r="B138" s="488"/>
      <c r="C138" s="563"/>
      <c r="D138" s="563"/>
      <c r="E138" s="502"/>
      <c r="F138" s="564"/>
      <c r="G138" s="502"/>
      <c r="H138" s="502"/>
      <c r="I138" s="502"/>
      <c r="J138" s="565"/>
      <c r="K138" s="490"/>
      <c r="L138" s="526"/>
    </row>
    <row r="139" spans="1:12" ht="40.5" customHeight="1" x14ac:dyDescent="0.2">
      <c r="A139" s="526"/>
      <c r="B139" s="550" t="s">
        <v>627</v>
      </c>
      <c r="C139" s="551"/>
      <c r="D139" s="551"/>
      <c r="E139" s="552"/>
      <c r="F139" s="553"/>
      <c r="G139" s="552"/>
      <c r="H139" s="552"/>
      <c r="I139" s="552"/>
      <c r="J139" s="554"/>
      <c r="K139" s="555"/>
      <c r="L139" s="526"/>
    </row>
    <row r="140" spans="1:12" x14ac:dyDescent="0.2">
      <c r="A140" s="526"/>
      <c r="B140" s="556" t="s">
        <v>737</v>
      </c>
      <c r="C140" s="557"/>
      <c r="D140" s="557"/>
      <c r="E140" s="558"/>
      <c r="F140" s="559"/>
      <c r="G140" s="558"/>
      <c r="H140" s="558"/>
      <c r="I140" s="558"/>
      <c r="J140" s="560"/>
      <c r="K140" s="561"/>
      <c r="L140" s="526"/>
    </row>
    <row r="141" spans="1:12" x14ac:dyDescent="0.2">
      <c r="A141" s="526"/>
      <c r="B141" s="492"/>
      <c r="C141" s="548"/>
      <c r="D141" s="548"/>
      <c r="E141" s="547"/>
      <c r="F141" s="566"/>
      <c r="G141" s="547"/>
      <c r="H141" s="547"/>
      <c r="I141" s="547"/>
      <c r="J141" s="517"/>
      <c r="K141" s="487"/>
      <c r="L141" s="526"/>
    </row>
    <row r="142" spans="1:12" x14ac:dyDescent="0.2">
      <c r="A142" s="526"/>
      <c r="B142" s="556" t="s">
        <v>738</v>
      </c>
      <c r="C142" s="557"/>
      <c r="D142" s="557"/>
      <c r="E142" s="558"/>
      <c r="F142" s="559"/>
      <c r="G142" s="558"/>
      <c r="H142" s="558"/>
      <c r="I142" s="558"/>
      <c r="J142" s="560"/>
      <c r="K142" s="561"/>
      <c r="L142" s="526"/>
    </row>
    <row r="143" spans="1:12" x14ac:dyDescent="0.2">
      <c r="A143" s="526"/>
      <c r="B143" s="492"/>
      <c r="C143" s="548"/>
      <c r="D143" s="548"/>
      <c r="E143" s="547"/>
      <c r="F143" s="566"/>
      <c r="G143" s="547"/>
      <c r="H143" s="547"/>
      <c r="I143" s="547"/>
      <c r="J143" s="517"/>
      <c r="K143" s="487"/>
      <c r="L143" s="526"/>
    </row>
    <row r="144" spans="1:12" ht="76.5" customHeight="1" x14ac:dyDescent="0.2">
      <c r="A144" s="526"/>
      <c r="B144" s="1023" t="s">
        <v>739</v>
      </c>
      <c r="C144" s="1024"/>
      <c r="D144" s="1024"/>
      <c r="E144" s="1024"/>
      <c r="F144" s="1024"/>
      <c r="G144" s="1024"/>
      <c r="H144" s="1024"/>
      <c r="I144" s="1024"/>
      <c r="J144" s="1024"/>
      <c r="K144" s="1025"/>
      <c r="L144" s="526"/>
    </row>
    <row r="145" spans="1:12" ht="15" thickBot="1" x14ac:dyDescent="0.25">
      <c r="A145" s="526"/>
      <c r="B145" s="492"/>
      <c r="C145" s="548"/>
      <c r="D145" s="548"/>
      <c r="E145" s="547"/>
      <c r="F145" s="566"/>
      <c r="G145" s="547"/>
      <c r="H145" s="547"/>
      <c r="I145" s="547"/>
      <c r="J145" s="517"/>
      <c r="K145" s="487"/>
      <c r="L145" s="526"/>
    </row>
    <row r="146" spans="1:12" x14ac:dyDescent="0.2">
      <c r="A146" s="526"/>
      <c r="B146" s="476" t="s">
        <v>631</v>
      </c>
      <c r="C146" s="567"/>
      <c r="D146" s="567"/>
      <c r="E146" s="568"/>
      <c r="F146" s="569"/>
      <c r="G146" s="568"/>
      <c r="H146" s="568"/>
      <c r="I146" s="568"/>
      <c r="J146" s="570"/>
      <c r="K146" s="484"/>
      <c r="L146" s="526"/>
    </row>
    <row r="147" spans="1:12" x14ac:dyDescent="0.2">
      <c r="A147" s="526"/>
      <c r="B147" s="492"/>
      <c r="C147" s="1033" t="s">
        <v>740</v>
      </c>
      <c r="D147" s="1033"/>
      <c r="E147" s="547"/>
      <c r="F147" s="566" t="s">
        <v>741</v>
      </c>
      <c r="G147" s="547"/>
      <c r="H147" s="547"/>
      <c r="I147" s="547"/>
      <c r="J147" s="1030" t="s">
        <v>742</v>
      </c>
      <c r="K147" s="1035"/>
      <c r="L147" s="526"/>
    </row>
    <row r="148" spans="1:12" x14ac:dyDescent="0.2">
      <c r="A148" s="526"/>
      <c r="B148" s="492"/>
      <c r="C148" s="1029">
        <v>52.869</v>
      </c>
      <c r="D148" s="1029"/>
      <c r="E148" s="547" t="s">
        <v>140</v>
      </c>
      <c r="F148" s="544">
        <v>312000000</v>
      </c>
      <c r="G148" s="571" t="s">
        <v>636</v>
      </c>
      <c r="H148" s="547">
        <v>1000</v>
      </c>
      <c r="I148" s="547" t="s">
        <v>635</v>
      </c>
      <c r="J148" s="1030">
        <f>C148*(F148/1000)</f>
        <v>16495128</v>
      </c>
      <c r="K148" s="1031"/>
      <c r="L148" s="526"/>
    </row>
    <row r="149" spans="1:12" ht="15" thickBot="1" x14ac:dyDescent="0.25">
      <c r="A149" s="526"/>
      <c r="B149" s="488"/>
      <c r="C149" s="563"/>
      <c r="D149" s="563"/>
      <c r="E149" s="502"/>
      <c r="F149" s="564"/>
      <c r="G149" s="502"/>
      <c r="H149" s="502"/>
      <c r="I149" s="502"/>
      <c r="J149" s="565"/>
      <c r="K149" s="490"/>
      <c r="L149" s="526"/>
    </row>
    <row r="150" spans="1:12" ht="15" thickBot="1" x14ac:dyDescent="0.25">
      <c r="A150" s="526"/>
      <c r="B150" s="488"/>
      <c r="C150" s="489"/>
      <c r="D150" s="489"/>
      <c r="E150" s="489"/>
      <c r="F150" s="489"/>
      <c r="G150" s="489"/>
      <c r="H150" s="489"/>
      <c r="I150" s="489"/>
      <c r="J150" s="489"/>
      <c r="K150" s="490"/>
      <c r="L150" s="526"/>
    </row>
    <row r="151" spans="1:12" x14ac:dyDescent="0.2">
      <c r="A151" s="526"/>
      <c r="B151" s="526"/>
      <c r="C151" s="526"/>
      <c r="D151" s="526"/>
      <c r="E151" s="526"/>
      <c r="F151" s="526"/>
      <c r="G151" s="526"/>
      <c r="H151" s="526"/>
      <c r="I151" s="526"/>
      <c r="J151" s="526"/>
      <c r="K151" s="526"/>
      <c r="L151" s="526"/>
    </row>
    <row r="152" spans="1:12" x14ac:dyDescent="0.2">
      <c r="A152" s="526"/>
      <c r="B152" s="526"/>
      <c r="C152" s="526"/>
      <c r="D152" s="526"/>
      <c r="E152" s="526"/>
      <c r="F152" s="526"/>
      <c r="G152" s="526"/>
      <c r="H152" s="526"/>
      <c r="I152" s="526"/>
      <c r="J152" s="526"/>
      <c r="K152" s="526"/>
      <c r="L152" s="526"/>
    </row>
    <row r="153" spans="1:12" x14ac:dyDescent="0.2">
      <c r="A153" s="526"/>
      <c r="B153" s="526"/>
      <c r="C153" s="526"/>
      <c r="D153" s="526"/>
      <c r="E153" s="526"/>
      <c r="F153" s="526"/>
      <c r="G153" s="526"/>
      <c r="H153" s="526"/>
      <c r="I153" s="526"/>
      <c r="J153" s="526"/>
      <c r="K153" s="526"/>
      <c r="L153" s="526"/>
    </row>
    <row r="154" spans="1:12" x14ac:dyDescent="0.2">
      <c r="A154" s="518"/>
      <c r="B154" s="518"/>
      <c r="C154" s="518"/>
      <c r="D154" s="518"/>
      <c r="E154" s="518"/>
      <c r="F154" s="518"/>
      <c r="G154" s="518"/>
      <c r="H154" s="518"/>
      <c r="I154" s="518"/>
      <c r="J154" s="518"/>
      <c r="K154" s="518"/>
      <c r="L154" s="518"/>
    </row>
    <row r="155" spans="1:12" x14ac:dyDescent="0.2">
      <c r="A155" s="518"/>
      <c r="B155" s="518"/>
      <c r="C155" s="518"/>
      <c r="D155" s="518"/>
      <c r="E155" s="518"/>
      <c r="F155" s="518"/>
      <c r="G155" s="518"/>
      <c r="H155" s="518"/>
      <c r="I155" s="518"/>
      <c r="J155" s="518"/>
      <c r="K155" s="518"/>
      <c r="L155" s="518"/>
    </row>
    <row r="156" spans="1:12" x14ac:dyDescent="0.2">
      <c r="A156" s="518"/>
      <c r="B156" s="518"/>
      <c r="C156" s="518"/>
      <c r="D156" s="518"/>
      <c r="E156" s="518"/>
      <c r="F156" s="518"/>
      <c r="G156" s="518"/>
      <c r="H156" s="518"/>
      <c r="I156" s="518"/>
      <c r="J156" s="518"/>
      <c r="K156" s="518"/>
      <c r="L156" s="518"/>
    </row>
    <row r="157" spans="1:12" x14ac:dyDescent="0.2">
      <c r="A157" s="518"/>
      <c r="B157" s="518"/>
      <c r="C157" s="518"/>
      <c r="D157" s="518"/>
      <c r="E157" s="518"/>
      <c r="F157" s="518"/>
      <c r="G157" s="518"/>
      <c r="H157" s="518"/>
      <c r="I157" s="518"/>
      <c r="J157" s="518"/>
      <c r="K157" s="518"/>
      <c r="L157" s="518"/>
    </row>
    <row r="158" spans="1:12" x14ac:dyDescent="0.2">
      <c r="A158" s="518"/>
      <c r="B158" s="518"/>
      <c r="C158" s="518"/>
      <c r="D158" s="518"/>
      <c r="E158" s="518"/>
      <c r="F158" s="518"/>
      <c r="G158" s="518"/>
      <c r="H158" s="518"/>
      <c r="I158" s="518"/>
      <c r="J158" s="518"/>
      <c r="K158" s="518"/>
      <c r="L158" s="518"/>
    </row>
    <row r="159" spans="1:12" x14ac:dyDescent="0.2">
      <c r="A159" s="518"/>
      <c r="B159" s="518"/>
      <c r="C159" s="518"/>
      <c r="D159" s="518"/>
      <c r="E159" s="518"/>
      <c r="F159" s="518"/>
      <c r="G159" s="518"/>
      <c r="H159" s="518"/>
      <c r="I159" s="518"/>
      <c r="J159" s="518"/>
      <c r="K159" s="518"/>
      <c r="L159" s="518"/>
    </row>
    <row r="160" spans="1:12" x14ac:dyDescent="0.2">
      <c r="A160" s="518"/>
      <c r="B160" s="518"/>
      <c r="C160" s="518"/>
      <c r="D160" s="518"/>
      <c r="E160" s="518"/>
      <c r="F160" s="518"/>
      <c r="G160" s="518"/>
      <c r="H160" s="518"/>
      <c r="I160" s="518"/>
      <c r="J160" s="518"/>
      <c r="K160" s="518"/>
      <c r="L160" s="518"/>
    </row>
    <row r="161" spans="1:12" x14ac:dyDescent="0.2">
      <c r="A161" s="518"/>
      <c r="B161" s="518"/>
      <c r="C161" s="518"/>
      <c r="D161" s="518"/>
      <c r="E161" s="518"/>
      <c r="F161" s="518"/>
      <c r="G161" s="518"/>
      <c r="H161" s="518"/>
      <c r="I161" s="518"/>
      <c r="J161" s="518"/>
      <c r="K161" s="518"/>
      <c r="L161" s="518"/>
    </row>
    <row r="162" spans="1:12" x14ac:dyDescent="0.2">
      <c r="A162" s="518"/>
      <c r="B162" s="518"/>
      <c r="C162" s="518"/>
      <c r="D162" s="518"/>
      <c r="E162" s="518"/>
      <c r="F162" s="518"/>
      <c r="G162" s="518"/>
      <c r="H162" s="518"/>
      <c r="I162" s="518"/>
      <c r="J162" s="518"/>
      <c r="K162" s="518"/>
      <c r="L162" s="518"/>
    </row>
    <row r="163" spans="1:12" x14ac:dyDescent="0.2">
      <c r="A163" s="518"/>
      <c r="B163" s="518"/>
      <c r="C163" s="518"/>
      <c r="D163" s="518"/>
      <c r="E163" s="518"/>
      <c r="F163" s="518"/>
      <c r="G163" s="518"/>
      <c r="H163" s="518"/>
      <c r="I163" s="518"/>
      <c r="J163" s="518"/>
      <c r="K163" s="518"/>
      <c r="L163" s="518"/>
    </row>
    <row r="164" spans="1:12" x14ac:dyDescent="0.2">
      <c r="A164" s="518"/>
      <c r="B164" s="518"/>
      <c r="C164" s="518"/>
      <c r="D164" s="518"/>
      <c r="E164" s="518"/>
      <c r="F164" s="518"/>
      <c r="G164" s="518"/>
      <c r="H164" s="518"/>
      <c r="I164" s="518"/>
      <c r="J164" s="518"/>
      <c r="K164" s="518"/>
      <c r="L164" s="518"/>
    </row>
    <row r="165" spans="1:12" x14ac:dyDescent="0.2">
      <c r="A165" s="518"/>
      <c r="B165" s="518"/>
      <c r="C165" s="518"/>
      <c r="D165" s="518"/>
      <c r="E165" s="518"/>
      <c r="F165" s="518"/>
      <c r="G165" s="518"/>
      <c r="H165" s="518"/>
      <c r="I165" s="518"/>
      <c r="J165" s="518"/>
      <c r="K165" s="518"/>
      <c r="L165" s="518"/>
    </row>
    <row r="166" spans="1:12" x14ac:dyDescent="0.2">
      <c r="A166" s="518"/>
      <c r="B166" s="518"/>
      <c r="C166" s="518"/>
      <c r="D166" s="518"/>
      <c r="E166" s="518"/>
      <c r="F166" s="518"/>
      <c r="G166" s="518"/>
      <c r="H166" s="518"/>
      <c r="I166" s="518"/>
      <c r="J166" s="518"/>
      <c r="K166" s="518"/>
      <c r="L166" s="518"/>
    </row>
    <row r="167" spans="1:12" x14ac:dyDescent="0.2">
      <c r="A167" s="518"/>
      <c r="B167" s="518"/>
      <c r="C167" s="518"/>
      <c r="D167" s="518"/>
      <c r="E167" s="518"/>
      <c r="F167" s="518"/>
      <c r="G167" s="518"/>
      <c r="H167" s="518"/>
      <c r="I167" s="518"/>
      <c r="J167" s="518"/>
      <c r="K167" s="518"/>
      <c r="L167" s="518"/>
    </row>
    <row r="168" spans="1:12" x14ac:dyDescent="0.2">
      <c r="A168" s="518"/>
      <c r="B168" s="518"/>
      <c r="C168" s="518"/>
      <c r="D168" s="518"/>
      <c r="E168" s="518"/>
      <c r="F168" s="518"/>
      <c r="G168" s="518"/>
      <c r="H168" s="518"/>
      <c r="I168" s="518"/>
      <c r="J168" s="518"/>
      <c r="K168" s="518"/>
      <c r="L168" s="518"/>
    </row>
    <row r="169" spans="1:12" x14ac:dyDescent="0.2">
      <c r="A169" s="518"/>
      <c r="B169" s="518"/>
      <c r="C169" s="518"/>
      <c r="D169" s="518"/>
      <c r="E169" s="518"/>
      <c r="F169" s="518"/>
      <c r="G169" s="518"/>
      <c r="H169" s="518"/>
      <c r="I169" s="518"/>
      <c r="J169" s="518"/>
      <c r="K169" s="518"/>
      <c r="L169" s="518"/>
    </row>
    <row r="170" spans="1:12" x14ac:dyDescent="0.2">
      <c r="A170" s="518"/>
      <c r="B170" s="518"/>
      <c r="C170" s="518"/>
      <c r="D170" s="518"/>
      <c r="E170" s="518"/>
      <c r="F170" s="518"/>
      <c r="G170" s="518"/>
      <c r="H170" s="518"/>
      <c r="I170" s="518"/>
      <c r="J170" s="518"/>
      <c r="K170" s="518"/>
      <c r="L170" s="518"/>
    </row>
    <row r="171" spans="1:12" x14ac:dyDescent="0.2">
      <c r="A171" s="518"/>
      <c r="B171" s="518"/>
      <c r="C171" s="518"/>
      <c r="D171" s="518"/>
      <c r="E171" s="518"/>
      <c r="F171" s="518"/>
      <c r="G171" s="518"/>
      <c r="H171" s="518"/>
      <c r="I171" s="518"/>
      <c r="J171" s="518"/>
      <c r="K171" s="518"/>
      <c r="L171" s="518"/>
    </row>
    <row r="172" spans="1:12" x14ac:dyDescent="0.2">
      <c r="A172" s="518"/>
      <c r="B172" s="518"/>
      <c r="C172" s="518"/>
      <c r="D172" s="518"/>
      <c r="E172" s="518"/>
      <c r="F172" s="518"/>
      <c r="G172" s="518"/>
      <c r="H172" s="518"/>
      <c r="I172" s="518"/>
      <c r="J172" s="518"/>
      <c r="K172" s="518"/>
      <c r="L172" s="518"/>
    </row>
    <row r="173" spans="1:12" x14ac:dyDescent="0.2">
      <c r="A173" s="518"/>
      <c r="B173" s="518"/>
      <c r="C173" s="518"/>
      <c r="D173" s="518"/>
      <c r="E173" s="518"/>
      <c r="F173" s="518"/>
      <c r="G173" s="518"/>
      <c r="H173" s="518"/>
      <c r="I173" s="518"/>
      <c r="J173" s="518"/>
      <c r="K173" s="518"/>
      <c r="L173" s="518"/>
    </row>
    <row r="174" spans="1:12" x14ac:dyDescent="0.2">
      <c r="A174" s="518"/>
      <c r="B174" s="518"/>
      <c r="C174" s="518"/>
      <c r="D174" s="518"/>
      <c r="E174" s="518"/>
      <c r="F174" s="518"/>
      <c r="G174" s="518"/>
      <c r="H174" s="518"/>
      <c r="I174" s="518"/>
      <c r="J174" s="518"/>
      <c r="K174" s="518"/>
      <c r="L174" s="518"/>
    </row>
    <row r="175" spans="1:12" x14ac:dyDescent="0.2">
      <c r="A175" s="518"/>
      <c r="B175" s="518"/>
      <c r="C175" s="518"/>
      <c r="D175" s="518"/>
      <c r="E175" s="518"/>
      <c r="F175" s="518"/>
      <c r="G175" s="518"/>
      <c r="H175" s="518"/>
      <c r="I175" s="518"/>
      <c r="J175" s="518"/>
      <c r="K175" s="518"/>
      <c r="L175" s="518"/>
    </row>
    <row r="176" spans="1:12" x14ac:dyDescent="0.2">
      <c r="A176" s="518"/>
      <c r="B176" s="518"/>
      <c r="C176" s="518"/>
      <c r="D176" s="518"/>
      <c r="E176" s="518"/>
      <c r="F176" s="518"/>
      <c r="G176" s="518"/>
      <c r="H176" s="518"/>
      <c r="I176" s="518"/>
      <c r="J176" s="518"/>
      <c r="K176" s="518"/>
      <c r="L176" s="518"/>
    </row>
    <row r="177" spans="1:12" x14ac:dyDescent="0.2">
      <c r="A177" s="518"/>
      <c r="B177" s="518"/>
      <c r="C177" s="518"/>
      <c r="D177" s="518"/>
      <c r="E177" s="518"/>
      <c r="F177" s="518"/>
      <c r="G177" s="518"/>
      <c r="H177" s="518"/>
      <c r="I177" s="518"/>
      <c r="J177" s="518"/>
      <c r="K177" s="518"/>
      <c r="L177" s="518"/>
    </row>
    <row r="178" spans="1:12" x14ac:dyDescent="0.2">
      <c r="A178" s="518"/>
      <c r="B178" s="518"/>
      <c r="C178" s="518"/>
      <c r="D178" s="518"/>
      <c r="E178" s="518"/>
      <c r="F178" s="518"/>
      <c r="G178" s="518"/>
      <c r="H178" s="518"/>
      <c r="I178" s="518"/>
      <c r="J178" s="518"/>
      <c r="K178" s="518"/>
      <c r="L178" s="518"/>
    </row>
    <row r="179" spans="1:12" x14ac:dyDescent="0.2">
      <c r="A179" s="518"/>
      <c r="B179" s="518"/>
      <c r="C179" s="518"/>
      <c r="D179" s="518"/>
      <c r="E179" s="518"/>
      <c r="F179" s="518"/>
      <c r="G179" s="518"/>
      <c r="H179" s="518"/>
      <c r="I179" s="518"/>
      <c r="J179" s="518"/>
      <c r="K179" s="518"/>
      <c r="L179" s="518"/>
    </row>
    <row r="180" spans="1:12" x14ac:dyDescent="0.2">
      <c r="A180" s="518"/>
      <c r="B180" s="518"/>
      <c r="C180" s="518"/>
      <c r="D180" s="518"/>
      <c r="E180" s="518"/>
      <c r="F180" s="518"/>
      <c r="G180" s="518"/>
      <c r="H180" s="518"/>
      <c r="I180" s="518"/>
      <c r="J180" s="518"/>
      <c r="K180" s="518"/>
      <c r="L180" s="518"/>
    </row>
    <row r="181" spans="1:12" x14ac:dyDescent="0.2">
      <c r="A181" s="518"/>
      <c r="B181" s="518"/>
      <c r="C181" s="518"/>
      <c r="D181" s="518"/>
      <c r="E181" s="518"/>
      <c r="F181" s="518"/>
      <c r="G181" s="518"/>
      <c r="H181" s="518"/>
      <c r="I181" s="518"/>
      <c r="J181" s="518"/>
      <c r="K181" s="518"/>
      <c r="L181" s="518"/>
    </row>
    <row r="182" spans="1:12" x14ac:dyDescent="0.2">
      <c r="A182" s="518"/>
      <c r="B182" s="518"/>
      <c r="C182" s="518"/>
      <c r="D182" s="518"/>
      <c r="E182" s="518"/>
      <c r="F182" s="518"/>
      <c r="G182" s="518"/>
      <c r="H182" s="518"/>
      <c r="I182" s="518"/>
      <c r="J182" s="518"/>
      <c r="K182" s="518"/>
      <c r="L182" s="518"/>
    </row>
    <row r="183" spans="1:12" x14ac:dyDescent="0.2">
      <c r="A183" s="518"/>
      <c r="B183" s="518"/>
      <c r="C183" s="518"/>
      <c r="D183" s="518"/>
      <c r="E183" s="518"/>
      <c r="F183" s="518"/>
      <c r="G183" s="518"/>
      <c r="H183" s="518"/>
      <c r="I183" s="518"/>
      <c r="J183" s="518"/>
      <c r="K183" s="518"/>
      <c r="L183" s="518"/>
    </row>
    <row r="184" spans="1:12" x14ac:dyDescent="0.2">
      <c r="A184" s="518"/>
      <c r="B184" s="518"/>
      <c r="C184" s="518"/>
      <c r="D184" s="518"/>
      <c r="E184" s="518"/>
      <c r="F184" s="518"/>
      <c r="G184" s="518"/>
      <c r="H184" s="518"/>
      <c r="I184" s="518"/>
      <c r="J184" s="518"/>
      <c r="K184" s="518"/>
      <c r="L184" s="518"/>
    </row>
    <row r="185" spans="1:12" x14ac:dyDescent="0.2">
      <c r="A185" s="518"/>
      <c r="B185" s="518"/>
      <c r="C185" s="518"/>
      <c r="D185" s="518"/>
      <c r="E185" s="518"/>
      <c r="F185" s="518"/>
      <c r="G185" s="518"/>
      <c r="H185" s="518"/>
      <c r="I185" s="518"/>
      <c r="J185" s="518"/>
      <c r="K185" s="518"/>
      <c r="L185" s="518"/>
    </row>
    <row r="186" spans="1:12" x14ac:dyDescent="0.2">
      <c r="A186" s="518"/>
      <c r="B186" s="518"/>
      <c r="C186" s="518"/>
      <c r="D186" s="518"/>
      <c r="E186" s="518"/>
      <c r="F186" s="518"/>
      <c r="G186" s="518"/>
      <c r="H186" s="518"/>
      <c r="I186" s="518"/>
      <c r="J186" s="518"/>
      <c r="K186" s="518"/>
      <c r="L186" s="518"/>
    </row>
    <row r="187" spans="1:12" x14ac:dyDescent="0.2">
      <c r="A187" s="518"/>
      <c r="B187" s="518"/>
      <c r="C187" s="518"/>
      <c r="D187" s="518"/>
      <c r="E187" s="518"/>
      <c r="F187" s="518"/>
      <c r="G187" s="518"/>
      <c r="H187" s="518"/>
      <c r="I187" s="518"/>
      <c r="J187" s="518"/>
      <c r="K187" s="518"/>
      <c r="L187" s="518"/>
    </row>
    <row r="188" spans="1:12" x14ac:dyDescent="0.2">
      <c r="A188" s="518"/>
      <c r="B188" s="518"/>
      <c r="C188" s="518"/>
      <c r="D188" s="518"/>
      <c r="E188" s="518"/>
      <c r="F188" s="518"/>
      <c r="G188" s="518"/>
      <c r="H188" s="518"/>
      <c r="I188" s="518"/>
      <c r="J188" s="518"/>
      <c r="K188" s="518"/>
      <c r="L188" s="518"/>
    </row>
    <row r="189" spans="1:12" x14ac:dyDescent="0.2">
      <c r="A189" s="518"/>
      <c r="B189" s="518"/>
      <c r="C189" s="518"/>
      <c r="D189" s="518"/>
      <c r="E189" s="518"/>
      <c r="F189" s="518"/>
      <c r="G189" s="518"/>
      <c r="H189" s="518"/>
      <c r="I189" s="518"/>
      <c r="J189" s="518"/>
      <c r="K189" s="518"/>
      <c r="L189" s="518"/>
    </row>
    <row r="190" spans="1:12" x14ac:dyDescent="0.2">
      <c r="A190" s="518"/>
      <c r="B190" s="518"/>
      <c r="C190" s="518"/>
      <c r="D190" s="518"/>
      <c r="E190" s="518"/>
      <c r="F190" s="518"/>
      <c r="G190" s="518"/>
      <c r="H190" s="518"/>
      <c r="I190" s="518"/>
      <c r="J190" s="518"/>
      <c r="K190" s="518"/>
      <c r="L190" s="518"/>
    </row>
    <row r="191" spans="1:12" x14ac:dyDescent="0.2">
      <c r="A191" s="518"/>
      <c r="B191" s="518"/>
      <c r="C191" s="518"/>
      <c r="D191" s="518"/>
      <c r="E191" s="518"/>
      <c r="F191" s="518"/>
      <c r="G191" s="518"/>
      <c r="H191" s="518"/>
      <c r="I191" s="518"/>
      <c r="J191" s="518"/>
      <c r="K191" s="518"/>
      <c r="L191" s="518"/>
    </row>
    <row r="192" spans="1:12" x14ac:dyDescent="0.2">
      <c r="A192" s="518"/>
      <c r="B192" s="518"/>
      <c r="C192" s="518"/>
      <c r="D192" s="518"/>
      <c r="E192" s="518"/>
      <c r="F192" s="518"/>
      <c r="G192" s="518"/>
      <c r="H192" s="518"/>
      <c r="I192" s="518"/>
      <c r="J192" s="518"/>
      <c r="K192" s="518"/>
      <c r="L192" s="518"/>
    </row>
    <row r="193" spans="1:12" x14ac:dyDescent="0.2">
      <c r="A193" s="518"/>
      <c r="B193" s="518"/>
      <c r="C193" s="518"/>
      <c r="D193" s="518"/>
      <c r="E193" s="518"/>
      <c r="F193" s="518"/>
      <c r="G193" s="518"/>
      <c r="H193" s="518"/>
      <c r="I193" s="518"/>
      <c r="J193" s="518"/>
      <c r="K193" s="518"/>
      <c r="L193" s="518"/>
    </row>
    <row r="194" spans="1:12" x14ac:dyDescent="0.2">
      <c r="A194" s="518"/>
      <c r="B194" s="518"/>
      <c r="C194" s="518"/>
      <c r="D194" s="518"/>
      <c r="E194" s="518"/>
      <c r="F194" s="518"/>
      <c r="G194" s="518"/>
      <c r="H194" s="518"/>
      <c r="I194" s="518"/>
      <c r="J194" s="518"/>
      <c r="K194" s="518"/>
      <c r="L194" s="518"/>
    </row>
    <row r="195" spans="1:12" x14ac:dyDescent="0.2">
      <c r="A195" s="518"/>
      <c r="B195" s="518"/>
      <c r="C195" s="518"/>
      <c r="D195" s="518"/>
      <c r="E195" s="518"/>
      <c r="F195" s="518"/>
      <c r="G195" s="518"/>
      <c r="H195" s="518"/>
      <c r="I195" s="518"/>
      <c r="J195" s="518"/>
      <c r="K195" s="518"/>
      <c r="L195" s="518"/>
    </row>
    <row r="196" spans="1:12" x14ac:dyDescent="0.2">
      <c r="A196" s="518"/>
      <c r="B196" s="518"/>
      <c r="C196" s="518"/>
      <c r="D196" s="518"/>
      <c r="E196" s="518"/>
      <c r="F196" s="518"/>
      <c r="G196" s="518"/>
      <c r="H196" s="518"/>
      <c r="I196" s="518"/>
      <c r="J196" s="518"/>
      <c r="K196" s="518"/>
      <c r="L196" s="518"/>
    </row>
    <row r="197" spans="1:12" x14ac:dyDescent="0.2">
      <c r="A197" s="518"/>
      <c r="B197" s="518"/>
      <c r="C197" s="518"/>
      <c r="D197" s="518"/>
      <c r="E197" s="518"/>
      <c r="F197" s="518"/>
      <c r="G197" s="518"/>
      <c r="H197" s="518"/>
      <c r="I197" s="518"/>
      <c r="J197" s="518"/>
      <c r="K197" s="518"/>
      <c r="L197" s="518"/>
    </row>
    <row r="198" spans="1:12" x14ac:dyDescent="0.2">
      <c r="A198" s="518"/>
      <c r="B198" s="518"/>
      <c r="C198" s="518"/>
      <c r="D198" s="518"/>
      <c r="E198" s="518"/>
      <c r="F198" s="518"/>
      <c r="G198" s="518"/>
      <c r="H198" s="518"/>
      <c r="I198" s="518"/>
      <c r="J198" s="518"/>
      <c r="K198" s="518"/>
      <c r="L198" s="518"/>
    </row>
    <row r="199" spans="1:12" x14ac:dyDescent="0.2">
      <c r="A199" s="518"/>
      <c r="B199" s="518"/>
      <c r="C199" s="518"/>
      <c r="D199" s="518"/>
      <c r="E199" s="518"/>
      <c r="F199" s="518"/>
      <c r="G199" s="518"/>
      <c r="H199" s="518"/>
      <c r="I199" s="518"/>
      <c r="J199" s="518"/>
      <c r="K199" s="518"/>
      <c r="L199" s="518"/>
    </row>
    <row r="200" spans="1:12" x14ac:dyDescent="0.2">
      <c r="A200" s="518"/>
      <c r="B200" s="518"/>
      <c r="C200" s="518"/>
      <c r="D200" s="518"/>
      <c r="E200" s="518"/>
      <c r="F200" s="518"/>
      <c r="G200" s="518"/>
      <c r="H200" s="518"/>
      <c r="I200" s="518"/>
      <c r="J200" s="518"/>
      <c r="K200" s="518"/>
      <c r="L200" s="518"/>
    </row>
    <row r="201" spans="1:12" x14ac:dyDescent="0.2">
      <c r="A201" s="518"/>
      <c r="B201" s="518"/>
      <c r="C201" s="518"/>
      <c r="D201" s="518"/>
      <c r="E201" s="518"/>
      <c r="F201" s="518"/>
      <c r="G201" s="518"/>
      <c r="H201" s="518"/>
      <c r="I201" s="518"/>
      <c r="J201" s="518"/>
      <c r="K201" s="518"/>
      <c r="L201" s="518"/>
    </row>
    <row r="202" spans="1:12" x14ac:dyDescent="0.2">
      <c r="A202" s="518"/>
      <c r="B202" s="518"/>
      <c r="C202" s="518"/>
      <c r="D202" s="518"/>
      <c r="E202" s="518"/>
      <c r="F202" s="518"/>
      <c r="G202" s="518"/>
      <c r="H202" s="518"/>
      <c r="I202" s="518"/>
      <c r="J202" s="518"/>
      <c r="K202" s="518"/>
      <c r="L202" s="518"/>
    </row>
    <row r="203" spans="1:12" x14ac:dyDescent="0.2">
      <c r="A203" s="518"/>
      <c r="B203" s="518"/>
      <c r="C203" s="518"/>
      <c r="D203" s="518"/>
      <c r="E203" s="518"/>
      <c r="F203" s="518"/>
      <c r="G203" s="518"/>
      <c r="H203" s="518"/>
      <c r="I203" s="518"/>
      <c r="J203" s="518"/>
      <c r="K203" s="518"/>
      <c r="L203" s="518"/>
    </row>
    <row r="204" spans="1:12" x14ac:dyDescent="0.2">
      <c r="A204" s="518"/>
      <c r="B204" s="518"/>
      <c r="C204" s="518"/>
      <c r="D204" s="518"/>
      <c r="E204" s="518"/>
      <c r="F204" s="518"/>
      <c r="G204" s="518"/>
      <c r="H204" s="518"/>
      <c r="I204" s="518"/>
      <c r="J204" s="518"/>
      <c r="K204" s="518"/>
      <c r="L204" s="518"/>
    </row>
    <row r="205" spans="1:12" x14ac:dyDescent="0.2">
      <c r="A205" s="518"/>
      <c r="B205" s="518"/>
      <c r="C205" s="518"/>
      <c r="D205" s="518"/>
      <c r="E205" s="518"/>
      <c r="F205" s="518"/>
      <c r="G205" s="518"/>
      <c r="H205" s="518"/>
      <c r="I205" s="518"/>
      <c r="J205" s="518"/>
      <c r="K205" s="518"/>
      <c r="L205" s="518"/>
    </row>
    <row r="206" spans="1:12" x14ac:dyDescent="0.2">
      <c r="A206" s="518"/>
      <c r="B206" s="518"/>
      <c r="C206" s="518"/>
      <c r="D206" s="518"/>
      <c r="E206" s="518"/>
      <c r="F206" s="518"/>
      <c r="G206" s="518"/>
      <c r="H206" s="518"/>
      <c r="I206" s="518"/>
      <c r="J206" s="518"/>
      <c r="K206" s="518"/>
      <c r="L206" s="518"/>
    </row>
    <row r="207" spans="1:12" x14ac:dyDescent="0.2">
      <c r="A207" s="518"/>
      <c r="B207" s="518"/>
      <c r="C207" s="518"/>
      <c r="D207" s="518"/>
      <c r="E207" s="518"/>
      <c r="F207" s="518"/>
      <c r="G207" s="518"/>
      <c r="H207" s="518"/>
      <c r="I207" s="518"/>
      <c r="J207" s="518"/>
      <c r="K207" s="518"/>
      <c r="L207" s="518"/>
    </row>
    <row r="208" spans="1:12" x14ac:dyDescent="0.2">
      <c r="A208" s="518"/>
      <c r="B208" s="518"/>
      <c r="C208" s="518"/>
      <c r="D208" s="518"/>
      <c r="E208" s="518"/>
      <c r="F208" s="518"/>
      <c r="G208" s="518"/>
      <c r="H208" s="518"/>
      <c r="I208" s="518"/>
      <c r="J208" s="518"/>
      <c r="K208" s="518"/>
      <c r="L208" s="518"/>
    </row>
    <row r="209" spans="1:12" x14ac:dyDescent="0.2">
      <c r="A209" s="518"/>
      <c r="B209" s="518"/>
      <c r="C209" s="518"/>
      <c r="D209" s="518"/>
      <c r="E209" s="518"/>
      <c r="F209" s="518"/>
      <c r="G209" s="518"/>
      <c r="H209" s="518"/>
      <c r="I209" s="518"/>
      <c r="J209" s="518"/>
      <c r="K209" s="518"/>
      <c r="L209" s="518"/>
    </row>
    <row r="210" spans="1:12" x14ac:dyDescent="0.2">
      <c r="A210" s="518"/>
      <c r="B210" s="518"/>
      <c r="C210" s="518"/>
      <c r="D210" s="518"/>
      <c r="E210" s="518"/>
      <c r="F210" s="518"/>
      <c r="G210" s="518"/>
      <c r="H210" s="518"/>
      <c r="I210" s="518"/>
      <c r="J210" s="518"/>
      <c r="K210" s="518"/>
      <c r="L210" s="518"/>
    </row>
    <row r="211" spans="1:12" x14ac:dyDescent="0.2">
      <c r="A211" s="518"/>
      <c r="B211" s="518"/>
      <c r="C211" s="518"/>
      <c r="D211" s="518"/>
      <c r="E211" s="518"/>
      <c r="F211" s="518"/>
      <c r="G211" s="518"/>
      <c r="H211" s="518"/>
      <c r="I211" s="518"/>
      <c r="J211" s="518"/>
      <c r="K211" s="518"/>
      <c r="L211" s="518"/>
    </row>
    <row r="212" spans="1:12" x14ac:dyDescent="0.2">
      <c r="A212" s="518"/>
      <c r="B212" s="518"/>
      <c r="C212" s="518"/>
      <c r="D212" s="518"/>
      <c r="E212" s="518"/>
      <c r="F212" s="518"/>
      <c r="G212" s="518"/>
      <c r="H212" s="518"/>
      <c r="I212" s="518"/>
      <c r="J212" s="518"/>
      <c r="K212" s="518"/>
      <c r="L212" s="518"/>
    </row>
    <row r="213" spans="1:12" x14ac:dyDescent="0.2">
      <c r="A213" s="518"/>
      <c r="B213" s="518"/>
      <c r="C213" s="518"/>
      <c r="D213" s="518"/>
      <c r="E213" s="518"/>
      <c r="F213" s="518"/>
      <c r="G213" s="518"/>
      <c r="H213" s="518"/>
      <c r="I213" s="518"/>
      <c r="J213" s="518"/>
      <c r="K213" s="518"/>
      <c r="L213" s="518"/>
    </row>
    <row r="214" spans="1:12" x14ac:dyDescent="0.2">
      <c r="A214" s="518"/>
      <c r="B214" s="518"/>
      <c r="C214" s="518"/>
      <c r="D214" s="518"/>
      <c r="E214" s="518"/>
      <c r="F214" s="518"/>
      <c r="G214" s="518"/>
      <c r="H214" s="518"/>
      <c r="I214" s="518"/>
      <c r="J214" s="518"/>
      <c r="K214" s="518"/>
      <c r="L214" s="518"/>
    </row>
    <row r="215" spans="1:12" x14ac:dyDescent="0.2">
      <c r="A215" s="518"/>
      <c r="B215" s="518"/>
      <c r="C215" s="518"/>
      <c r="D215" s="518"/>
      <c r="E215" s="518"/>
      <c r="F215" s="518"/>
      <c r="G215" s="518"/>
      <c r="H215" s="518"/>
      <c r="I215" s="518"/>
      <c r="J215" s="518"/>
      <c r="K215" s="518"/>
      <c r="L215" s="518"/>
    </row>
    <row r="216" spans="1:12" x14ac:dyDescent="0.2">
      <c r="A216" s="518"/>
      <c r="B216" s="518"/>
      <c r="C216" s="518"/>
      <c r="D216" s="518"/>
      <c r="E216" s="518"/>
      <c r="F216" s="518"/>
      <c r="G216" s="518"/>
      <c r="H216" s="518"/>
      <c r="I216" s="518"/>
      <c r="J216" s="518"/>
      <c r="K216" s="518"/>
      <c r="L216" s="518"/>
    </row>
    <row r="217" spans="1:12" x14ac:dyDescent="0.2">
      <c r="A217" s="518"/>
      <c r="B217" s="518"/>
      <c r="C217" s="518"/>
      <c r="D217" s="518"/>
      <c r="E217" s="518"/>
      <c r="F217" s="518"/>
      <c r="G217" s="518"/>
      <c r="H217" s="518"/>
      <c r="I217" s="518"/>
      <c r="J217" s="518"/>
      <c r="K217" s="518"/>
      <c r="L217" s="518"/>
    </row>
    <row r="218" spans="1:12" x14ac:dyDescent="0.2">
      <c r="A218" s="518"/>
      <c r="B218" s="518"/>
      <c r="C218" s="518"/>
      <c r="D218" s="518"/>
      <c r="E218" s="518"/>
      <c r="F218" s="518"/>
      <c r="G218" s="518"/>
      <c r="H218" s="518"/>
      <c r="I218" s="518"/>
      <c r="J218" s="518"/>
      <c r="K218" s="518"/>
      <c r="L218" s="518"/>
    </row>
    <row r="219" spans="1:12" x14ac:dyDescent="0.2">
      <c r="A219" s="518"/>
      <c r="B219" s="518"/>
      <c r="C219" s="518"/>
      <c r="D219" s="518"/>
      <c r="E219" s="518"/>
      <c r="F219" s="518"/>
      <c r="G219" s="518"/>
      <c r="H219" s="518"/>
      <c r="I219" s="518"/>
      <c r="J219" s="518"/>
      <c r="K219" s="518"/>
      <c r="L219" s="518"/>
    </row>
    <row r="220" spans="1:12" x14ac:dyDescent="0.2">
      <c r="A220" s="518"/>
      <c r="B220" s="518"/>
      <c r="C220" s="518"/>
      <c r="D220" s="518"/>
      <c r="E220" s="518"/>
      <c r="F220" s="518"/>
      <c r="G220" s="518"/>
      <c r="H220" s="518"/>
      <c r="I220" s="518"/>
      <c r="J220" s="518"/>
      <c r="K220" s="518"/>
      <c r="L220" s="518"/>
    </row>
    <row r="221" spans="1:12" x14ac:dyDescent="0.2">
      <c r="A221" s="518"/>
      <c r="B221" s="518"/>
      <c r="C221" s="518"/>
      <c r="D221" s="518"/>
      <c r="E221" s="518"/>
      <c r="F221" s="518"/>
      <c r="G221" s="518"/>
      <c r="H221" s="518"/>
      <c r="I221" s="518"/>
      <c r="J221" s="518"/>
      <c r="K221" s="518"/>
      <c r="L221" s="518"/>
    </row>
    <row r="222" spans="1:12" x14ac:dyDescent="0.2">
      <c r="A222" s="518"/>
      <c r="B222" s="518"/>
      <c r="C222" s="518"/>
      <c r="D222" s="518"/>
      <c r="E222" s="518"/>
      <c r="F222" s="518"/>
      <c r="G222" s="518"/>
      <c r="H222" s="518"/>
      <c r="I222" s="518"/>
      <c r="J222" s="518"/>
      <c r="K222" s="518"/>
      <c r="L222" s="518"/>
    </row>
    <row r="223" spans="1:12" x14ac:dyDescent="0.2">
      <c r="A223" s="518"/>
      <c r="B223" s="518"/>
      <c r="C223" s="518"/>
      <c r="D223" s="518"/>
      <c r="E223" s="518"/>
      <c r="F223" s="518"/>
      <c r="G223" s="518"/>
      <c r="H223" s="518"/>
      <c r="I223" s="518"/>
      <c r="J223" s="518"/>
      <c r="K223" s="518"/>
      <c r="L223" s="518"/>
    </row>
    <row r="224" spans="1:12" x14ac:dyDescent="0.2">
      <c r="A224" s="518"/>
      <c r="B224" s="518"/>
      <c r="C224" s="518"/>
      <c r="D224" s="518"/>
      <c r="E224" s="518"/>
      <c r="F224" s="518"/>
      <c r="G224" s="518"/>
      <c r="H224" s="518"/>
      <c r="I224" s="518"/>
      <c r="J224" s="518"/>
      <c r="K224" s="518"/>
      <c r="L224" s="518"/>
    </row>
    <row r="225" spans="1:12" x14ac:dyDescent="0.2">
      <c r="A225" s="518"/>
      <c r="B225" s="518"/>
      <c r="C225" s="518"/>
      <c r="D225" s="518"/>
      <c r="E225" s="518"/>
      <c r="F225" s="518"/>
      <c r="G225" s="518"/>
      <c r="H225" s="518"/>
      <c r="I225" s="518"/>
      <c r="J225" s="518"/>
      <c r="K225" s="518"/>
      <c r="L225" s="518"/>
    </row>
    <row r="226" spans="1:12" x14ac:dyDescent="0.2">
      <c r="A226" s="518"/>
      <c r="B226" s="518"/>
      <c r="C226" s="518"/>
      <c r="D226" s="518"/>
      <c r="E226" s="518"/>
      <c r="F226" s="518"/>
      <c r="G226" s="518"/>
      <c r="H226" s="518"/>
      <c r="I226" s="518"/>
      <c r="J226" s="518"/>
      <c r="K226" s="518"/>
      <c r="L226" s="518"/>
    </row>
    <row r="227" spans="1:12" x14ac:dyDescent="0.2">
      <c r="A227" s="518"/>
      <c r="B227" s="518"/>
      <c r="C227" s="518"/>
      <c r="D227" s="518"/>
      <c r="E227" s="518"/>
      <c r="F227" s="518"/>
      <c r="G227" s="518"/>
      <c r="H227" s="518"/>
      <c r="I227" s="518"/>
      <c r="J227" s="518"/>
      <c r="K227" s="518"/>
      <c r="L227" s="518"/>
    </row>
    <row r="228" spans="1:12" x14ac:dyDescent="0.2">
      <c r="A228" s="518"/>
      <c r="B228" s="518"/>
      <c r="C228" s="518"/>
      <c r="D228" s="518"/>
      <c r="E228" s="518"/>
      <c r="F228" s="518"/>
      <c r="G228" s="518"/>
      <c r="H228" s="518"/>
      <c r="I228" s="518"/>
      <c r="J228" s="518"/>
      <c r="K228" s="518"/>
      <c r="L228" s="518"/>
    </row>
    <row r="229" spans="1:12" x14ac:dyDescent="0.2">
      <c r="A229" s="518"/>
      <c r="B229" s="518"/>
      <c r="C229" s="518"/>
      <c r="D229" s="518"/>
      <c r="E229" s="518"/>
      <c r="F229" s="518"/>
      <c r="G229" s="518"/>
      <c r="H229" s="518"/>
      <c r="I229" s="518"/>
      <c r="J229" s="518"/>
      <c r="K229" s="518"/>
      <c r="L229" s="518"/>
    </row>
    <row r="230" spans="1:12" x14ac:dyDescent="0.2">
      <c r="A230" s="518"/>
      <c r="B230" s="518"/>
      <c r="C230" s="518"/>
      <c r="D230" s="518"/>
      <c r="E230" s="518"/>
      <c r="F230" s="518"/>
      <c r="G230" s="518"/>
      <c r="H230" s="518"/>
      <c r="I230" s="518"/>
      <c r="J230" s="518"/>
      <c r="K230" s="518"/>
      <c r="L230" s="518"/>
    </row>
    <row r="231" spans="1:12" x14ac:dyDescent="0.2">
      <c r="A231" s="518"/>
      <c r="B231" s="518"/>
      <c r="C231" s="518"/>
      <c r="D231" s="518"/>
      <c r="E231" s="518"/>
      <c r="F231" s="518"/>
      <c r="G231" s="518"/>
      <c r="H231" s="518"/>
      <c r="I231" s="518"/>
      <c r="J231" s="518"/>
      <c r="K231" s="518"/>
      <c r="L231" s="518"/>
    </row>
    <row r="232" spans="1:12" x14ac:dyDescent="0.2">
      <c r="A232" s="518"/>
      <c r="B232" s="518"/>
      <c r="C232" s="518"/>
      <c r="D232" s="518"/>
      <c r="E232" s="518"/>
      <c r="F232" s="518"/>
      <c r="G232" s="518"/>
      <c r="H232" s="518"/>
      <c r="I232" s="518"/>
      <c r="J232" s="518"/>
      <c r="K232" s="518"/>
      <c r="L232" s="518"/>
    </row>
    <row r="233" spans="1:12" x14ac:dyDescent="0.2">
      <c r="A233" s="518"/>
      <c r="B233" s="518"/>
      <c r="C233" s="518"/>
      <c r="D233" s="518"/>
      <c r="E233" s="518"/>
      <c r="F233" s="518"/>
      <c r="G233" s="518"/>
      <c r="H233" s="518"/>
      <c r="I233" s="518"/>
      <c r="J233" s="518"/>
      <c r="K233" s="518"/>
      <c r="L233" s="518"/>
    </row>
    <row r="234" spans="1:12" x14ac:dyDescent="0.2">
      <c r="A234" s="518"/>
      <c r="B234" s="518"/>
      <c r="C234" s="518"/>
      <c r="D234" s="518"/>
      <c r="E234" s="518"/>
      <c r="F234" s="518"/>
      <c r="G234" s="518"/>
      <c r="H234" s="518"/>
      <c r="I234" s="518"/>
      <c r="J234" s="518"/>
      <c r="K234" s="518"/>
      <c r="L234" s="518"/>
    </row>
    <row r="235" spans="1:12" x14ac:dyDescent="0.2">
      <c r="A235" s="518"/>
      <c r="B235" s="518"/>
      <c r="C235" s="518"/>
      <c r="D235" s="518"/>
      <c r="E235" s="518"/>
      <c r="F235" s="518"/>
      <c r="G235" s="518"/>
      <c r="H235" s="518"/>
      <c r="I235" s="518"/>
      <c r="J235" s="518"/>
      <c r="K235" s="518"/>
      <c r="L235" s="518"/>
    </row>
    <row r="236" spans="1:12" x14ac:dyDescent="0.2">
      <c r="A236" s="518"/>
      <c r="B236" s="518"/>
      <c r="C236" s="518"/>
      <c r="D236" s="518"/>
      <c r="E236" s="518"/>
      <c r="F236" s="518"/>
      <c r="G236" s="518"/>
      <c r="H236" s="518"/>
      <c r="I236" s="518"/>
      <c r="J236" s="518"/>
      <c r="K236" s="518"/>
      <c r="L236" s="518"/>
    </row>
    <row r="237" spans="1:12" x14ac:dyDescent="0.2">
      <c r="A237" s="518"/>
      <c r="B237" s="518"/>
      <c r="C237" s="518"/>
      <c r="D237" s="518"/>
      <c r="E237" s="518"/>
      <c r="F237" s="518"/>
      <c r="G237" s="518"/>
      <c r="H237" s="518"/>
      <c r="I237" s="518"/>
      <c r="J237" s="518"/>
      <c r="K237" s="518"/>
      <c r="L237" s="518"/>
    </row>
    <row r="238" spans="1:12" x14ac:dyDescent="0.2">
      <c r="A238" s="518"/>
      <c r="B238" s="518"/>
      <c r="C238" s="518"/>
      <c r="D238" s="518"/>
      <c r="E238" s="518"/>
      <c r="F238" s="518"/>
      <c r="G238" s="518"/>
      <c r="H238" s="518"/>
      <c r="I238" s="518"/>
      <c r="J238" s="518"/>
      <c r="K238" s="518"/>
      <c r="L238" s="518"/>
    </row>
    <row r="239" spans="1:12" x14ac:dyDescent="0.2">
      <c r="A239" s="518"/>
      <c r="B239" s="518"/>
      <c r="C239" s="518"/>
      <c r="D239" s="518"/>
      <c r="E239" s="518"/>
      <c r="F239" s="518"/>
      <c r="G239" s="518"/>
      <c r="H239" s="518"/>
      <c r="I239" s="518"/>
      <c r="J239" s="518"/>
      <c r="K239" s="518"/>
      <c r="L239" s="518"/>
    </row>
    <row r="240" spans="1:12" x14ac:dyDescent="0.2">
      <c r="A240" s="518"/>
      <c r="B240" s="518"/>
      <c r="C240" s="518"/>
      <c r="D240" s="518"/>
      <c r="E240" s="518"/>
      <c r="F240" s="518"/>
      <c r="G240" s="518"/>
      <c r="H240" s="518"/>
      <c r="I240" s="518"/>
      <c r="J240" s="518"/>
      <c r="K240" s="518"/>
      <c r="L240" s="518"/>
    </row>
    <row r="241" spans="1:12" x14ac:dyDescent="0.2">
      <c r="A241" s="518"/>
      <c r="B241" s="518"/>
      <c r="C241" s="518"/>
      <c r="D241" s="518"/>
      <c r="E241" s="518"/>
      <c r="F241" s="518"/>
      <c r="G241" s="518"/>
      <c r="H241" s="518"/>
      <c r="I241" s="518"/>
      <c r="J241" s="518"/>
      <c r="K241" s="518"/>
      <c r="L241" s="518"/>
    </row>
    <row r="242" spans="1:12" x14ac:dyDescent="0.2">
      <c r="A242" s="518"/>
      <c r="B242" s="518"/>
      <c r="C242" s="518"/>
      <c r="D242" s="518"/>
      <c r="E242" s="518"/>
      <c r="F242" s="518"/>
      <c r="G242" s="518"/>
      <c r="H242" s="518"/>
      <c r="I242" s="518"/>
      <c r="J242" s="518"/>
      <c r="K242" s="518"/>
      <c r="L242" s="518"/>
    </row>
    <row r="243" spans="1:12" x14ac:dyDescent="0.2">
      <c r="A243" s="518"/>
      <c r="B243" s="518"/>
      <c r="C243" s="518"/>
      <c r="D243" s="518"/>
      <c r="E243" s="518"/>
      <c r="F243" s="518"/>
      <c r="G243" s="518"/>
      <c r="H243" s="518"/>
      <c r="I243" s="518"/>
      <c r="J243" s="518"/>
      <c r="K243" s="518"/>
      <c r="L243" s="518"/>
    </row>
    <row r="244" spans="1:12" x14ac:dyDescent="0.2">
      <c r="A244" s="518"/>
      <c r="B244" s="518"/>
      <c r="C244" s="518"/>
      <c r="D244" s="518"/>
      <c r="E244" s="518"/>
      <c r="F244" s="518"/>
      <c r="G244" s="518"/>
      <c r="H244" s="518"/>
      <c r="I244" s="518"/>
      <c r="J244" s="518"/>
      <c r="K244" s="518"/>
      <c r="L244" s="518"/>
    </row>
    <row r="245" spans="1:12" x14ac:dyDescent="0.2">
      <c r="A245" s="518"/>
      <c r="B245" s="518"/>
      <c r="C245" s="518"/>
      <c r="D245" s="518"/>
      <c r="E245" s="518"/>
      <c r="F245" s="518"/>
      <c r="G245" s="518"/>
      <c r="H245" s="518"/>
      <c r="I245" s="518"/>
      <c r="J245" s="518"/>
      <c r="K245" s="518"/>
      <c r="L245" s="518"/>
    </row>
    <row r="246" spans="1:12" x14ac:dyDescent="0.2">
      <c r="A246" s="518"/>
      <c r="B246" s="518"/>
      <c r="C246" s="518"/>
      <c r="D246" s="518"/>
      <c r="E246" s="518"/>
      <c r="F246" s="518"/>
      <c r="G246" s="518"/>
      <c r="H246" s="518"/>
      <c r="I246" s="518"/>
      <c r="J246" s="518"/>
      <c r="K246" s="518"/>
      <c r="L246" s="518"/>
    </row>
    <row r="247" spans="1:12" x14ac:dyDescent="0.2">
      <c r="A247" s="518"/>
      <c r="B247" s="518"/>
      <c r="C247" s="518"/>
      <c r="D247" s="518"/>
      <c r="E247" s="518"/>
      <c r="F247" s="518"/>
      <c r="G247" s="518"/>
      <c r="H247" s="518"/>
      <c r="I247" s="518"/>
      <c r="J247" s="518"/>
      <c r="K247" s="518"/>
      <c r="L247" s="518"/>
    </row>
    <row r="248" spans="1:12" x14ac:dyDescent="0.2">
      <c r="A248" s="518"/>
      <c r="B248" s="518"/>
      <c r="C248" s="518"/>
      <c r="D248" s="518"/>
      <c r="E248" s="518"/>
      <c r="F248" s="518"/>
      <c r="G248" s="518"/>
      <c r="H248" s="518"/>
      <c r="I248" s="518"/>
      <c r="J248" s="518"/>
      <c r="K248" s="518"/>
      <c r="L248" s="518"/>
    </row>
    <row r="249" spans="1:12" x14ac:dyDescent="0.2">
      <c r="A249" s="518"/>
      <c r="B249" s="518"/>
      <c r="C249" s="518"/>
      <c r="D249" s="518"/>
      <c r="E249" s="518"/>
      <c r="F249" s="518"/>
      <c r="G249" s="518"/>
      <c r="H249" s="518"/>
      <c r="I249" s="518"/>
      <c r="J249" s="518"/>
      <c r="K249" s="518"/>
      <c r="L249" s="518"/>
    </row>
    <row r="250" spans="1:12" x14ac:dyDescent="0.2">
      <c r="A250" s="518"/>
      <c r="B250" s="518"/>
      <c r="C250" s="518"/>
      <c r="D250" s="518"/>
      <c r="E250" s="518"/>
      <c r="F250" s="518"/>
      <c r="G250" s="518"/>
      <c r="H250" s="518"/>
      <c r="I250" s="518"/>
      <c r="J250" s="518"/>
      <c r="K250" s="518"/>
      <c r="L250" s="518"/>
    </row>
    <row r="251" spans="1:12" x14ac:dyDescent="0.2">
      <c r="A251" s="518"/>
      <c r="B251" s="518"/>
      <c r="C251" s="518"/>
      <c r="D251" s="518"/>
      <c r="E251" s="518"/>
      <c r="F251" s="518"/>
      <c r="G251" s="518"/>
      <c r="H251" s="518"/>
      <c r="I251" s="518"/>
      <c r="J251" s="518"/>
      <c r="K251" s="518"/>
      <c r="L251" s="518"/>
    </row>
    <row r="252" spans="1:12" x14ac:dyDescent="0.2">
      <c r="A252" s="518"/>
      <c r="B252" s="518"/>
      <c r="C252" s="518"/>
      <c r="D252" s="518"/>
      <c r="E252" s="518"/>
      <c r="F252" s="518"/>
      <c r="G252" s="518"/>
      <c r="H252" s="518"/>
      <c r="I252" s="518"/>
      <c r="J252" s="518"/>
      <c r="K252" s="518"/>
      <c r="L252" s="518"/>
    </row>
    <row r="253" spans="1:12" x14ac:dyDescent="0.2">
      <c r="A253" s="518"/>
      <c r="B253" s="518"/>
      <c r="C253" s="518"/>
      <c r="D253" s="518"/>
      <c r="E253" s="518"/>
      <c r="F253" s="518"/>
      <c r="G253" s="518"/>
      <c r="H253" s="518"/>
      <c r="I253" s="518"/>
      <c r="J253" s="518"/>
      <c r="K253" s="518"/>
      <c r="L253" s="518"/>
    </row>
    <row r="254" spans="1:12" x14ac:dyDescent="0.2">
      <c r="A254" s="518"/>
      <c r="B254" s="518"/>
      <c r="C254" s="518"/>
      <c r="D254" s="518"/>
      <c r="E254" s="518"/>
      <c r="F254" s="518"/>
      <c r="G254" s="518"/>
      <c r="H254" s="518"/>
      <c r="I254" s="518"/>
      <c r="J254" s="518"/>
      <c r="K254" s="518"/>
      <c r="L254" s="518"/>
    </row>
    <row r="255" spans="1:12" x14ac:dyDescent="0.2">
      <c r="A255" s="518"/>
      <c r="B255" s="518"/>
      <c r="C255" s="518"/>
      <c r="D255" s="518"/>
      <c r="E255" s="518"/>
      <c r="F255" s="518"/>
      <c r="G255" s="518"/>
      <c r="H255" s="518"/>
      <c r="I255" s="518"/>
      <c r="J255" s="518"/>
      <c r="K255" s="518"/>
      <c r="L255" s="518"/>
    </row>
    <row r="256" spans="1:12" x14ac:dyDescent="0.2">
      <c r="A256" s="518"/>
      <c r="B256" s="518"/>
      <c r="C256" s="518"/>
      <c r="D256" s="518"/>
      <c r="E256" s="518"/>
      <c r="F256" s="518"/>
      <c r="G256" s="518"/>
      <c r="H256" s="518"/>
      <c r="I256" s="518"/>
      <c r="J256" s="518"/>
      <c r="K256" s="518"/>
      <c r="L256" s="518"/>
    </row>
    <row r="257" spans="1:12" x14ac:dyDescent="0.2">
      <c r="A257" s="518"/>
      <c r="B257" s="518"/>
      <c r="C257" s="518"/>
      <c r="D257" s="518"/>
      <c r="E257" s="518"/>
      <c r="F257" s="518"/>
      <c r="G257" s="518"/>
      <c r="H257" s="518"/>
      <c r="I257" s="518"/>
      <c r="J257" s="518"/>
      <c r="K257" s="518"/>
      <c r="L257" s="518"/>
    </row>
    <row r="258" spans="1:12" x14ac:dyDescent="0.2">
      <c r="A258" s="518"/>
      <c r="B258" s="518"/>
      <c r="C258" s="518"/>
      <c r="D258" s="518"/>
      <c r="E258" s="518"/>
      <c r="F258" s="518"/>
      <c r="G258" s="518"/>
      <c r="H258" s="518"/>
      <c r="I258" s="518"/>
      <c r="J258" s="518"/>
      <c r="K258" s="518"/>
      <c r="L258" s="518"/>
    </row>
    <row r="259" spans="1:12" x14ac:dyDescent="0.2">
      <c r="A259" s="518"/>
      <c r="B259" s="518"/>
      <c r="C259" s="518"/>
      <c r="D259" s="518"/>
      <c r="E259" s="518"/>
      <c r="F259" s="518"/>
      <c r="G259" s="518"/>
      <c r="H259" s="518"/>
      <c r="I259" s="518"/>
      <c r="J259" s="518"/>
      <c r="K259" s="518"/>
      <c r="L259" s="518"/>
    </row>
    <row r="260" spans="1:12" x14ac:dyDescent="0.2">
      <c r="A260" s="518"/>
      <c r="B260" s="518"/>
      <c r="C260" s="518"/>
      <c r="D260" s="518"/>
      <c r="E260" s="518"/>
      <c r="F260" s="518"/>
      <c r="G260" s="518"/>
      <c r="H260" s="518"/>
      <c r="I260" s="518"/>
      <c r="J260" s="518"/>
      <c r="K260" s="518"/>
      <c r="L260" s="518"/>
    </row>
    <row r="261" spans="1:12" x14ac:dyDescent="0.2">
      <c r="A261" s="518"/>
      <c r="B261" s="518"/>
      <c r="C261" s="518"/>
      <c r="D261" s="518"/>
      <c r="E261" s="518"/>
      <c r="F261" s="518"/>
      <c r="G261" s="518"/>
      <c r="H261" s="518"/>
      <c r="I261" s="518"/>
      <c r="J261" s="518"/>
      <c r="K261" s="518"/>
      <c r="L261" s="518"/>
    </row>
    <row r="262" spans="1:12" x14ac:dyDescent="0.2">
      <c r="A262" s="518"/>
      <c r="B262" s="518"/>
      <c r="C262" s="518"/>
      <c r="D262" s="518"/>
      <c r="E262" s="518"/>
      <c r="F262" s="518"/>
      <c r="G262" s="518"/>
      <c r="H262" s="518"/>
      <c r="I262" s="518"/>
      <c r="J262" s="518"/>
      <c r="K262" s="518"/>
      <c r="L262" s="518"/>
    </row>
    <row r="263" spans="1:12" x14ac:dyDescent="0.2">
      <c r="A263" s="518"/>
      <c r="B263" s="518"/>
      <c r="C263" s="518"/>
      <c r="D263" s="518"/>
      <c r="E263" s="518"/>
      <c r="F263" s="518"/>
      <c r="G263" s="518"/>
      <c r="H263" s="518"/>
      <c r="I263" s="518"/>
      <c r="J263" s="518"/>
      <c r="K263" s="518"/>
      <c r="L263" s="518"/>
    </row>
    <row r="264" spans="1:12" x14ac:dyDescent="0.2">
      <c r="A264" s="518"/>
      <c r="B264" s="518"/>
      <c r="C264" s="518"/>
      <c r="D264" s="518"/>
      <c r="E264" s="518"/>
      <c r="F264" s="518"/>
      <c r="G264" s="518"/>
      <c r="H264" s="518"/>
      <c r="I264" s="518"/>
      <c r="J264" s="518"/>
      <c r="K264" s="518"/>
      <c r="L264" s="518"/>
    </row>
    <row r="265" spans="1:12" x14ac:dyDescent="0.2">
      <c r="A265" s="518"/>
      <c r="B265" s="518"/>
      <c r="C265" s="518"/>
      <c r="D265" s="518"/>
      <c r="E265" s="518"/>
      <c r="F265" s="518"/>
      <c r="G265" s="518"/>
      <c r="H265" s="518"/>
      <c r="I265" s="518"/>
      <c r="J265" s="518"/>
      <c r="K265" s="518"/>
      <c r="L265" s="518"/>
    </row>
    <row r="266" spans="1:12" x14ac:dyDescent="0.2">
      <c r="A266" s="518"/>
      <c r="B266" s="518"/>
      <c r="C266" s="518"/>
      <c r="D266" s="518"/>
      <c r="E266" s="518"/>
      <c r="F266" s="518"/>
      <c r="G266" s="518"/>
      <c r="H266" s="518"/>
      <c r="I266" s="518"/>
      <c r="J266" s="518"/>
      <c r="K266" s="518"/>
      <c r="L266" s="518"/>
    </row>
    <row r="267" spans="1:12" x14ac:dyDescent="0.2">
      <c r="A267" s="518"/>
      <c r="B267" s="518"/>
      <c r="C267" s="518"/>
      <c r="D267" s="518"/>
      <c r="E267" s="518"/>
      <c r="F267" s="518"/>
      <c r="G267" s="518"/>
      <c r="H267" s="518"/>
      <c r="I267" s="518"/>
      <c r="J267" s="518"/>
      <c r="K267" s="518"/>
      <c r="L267" s="518"/>
    </row>
    <row r="268" spans="1:12" x14ac:dyDescent="0.2">
      <c r="A268" s="518"/>
      <c r="B268" s="518"/>
      <c r="C268" s="518"/>
      <c r="D268" s="518"/>
      <c r="E268" s="518"/>
      <c r="F268" s="518"/>
      <c r="G268" s="518"/>
      <c r="H268" s="518"/>
      <c r="I268" s="518"/>
      <c r="J268" s="518"/>
      <c r="K268" s="518"/>
      <c r="L268" s="518"/>
    </row>
    <row r="269" spans="1:12" x14ac:dyDescent="0.2">
      <c r="A269" s="518"/>
      <c r="B269" s="518"/>
      <c r="C269" s="518"/>
      <c r="D269" s="518"/>
      <c r="E269" s="518"/>
      <c r="F269" s="518"/>
      <c r="G269" s="518"/>
      <c r="H269" s="518"/>
      <c r="I269" s="518"/>
      <c r="J269" s="518"/>
      <c r="K269" s="518"/>
      <c r="L269" s="518"/>
    </row>
    <row r="270" spans="1:12" x14ac:dyDescent="0.2">
      <c r="A270" s="518"/>
      <c r="B270" s="518"/>
      <c r="C270" s="518"/>
      <c r="D270" s="518"/>
      <c r="E270" s="518"/>
      <c r="F270" s="518"/>
      <c r="G270" s="518"/>
      <c r="H270" s="518"/>
      <c r="I270" s="518"/>
      <c r="J270" s="518"/>
      <c r="K270" s="518"/>
      <c r="L270" s="518"/>
    </row>
    <row r="271" spans="1:12" x14ac:dyDescent="0.2">
      <c r="A271" s="518"/>
      <c r="B271" s="518"/>
      <c r="C271" s="518"/>
      <c r="D271" s="518"/>
      <c r="E271" s="518"/>
      <c r="F271" s="518"/>
      <c r="G271" s="518"/>
      <c r="H271" s="518"/>
      <c r="I271" s="518"/>
      <c r="J271" s="518"/>
      <c r="K271" s="518"/>
      <c r="L271" s="518"/>
    </row>
    <row r="272" spans="1:12" x14ac:dyDescent="0.2">
      <c r="A272" s="518"/>
      <c r="B272" s="518"/>
      <c r="C272" s="518"/>
      <c r="D272" s="518"/>
      <c r="E272" s="518"/>
      <c r="F272" s="518"/>
      <c r="G272" s="518"/>
      <c r="H272" s="518"/>
      <c r="I272" s="518"/>
      <c r="J272" s="518"/>
      <c r="K272" s="518"/>
      <c r="L272" s="518"/>
    </row>
    <row r="273" spans="1:12" x14ac:dyDescent="0.2">
      <c r="A273" s="518"/>
      <c r="B273" s="518"/>
      <c r="C273" s="518"/>
      <c r="D273" s="518"/>
      <c r="E273" s="518"/>
      <c r="F273" s="518"/>
      <c r="G273" s="518"/>
      <c r="H273" s="518"/>
      <c r="I273" s="518"/>
      <c r="J273" s="518"/>
      <c r="K273" s="518"/>
      <c r="L273" s="518"/>
    </row>
    <row r="274" spans="1:12" x14ac:dyDescent="0.2">
      <c r="A274" s="518"/>
      <c r="B274" s="518"/>
      <c r="C274" s="518"/>
      <c r="D274" s="518"/>
      <c r="E274" s="518"/>
      <c r="F274" s="518"/>
      <c r="G274" s="518"/>
      <c r="H274" s="518"/>
      <c r="I274" s="518"/>
      <c r="J274" s="518"/>
      <c r="K274" s="518"/>
      <c r="L274" s="518"/>
    </row>
    <row r="275" spans="1:12" x14ac:dyDescent="0.2">
      <c r="A275" s="518"/>
      <c r="B275" s="518"/>
      <c r="C275" s="518"/>
      <c r="D275" s="518"/>
      <c r="E275" s="518"/>
      <c r="F275" s="518"/>
      <c r="G275" s="518"/>
      <c r="H275" s="518"/>
      <c r="I275" s="518"/>
      <c r="J275" s="518"/>
      <c r="K275" s="518"/>
      <c r="L275" s="518"/>
    </row>
    <row r="276" spans="1:12" x14ac:dyDescent="0.2">
      <c r="A276" s="518"/>
      <c r="B276" s="518"/>
      <c r="C276" s="518"/>
      <c r="D276" s="518"/>
      <c r="E276" s="518"/>
      <c r="F276" s="518"/>
      <c r="G276" s="518"/>
      <c r="H276" s="518"/>
      <c r="I276" s="518"/>
      <c r="J276" s="518"/>
      <c r="K276" s="518"/>
      <c r="L276" s="518"/>
    </row>
    <row r="277" spans="1:12" x14ac:dyDescent="0.2">
      <c r="A277" s="518"/>
      <c r="B277" s="518"/>
      <c r="C277" s="518"/>
      <c r="D277" s="518"/>
      <c r="E277" s="518"/>
      <c r="F277" s="518"/>
      <c r="G277" s="518"/>
      <c r="H277" s="518"/>
      <c r="I277" s="518"/>
      <c r="J277" s="518"/>
      <c r="K277" s="518"/>
      <c r="L277" s="518"/>
    </row>
    <row r="278" spans="1:12" x14ac:dyDescent="0.2">
      <c r="A278" s="518"/>
      <c r="B278" s="518"/>
      <c r="C278" s="518"/>
      <c r="D278" s="518"/>
      <c r="E278" s="518"/>
      <c r="F278" s="518"/>
      <c r="G278" s="518"/>
      <c r="H278" s="518"/>
      <c r="I278" s="518"/>
      <c r="J278" s="518"/>
      <c r="K278" s="518"/>
      <c r="L278" s="518"/>
    </row>
    <row r="279" spans="1:12" x14ac:dyDescent="0.2">
      <c r="A279" s="518"/>
      <c r="B279" s="518"/>
      <c r="C279" s="518"/>
      <c r="D279" s="518"/>
      <c r="E279" s="518"/>
      <c r="F279" s="518"/>
      <c r="G279" s="518"/>
      <c r="H279" s="518"/>
      <c r="I279" s="518"/>
      <c r="J279" s="518"/>
      <c r="K279" s="518"/>
      <c r="L279" s="518"/>
    </row>
    <row r="280" spans="1:12" x14ac:dyDescent="0.2">
      <c r="A280" s="518"/>
      <c r="B280" s="518"/>
      <c r="C280" s="518"/>
      <c r="D280" s="518"/>
      <c r="E280" s="518"/>
      <c r="F280" s="518"/>
      <c r="G280" s="518"/>
      <c r="H280" s="518"/>
      <c r="I280" s="518"/>
      <c r="J280" s="518"/>
      <c r="K280" s="518"/>
      <c r="L280" s="518"/>
    </row>
    <row r="281" spans="1:12" x14ac:dyDescent="0.2">
      <c r="A281" s="518"/>
      <c r="B281" s="518"/>
      <c r="C281" s="518"/>
      <c r="D281" s="518"/>
      <c r="E281" s="518"/>
      <c r="F281" s="518"/>
      <c r="G281" s="518"/>
      <c r="H281" s="518"/>
      <c r="I281" s="518"/>
      <c r="J281" s="518"/>
      <c r="K281" s="518"/>
      <c r="L281" s="518"/>
    </row>
    <row r="282" spans="1:12" x14ac:dyDescent="0.2">
      <c r="A282" s="518"/>
      <c r="B282" s="518"/>
      <c r="C282" s="518"/>
      <c r="D282" s="518"/>
      <c r="E282" s="518"/>
      <c r="F282" s="518"/>
      <c r="G282" s="518"/>
      <c r="H282" s="518"/>
      <c r="I282" s="518"/>
      <c r="J282" s="518"/>
      <c r="K282" s="518"/>
      <c r="L282" s="518"/>
    </row>
    <row r="283" spans="1:12" x14ac:dyDescent="0.2">
      <c r="A283" s="518"/>
      <c r="B283" s="518"/>
      <c r="C283" s="518"/>
      <c r="D283" s="518"/>
      <c r="E283" s="518"/>
      <c r="F283" s="518"/>
      <c r="G283" s="518"/>
      <c r="H283" s="518"/>
      <c r="I283" s="518"/>
      <c r="J283" s="518"/>
      <c r="K283" s="518"/>
      <c r="L283" s="518"/>
    </row>
    <row r="284" spans="1:12" x14ac:dyDescent="0.2">
      <c r="A284" s="518"/>
      <c r="B284" s="518"/>
      <c r="C284" s="518"/>
      <c r="D284" s="518"/>
      <c r="E284" s="518"/>
      <c r="F284" s="518"/>
      <c r="G284" s="518"/>
      <c r="H284" s="518"/>
      <c r="I284" s="518"/>
      <c r="J284" s="518"/>
      <c r="K284" s="518"/>
      <c r="L284" s="518"/>
    </row>
    <row r="285" spans="1:12" x14ac:dyDescent="0.2">
      <c r="A285" s="518"/>
      <c r="B285" s="518"/>
      <c r="C285" s="518"/>
      <c r="D285" s="518"/>
      <c r="E285" s="518"/>
      <c r="F285" s="518"/>
      <c r="G285" s="518"/>
      <c r="H285" s="518"/>
      <c r="I285" s="518"/>
      <c r="J285" s="518"/>
      <c r="K285" s="518"/>
      <c r="L285" s="518"/>
    </row>
    <row r="286" spans="1:12" x14ac:dyDescent="0.2">
      <c r="A286" s="518"/>
      <c r="B286" s="518"/>
      <c r="C286" s="518"/>
      <c r="D286" s="518"/>
      <c r="E286" s="518"/>
      <c r="F286" s="518"/>
      <c r="G286" s="518"/>
      <c r="H286" s="518"/>
      <c r="I286" s="518"/>
      <c r="J286" s="518"/>
      <c r="K286" s="518"/>
      <c r="L286" s="518"/>
    </row>
    <row r="287" spans="1:12" x14ac:dyDescent="0.2">
      <c r="A287" s="518"/>
      <c r="B287" s="518"/>
      <c r="C287" s="518"/>
      <c r="D287" s="518"/>
      <c r="E287" s="518"/>
      <c r="F287" s="518"/>
      <c r="G287" s="518"/>
      <c r="H287" s="518"/>
      <c r="I287" s="518"/>
      <c r="J287" s="518"/>
      <c r="K287" s="518"/>
      <c r="L287" s="518"/>
    </row>
    <row r="288" spans="1:12" x14ac:dyDescent="0.2">
      <c r="A288" s="518"/>
      <c r="B288" s="518"/>
      <c r="C288" s="518"/>
      <c r="D288" s="518"/>
      <c r="E288" s="518"/>
      <c r="F288" s="518"/>
      <c r="G288" s="518"/>
      <c r="H288" s="518"/>
      <c r="I288" s="518"/>
      <c r="J288" s="518"/>
      <c r="K288" s="518"/>
      <c r="L288" s="518"/>
    </row>
    <row r="289" spans="1:12" x14ac:dyDescent="0.2">
      <c r="A289" s="518"/>
      <c r="B289" s="518"/>
      <c r="C289" s="518"/>
      <c r="D289" s="518"/>
      <c r="E289" s="518"/>
      <c r="F289" s="518"/>
      <c r="G289" s="518"/>
      <c r="H289" s="518"/>
      <c r="I289" s="518"/>
      <c r="J289" s="518"/>
      <c r="K289" s="518"/>
      <c r="L289" s="518"/>
    </row>
    <row r="290" spans="1:12" x14ac:dyDescent="0.2">
      <c r="A290" s="518"/>
      <c r="B290" s="518"/>
      <c r="C290" s="518"/>
      <c r="D290" s="518"/>
      <c r="E290" s="518"/>
      <c r="F290" s="518"/>
      <c r="G290" s="518"/>
      <c r="H290" s="518"/>
      <c r="I290" s="518"/>
      <c r="J290" s="518"/>
      <c r="K290" s="518"/>
      <c r="L290" s="518"/>
    </row>
    <row r="291" spans="1:12" x14ac:dyDescent="0.2">
      <c r="A291" s="518"/>
      <c r="B291" s="518"/>
      <c r="C291" s="518"/>
      <c r="D291" s="518"/>
      <c r="E291" s="518"/>
      <c r="F291" s="518"/>
      <c r="G291" s="518"/>
      <c r="H291" s="518"/>
      <c r="I291" s="518"/>
      <c r="J291" s="518"/>
      <c r="K291" s="518"/>
      <c r="L291" s="518"/>
    </row>
    <row r="292" spans="1:12" x14ac:dyDescent="0.2">
      <c r="A292" s="518"/>
      <c r="B292" s="518"/>
      <c r="C292" s="518"/>
      <c r="D292" s="518"/>
      <c r="E292" s="518"/>
      <c r="F292" s="518"/>
      <c r="G292" s="518"/>
      <c r="H292" s="518"/>
      <c r="I292" s="518"/>
      <c r="J292" s="518"/>
      <c r="K292" s="518"/>
      <c r="L292" s="518"/>
    </row>
    <row r="293" spans="1:12" x14ac:dyDescent="0.2">
      <c r="A293" s="518"/>
      <c r="B293" s="518"/>
      <c r="C293" s="518"/>
      <c r="D293" s="518"/>
      <c r="E293" s="518"/>
      <c r="F293" s="518"/>
      <c r="G293" s="518"/>
      <c r="H293" s="518"/>
      <c r="I293" s="518"/>
      <c r="J293" s="518"/>
      <c r="K293" s="518"/>
      <c r="L293" s="518"/>
    </row>
    <row r="294" spans="1:12" x14ac:dyDescent="0.2">
      <c r="A294" s="518"/>
      <c r="B294" s="518"/>
      <c r="C294" s="518"/>
      <c r="D294" s="518"/>
      <c r="E294" s="518"/>
      <c r="F294" s="518"/>
      <c r="G294" s="518"/>
      <c r="H294" s="518"/>
      <c r="I294" s="518"/>
      <c r="J294" s="518"/>
      <c r="K294" s="518"/>
      <c r="L294" s="518"/>
    </row>
    <row r="295" spans="1:12" x14ac:dyDescent="0.2">
      <c r="A295" s="518"/>
      <c r="B295" s="518"/>
      <c r="C295" s="518"/>
      <c r="D295" s="518"/>
      <c r="E295" s="518"/>
      <c r="F295" s="518"/>
      <c r="G295" s="518"/>
      <c r="H295" s="518"/>
      <c r="I295" s="518"/>
      <c r="J295" s="518"/>
      <c r="K295" s="518"/>
      <c r="L295" s="518"/>
    </row>
    <row r="296" spans="1:12" x14ac:dyDescent="0.2">
      <c r="A296" s="518"/>
      <c r="B296" s="518"/>
      <c r="C296" s="518"/>
      <c r="D296" s="518"/>
      <c r="E296" s="518"/>
      <c r="F296" s="518"/>
      <c r="G296" s="518"/>
      <c r="H296" s="518"/>
      <c r="I296" s="518"/>
      <c r="J296" s="518"/>
      <c r="K296" s="518"/>
      <c r="L296" s="518"/>
    </row>
    <row r="297" spans="1:12" x14ac:dyDescent="0.2">
      <c r="A297" s="518"/>
      <c r="B297" s="518"/>
      <c r="C297" s="518"/>
      <c r="D297" s="518"/>
      <c r="E297" s="518"/>
      <c r="F297" s="518"/>
      <c r="G297" s="518"/>
      <c r="H297" s="518"/>
      <c r="I297" s="518"/>
      <c r="J297" s="518"/>
      <c r="K297" s="518"/>
      <c r="L297" s="518"/>
    </row>
    <row r="298" spans="1:12" x14ac:dyDescent="0.2">
      <c r="A298" s="518"/>
      <c r="B298" s="518"/>
      <c r="C298" s="518"/>
      <c r="D298" s="518"/>
      <c r="E298" s="518"/>
      <c r="F298" s="518"/>
      <c r="G298" s="518"/>
      <c r="H298" s="518"/>
      <c r="I298" s="518"/>
      <c r="J298" s="518"/>
      <c r="K298" s="518"/>
      <c r="L298" s="518"/>
    </row>
    <row r="299" spans="1:12" x14ac:dyDescent="0.2">
      <c r="A299" s="518"/>
      <c r="B299" s="518"/>
      <c r="C299" s="518"/>
      <c r="D299" s="518"/>
      <c r="E299" s="518"/>
      <c r="F299" s="518"/>
      <c r="G299" s="518"/>
      <c r="H299" s="518"/>
      <c r="I299" s="518"/>
      <c r="J299" s="518"/>
      <c r="K299" s="518"/>
      <c r="L299" s="518"/>
    </row>
    <row r="300" spans="1:12" x14ac:dyDescent="0.2">
      <c r="A300" s="518"/>
      <c r="B300" s="518"/>
      <c r="C300" s="518"/>
      <c r="D300" s="518"/>
      <c r="E300" s="518"/>
      <c r="F300" s="518"/>
      <c r="G300" s="518"/>
      <c r="H300" s="518"/>
      <c r="I300" s="518"/>
      <c r="J300" s="518"/>
      <c r="K300" s="518"/>
      <c r="L300" s="518"/>
    </row>
    <row r="301" spans="1:12" x14ac:dyDescent="0.2">
      <c r="A301" s="518"/>
      <c r="B301" s="518"/>
      <c r="C301" s="518"/>
      <c r="D301" s="518"/>
      <c r="E301" s="518"/>
      <c r="F301" s="518"/>
      <c r="G301" s="518"/>
      <c r="H301" s="518"/>
      <c r="I301" s="518"/>
      <c r="J301" s="518"/>
      <c r="K301" s="518"/>
      <c r="L301" s="518"/>
    </row>
    <row r="302" spans="1:12" x14ac:dyDescent="0.2">
      <c r="A302" s="518"/>
      <c r="B302" s="518"/>
      <c r="C302" s="518"/>
      <c r="D302" s="518"/>
      <c r="E302" s="518"/>
      <c r="F302" s="518"/>
      <c r="G302" s="518"/>
      <c r="H302" s="518"/>
      <c r="I302" s="518"/>
      <c r="J302" s="518"/>
      <c r="K302" s="518"/>
      <c r="L302" s="518"/>
    </row>
    <row r="303" spans="1:12" x14ac:dyDescent="0.2">
      <c r="A303" s="518"/>
      <c r="B303" s="518"/>
      <c r="C303" s="518"/>
      <c r="D303" s="518"/>
      <c r="E303" s="518"/>
      <c r="F303" s="518"/>
      <c r="G303" s="518"/>
      <c r="H303" s="518"/>
      <c r="I303" s="518"/>
      <c r="J303" s="518"/>
      <c r="K303" s="518"/>
      <c r="L303" s="518"/>
    </row>
    <row r="304" spans="1:12" x14ac:dyDescent="0.2">
      <c r="A304" s="518"/>
      <c r="B304" s="518"/>
      <c r="C304" s="518"/>
      <c r="D304" s="518"/>
      <c r="E304" s="518"/>
      <c r="F304" s="518"/>
      <c r="G304" s="518"/>
      <c r="H304" s="518"/>
      <c r="I304" s="518"/>
      <c r="J304" s="518"/>
      <c r="K304" s="518"/>
      <c r="L304" s="518"/>
    </row>
    <row r="305" spans="1:12" x14ac:dyDescent="0.2">
      <c r="A305" s="518"/>
      <c r="B305" s="518"/>
      <c r="C305" s="518"/>
      <c r="D305" s="518"/>
      <c r="E305" s="518"/>
      <c r="F305" s="518"/>
      <c r="G305" s="518"/>
      <c r="H305" s="518"/>
      <c r="I305" s="518"/>
      <c r="J305" s="518"/>
      <c r="K305" s="518"/>
      <c r="L305" s="518"/>
    </row>
    <row r="306" spans="1:12" x14ac:dyDescent="0.2">
      <c r="A306" s="518"/>
      <c r="B306" s="518"/>
      <c r="C306" s="518"/>
      <c r="D306" s="518"/>
      <c r="E306" s="518"/>
      <c r="F306" s="518"/>
      <c r="G306" s="518"/>
      <c r="H306" s="518"/>
      <c r="I306" s="518"/>
      <c r="J306" s="518"/>
      <c r="K306" s="518"/>
      <c r="L306" s="518"/>
    </row>
    <row r="307" spans="1:12" x14ac:dyDescent="0.2">
      <c r="A307" s="518"/>
      <c r="B307" s="518"/>
      <c r="C307" s="518"/>
      <c r="D307" s="518"/>
      <c r="E307" s="518"/>
      <c r="F307" s="518"/>
      <c r="G307" s="518"/>
      <c r="H307" s="518"/>
      <c r="I307" s="518"/>
      <c r="J307" s="518"/>
      <c r="K307" s="518"/>
      <c r="L307" s="518"/>
    </row>
    <row r="308" spans="1:12" x14ac:dyDescent="0.2">
      <c r="A308" s="518"/>
      <c r="B308" s="518"/>
      <c r="C308" s="518"/>
      <c r="D308" s="518"/>
      <c r="E308" s="518"/>
      <c r="F308" s="518"/>
      <c r="G308" s="518"/>
      <c r="H308" s="518"/>
      <c r="I308" s="518"/>
      <c r="J308" s="518"/>
      <c r="K308" s="518"/>
      <c r="L308" s="518"/>
    </row>
    <row r="309" spans="1:12" x14ac:dyDescent="0.2">
      <c r="A309" s="518"/>
      <c r="B309" s="518"/>
      <c r="C309" s="518"/>
      <c r="D309" s="518"/>
      <c r="E309" s="518"/>
      <c r="F309" s="518"/>
      <c r="G309" s="518"/>
      <c r="H309" s="518"/>
      <c r="I309" s="518"/>
      <c r="J309" s="518"/>
      <c r="K309" s="518"/>
      <c r="L309" s="518"/>
    </row>
    <row r="310" spans="1:12" x14ac:dyDescent="0.2">
      <c r="A310" s="518"/>
      <c r="B310" s="518"/>
      <c r="C310" s="518"/>
      <c r="D310" s="518"/>
      <c r="E310" s="518"/>
      <c r="F310" s="518"/>
      <c r="G310" s="518"/>
      <c r="H310" s="518"/>
      <c r="I310" s="518"/>
      <c r="J310" s="518"/>
      <c r="K310" s="518"/>
      <c r="L310" s="518"/>
    </row>
    <row r="311" spans="1:12" x14ac:dyDescent="0.2">
      <c r="A311" s="518"/>
      <c r="B311" s="518"/>
      <c r="C311" s="518"/>
      <c r="D311" s="518"/>
      <c r="E311" s="518"/>
      <c r="F311" s="518"/>
      <c r="G311" s="518"/>
      <c r="H311" s="518"/>
      <c r="I311" s="518"/>
      <c r="J311" s="518"/>
      <c r="K311" s="518"/>
      <c r="L311" s="518"/>
    </row>
    <row r="312" spans="1:12" x14ac:dyDescent="0.2">
      <c r="A312" s="518"/>
      <c r="B312" s="518"/>
      <c r="C312" s="518"/>
      <c r="D312" s="518"/>
      <c r="E312" s="518"/>
      <c r="F312" s="518"/>
      <c r="G312" s="518"/>
      <c r="H312" s="518"/>
      <c r="I312" s="518"/>
      <c r="J312" s="518"/>
      <c r="K312" s="518"/>
      <c r="L312" s="518"/>
    </row>
    <row r="313" spans="1:12" x14ac:dyDescent="0.2">
      <c r="A313" s="518"/>
      <c r="B313" s="518"/>
      <c r="C313" s="518"/>
      <c r="D313" s="518"/>
      <c r="E313" s="518"/>
      <c r="F313" s="518"/>
      <c r="G313" s="518"/>
      <c r="H313" s="518"/>
      <c r="I313" s="518"/>
      <c r="J313" s="518"/>
      <c r="K313" s="518"/>
      <c r="L313" s="518"/>
    </row>
    <row r="314" spans="1:12" x14ac:dyDescent="0.2">
      <c r="A314" s="518"/>
      <c r="B314" s="518"/>
      <c r="C314" s="518"/>
      <c r="D314" s="518"/>
      <c r="E314" s="518"/>
      <c r="F314" s="518"/>
      <c r="G314" s="518"/>
      <c r="H314" s="518"/>
      <c r="I314" s="518"/>
      <c r="J314" s="518"/>
      <c r="K314" s="518"/>
      <c r="L314" s="518"/>
    </row>
    <row r="315" spans="1:12" x14ac:dyDescent="0.2">
      <c r="A315" s="518"/>
      <c r="B315" s="518"/>
      <c r="C315" s="518"/>
      <c r="D315" s="518"/>
      <c r="E315" s="518"/>
      <c r="F315" s="518"/>
      <c r="G315" s="518"/>
      <c r="H315" s="518"/>
      <c r="I315" s="518"/>
      <c r="J315" s="518"/>
      <c r="K315" s="518"/>
      <c r="L315" s="518"/>
    </row>
    <row r="316" spans="1:12" x14ac:dyDescent="0.2">
      <c r="A316" s="518"/>
      <c r="B316" s="518"/>
      <c r="C316" s="518"/>
      <c r="D316" s="518"/>
      <c r="E316" s="518"/>
      <c r="F316" s="518"/>
      <c r="G316" s="518"/>
      <c r="H316" s="518"/>
      <c r="I316" s="518"/>
      <c r="J316" s="518"/>
      <c r="K316" s="518"/>
      <c r="L316" s="518"/>
    </row>
    <row r="317" spans="1:12" x14ac:dyDescent="0.2">
      <c r="A317" s="518"/>
      <c r="B317" s="518"/>
      <c r="C317" s="518"/>
      <c r="D317" s="518"/>
      <c r="E317" s="518"/>
      <c r="F317" s="518"/>
      <c r="G317" s="518"/>
      <c r="H317" s="518"/>
      <c r="I317" s="518"/>
      <c r="J317" s="518"/>
      <c r="K317" s="518"/>
      <c r="L317" s="518"/>
    </row>
    <row r="318" spans="1:12" x14ac:dyDescent="0.2">
      <c r="A318" s="518"/>
      <c r="B318" s="518"/>
      <c r="C318" s="518"/>
      <c r="D318" s="518"/>
      <c r="E318" s="518"/>
      <c r="F318" s="518"/>
      <c r="G318" s="518"/>
      <c r="H318" s="518"/>
      <c r="I318" s="518"/>
      <c r="J318" s="518"/>
      <c r="K318" s="518"/>
      <c r="L318" s="518"/>
    </row>
    <row r="319" spans="1:12" x14ac:dyDescent="0.2">
      <c r="A319" s="518"/>
      <c r="B319" s="518"/>
      <c r="C319" s="518"/>
      <c r="D319" s="518"/>
      <c r="E319" s="518"/>
      <c r="F319" s="518"/>
      <c r="G319" s="518"/>
      <c r="H319" s="518"/>
      <c r="I319" s="518"/>
      <c r="J319" s="518"/>
      <c r="K319" s="518"/>
      <c r="L319" s="518"/>
    </row>
    <row r="320" spans="1:12" x14ac:dyDescent="0.2">
      <c r="A320" s="518"/>
      <c r="B320" s="518"/>
      <c r="C320" s="518"/>
      <c r="D320" s="518"/>
      <c r="E320" s="518"/>
      <c r="F320" s="518"/>
      <c r="G320" s="518"/>
      <c r="H320" s="518"/>
      <c r="I320" s="518"/>
      <c r="J320" s="518"/>
      <c r="K320" s="518"/>
      <c r="L320" s="518"/>
    </row>
    <row r="321" spans="1:12" x14ac:dyDescent="0.2">
      <c r="A321" s="518"/>
      <c r="B321" s="518"/>
      <c r="C321" s="518"/>
      <c r="D321" s="518"/>
      <c r="E321" s="518"/>
      <c r="F321" s="518"/>
      <c r="G321" s="518"/>
      <c r="H321" s="518"/>
      <c r="I321" s="518"/>
      <c r="J321" s="518"/>
      <c r="K321" s="518"/>
      <c r="L321" s="518"/>
    </row>
    <row r="322" spans="1:12" x14ac:dyDescent="0.2">
      <c r="A322" s="518"/>
      <c r="B322" s="518"/>
      <c r="C322" s="518"/>
      <c r="D322" s="518"/>
      <c r="E322" s="518"/>
      <c r="F322" s="518"/>
      <c r="G322" s="518"/>
      <c r="H322" s="518"/>
      <c r="I322" s="518"/>
      <c r="J322" s="518"/>
      <c r="K322" s="518"/>
      <c r="L322" s="518"/>
    </row>
    <row r="323" spans="1:12" x14ac:dyDescent="0.2">
      <c r="A323" s="518"/>
      <c r="B323" s="518"/>
      <c r="C323" s="518"/>
      <c r="D323" s="518"/>
      <c r="E323" s="518"/>
      <c r="F323" s="518"/>
      <c r="G323" s="518"/>
      <c r="H323" s="518"/>
      <c r="I323" s="518"/>
      <c r="J323" s="518"/>
      <c r="K323" s="518"/>
      <c r="L323" s="518"/>
    </row>
    <row r="324" spans="1:12" x14ac:dyDescent="0.2">
      <c r="A324" s="518"/>
      <c r="B324" s="518"/>
      <c r="C324" s="518"/>
      <c r="D324" s="518"/>
      <c r="E324" s="518"/>
      <c r="F324" s="518"/>
      <c r="G324" s="518"/>
      <c r="H324" s="518"/>
      <c r="I324" s="518"/>
      <c r="J324" s="518"/>
      <c r="K324" s="518"/>
      <c r="L324" s="518"/>
    </row>
    <row r="325" spans="1:12" x14ac:dyDescent="0.2">
      <c r="A325" s="518"/>
      <c r="B325" s="518"/>
      <c r="C325" s="518"/>
      <c r="D325" s="518"/>
      <c r="E325" s="518"/>
      <c r="F325" s="518"/>
      <c r="G325" s="518"/>
      <c r="H325" s="518"/>
      <c r="I325" s="518"/>
      <c r="J325" s="518"/>
      <c r="K325" s="518"/>
      <c r="L325" s="518"/>
    </row>
    <row r="326" spans="1:12" x14ac:dyDescent="0.2">
      <c r="A326" s="518"/>
      <c r="B326" s="518"/>
      <c r="C326" s="518"/>
      <c r="D326" s="518"/>
      <c r="E326" s="518"/>
      <c r="F326" s="518"/>
      <c r="G326" s="518"/>
      <c r="H326" s="518"/>
      <c r="I326" s="518"/>
      <c r="J326" s="518"/>
      <c r="K326" s="518"/>
      <c r="L326" s="518"/>
    </row>
    <row r="327" spans="1:12" x14ac:dyDescent="0.2">
      <c r="A327" s="518"/>
      <c r="B327" s="518"/>
      <c r="C327" s="518"/>
      <c r="D327" s="518"/>
      <c r="E327" s="518"/>
      <c r="F327" s="518"/>
      <c r="G327" s="518"/>
      <c r="H327" s="518"/>
      <c r="I327" s="518"/>
      <c r="J327" s="518"/>
      <c r="K327" s="518"/>
      <c r="L327" s="518"/>
    </row>
    <row r="328" spans="1:12" x14ac:dyDescent="0.2">
      <c r="A328" s="518"/>
      <c r="B328" s="518"/>
      <c r="C328" s="518"/>
      <c r="D328" s="518"/>
      <c r="E328" s="518"/>
      <c r="F328" s="518"/>
      <c r="G328" s="518"/>
      <c r="H328" s="518"/>
      <c r="I328" s="518"/>
      <c r="J328" s="518"/>
      <c r="K328" s="518"/>
      <c r="L328" s="518"/>
    </row>
    <row r="329" spans="1:12" x14ac:dyDescent="0.2">
      <c r="A329" s="518"/>
      <c r="B329" s="518"/>
      <c r="C329" s="518"/>
      <c r="D329" s="518"/>
      <c r="E329" s="518"/>
      <c r="F329" s="518"/>
      <c r="G329" s="518"/>
      <c r="H329" s="518"/>
      <c r="I329" s="518"/>
      <c r="J329" s="518"/>
      <c r="K329" s="518"/>
      <c r="L329" s="518"/>
    </row>
    <row r="330" spans="1:12" x14ac:dyDescent="0.2">
      <c r="A330" s="518"/>
      <c r="B330" s="518"/>
      <c r="C330" s="518"/>
      <c r="D330" s="518"/>
      <c r="E330" s="518"/>
      <c r="F330" s="518"/>
      <c r="G330" s="518"/>
      <c r="H330" s="518"/>
      <c r="I330" s="518"/>
      <c r="J330" s="518"/>
      <c r="K330" s="518"/>
      <c r="L330" s="518"/>
    </row>
    <row r="331" spans="1:12" x14ac:dyDescent="0.2">
      <c r="A331" s="518"/>
      <c r="B331" s="518"/>
      <c r="C331" s="518"/>
      <c r="D331" s="518"/>
      <c r="E331" s="518"/>
      <c r="F331" s="518"/>
      <c r="G331" s="518"/>
      <c r="H331" s="518"/>
      <c r="I331" s="518"/>
      <c r="J331" s="518"/>
      <c r="K331" s="518"/>
      <c r="L331" s="518"/>
    </row>
    <row r="332" spans="1:12" x14ac:dyDescent="0.2">
      <c r="A332" s="518"/>
      <c r="B332" s="518"/>
      <c r="C332" s="518"/>
      <c r="D332" s="518"/>
      <c r="E332" s="518"/>
      <c r="F332" s="518"/>
      <c r="G332" s="518"/>
      <c r="H332" s="518"/>
      <c r="I332" s="518"/>
      <c r="J332" s="518"/>
      <c r="K332" s="518"/>
      <c r="L332" s="518"/>
    </row>
    <row r="333" spans="1:12" x14ac:dyDescent="0.2">
      <c r="A333" s="518"/>
      <c r="B333" s="518"/>
      <c r="C333" s="518"/>
      <c r="D333" s="518"/>
      <c r="E333" s="518"/>
      <c r="F333" s="518"/>
      <c r="G333" s="518"/>
      <c r="H333" s="518"/>
      <c r="I333" s="518"/>
      <c r="J333" s="518"/>
      <c r="K333" s="518"/>
      <c r="L333" s="518"/>
    </row>
    <row r="334" spans="1:12" x14ac:dyDescent="0.2">
      <c r="A334" s="518"/>
      <c r="B334" s="518"/>
      <c r="C334" s="518"/>
      <c r="D334" s="518"/>
      <c r="E334" s="518"/>
      <c r="F334" s="518"/>
      <c r="G334" s="518"/>
      <c r="H334" s="518"/>
      <c r="I334" s="518"/>
      <c r="J334" s="518"/>
      <c r="K334" s="518"/>
      <c r="L334" s="518"/>
    </row>
    <row r="335" spans="1:12" x14ac:dyDescent="0.2">
      <c r="A335" s="518"/>
      <c r="B335" s="518"/>
      <c r="C335" s="518"/>
      <c r="D335" s="518"/>
      <c r="E335" s="518"/>
      <c r="F335" s="518"/>
      <c r="G335" s="518"/>
      <c r="H335" s="518"/>
      <c r="I335" s="518"/>
      <c r="J335" s="518"/>
      <c r="K335" s="518"/>
      <c r="L335" s="518"/>
    </row>
    <row r="336" spans="1:12" x14ac:dyDescent="0.2">
      <c r="A336" s="518"/>
      <c r="B336" s="518"/>
      <c r="C336" s="518"/>
      <c r="D336" s="518"/>
      <c r="E336" s="518"/>
      <c r="F336" s="518"/>
      <c r="G336" s="518"/>
      <c r="H336" s="518"/>
      <c r="I336" s="518"/>
      <c r="J336" s="518"/>
      <c r="K336" s="518"/>
      <c r="L336" s="518"/>
    </row>
    <row r="337" spans="1:12" x14ac:dyDescent="0.2">
      <c r="A337" s="518"/>
      <c r="B337" s="518"/>
      <c r="C337" s="518"/>
      <c r="D337" s="518"/>
      <c r="E337" s="518"/>
      <c r="F337" s="518"/>
      <c r="G337" s="518"/>
      <c r="H337" s="518"/>
      <c r="I337" s="518"/>
      <c r="J337" s="518"/>
      <c r="K337" s="518"/>
      <c r="L337" s="518"/>
    </row>
    <row r="338" spans="1:12" x14ac:dyDescent="0.2">
      <c r="A338" s="518"/>
      <c r="B338" s="518"/>
      <c r="C338" s="518"/>
      <c r="D338" s="518"/>
      <c r="E338" s="518"/>
      <c r="F338" s="518"/>
      <c r="G338" s="518"/>
      <c r="H338" s="518"/>
      <c r="I338" s="518"/>
      <c r="J338" s="518"/>
      <c r="K338" s="518"/>
      <c r="L338" s="518"/>
    </row>
    <row r="339" spans="1:12" x14ac:dyDescent="0.2">
      <c r="A339" s="518"/>
      <c r="B339" s="518"/>
      <c r="C339" s="518"/>
      <c r="D339" s="518"/>
      <c r="E339" s="518"/>
      <c r="F339" s="518"/>
      <c r="G339" s="518"/>
      <c r="H339" s="518"/>
      <c r="I339" s="518"/>
      <c r="J339" s="518"/>
      <c r="K339" s="518"/>
      <c r="L339" s="518"/>
    </row>
    <row r="340" spans="1:12" x14ac:dyDescent="0.2">
      <c r="A340" s="518"/>
      <c r="B340" s="518"/>
      <c r="C340" s="518"/>
      <c r="D340" s="518"/>
      <c r="E340" s="518"/>
      <c r="F340" s="518"/>
      <c r="G340" s="518"/>
      <c r="H340" s="518"/>
      <c r="I340" s="518"/>
      <c r="J340" s="518"/>
      <c r="K340" s="518"/>
      <c r="L340" s="518"/>
    </row>
    <row r="341" spans="1:12" x14ac:dyDescent="0.2">
      <c r="A341" s="518"/>
      <c r="B341" s="518"/>
      <c r="C341" s="518"/>
      <c r="D341" s="518"/>
      <c r="E341" s="518"/>
      <c r="F341" s="518"/>
      <c r="G341" s="518"/>
      <c r="H341" s="518"/>
      <c r="I341" s="518"/>
      <c r="J341" s="518"/>
      <c r="K341" s="518"/>
      <c r="L341" s="518"/>
    </row>
    <row r="342" spans="1:12" x14ac:dyDescent="0.2">
      <c r="A342" s="518"/>
      <c r="B342" s="518"/>
      <c r="C342" s="518"/>
      <c r="D342" s="518"/>
      <c r="E342" s="518"/>
      <c r="F342" s="518"/>
      <c r="G342" s="518"/>
      <c r="H342" s="518"/>
      <c r="I342" s="518"/>
      <c r="J342" s="518"/>
      <c r="K342" s="518"/>
      <c r="L342" s="518"/>
    </row>
    <row r="343" spans="1:12" x14ac:dyDescent="0.2">
      <c r="A343" s="518"/>
      <c r="B343" s="518"/>
      <c r="C343" s="518"/>
      <c r="D343" s="518"/>
      <c r="E343" s="518"/>
      <c r="F343" s="518"/>
      <c r="G343" s="518"/>
      <c r="H343" s="518"/>
      <c r="I343" s="518"/>
      <c r="J343" s="518"/>
      <c r="K343" s="518"/>
      <c r="L343" s="518"/>
    </row>
    <row r="344" spans="1:12" x14ac:dyDescent="0.2">
      <c r="A344" s="518"/>
      <c r="B344" s="518"/>
      <c r="C344" s="518"/>
      <c r="D344" s="518"/>
      <c r="E344" s="518"/>
      <c r="F344" s="518"/>
      <c r="G344" s="518"/>
      <c r="H344" s="518"/>
      <c r="I344" s="518"/>
      <c r="J344" s="518"/>
      <c r="K344" s="518"/>
      <c r="L344" s="518"/>
    </row>
    <row r="345" spans="1:12" x14ac:dyDescent="0.2">
      <c r="A345" s="518"/>
      <c r="B345" s="518"/>
      <c r="C345" s="518"/>
      <c r="D345" s="518"/>
      <c r="E345" s="518"/>
      <c r="F345" s="518"/>
      <c r="G345" s="518"/>
      <c r="H345" s="518"/>
      <c r="I345" s="518"/>
      <c r="J345" s="518"/>
      <c r="K345" s="518"/>
      <c r="L345" s="518"/>
    </row>
    <row r="346" spans="1:12" x14ac:dyDescent="0.2">
      <c r="A346" s="518"/>
      <c r="B346" s="518"/>
      <c r="C346" s="518"/>
      <c r="D346" s="518"/>
      <c r="E346" s="518"/>
      <c r="F346" s="518"/>
      <c r="G346" s="518"/>
      <c r="H346" s="518"/>
      <c r="I346" s="518"/>
      <c r="J346" s="518"/>
      <c r="K346" s="518"/>
      <c r="L346" s="518"/>
    </row>
    <row r="347" spans="1:12" x14ac:dyDescent="0.2">
      <c r="A347" s="518"/>
      <c r="B347" s="518"/>
      <c r="C347" s="518"/>
      <c r="D347" s="518"/>
      <c r="E347" s="518"/>
      <c r="F347" s="518"/>
      <c r="G347" s="518"/>
      <c r="H347" s="518"/>
      <c r="I347" s="518"/>
      <c r="J347" s="518"/>
      <c r="K347" s="518"/>
      <c r="L347" s="518"/>
    </row>
    <row r="348" spans="1:12" x14ac:dyDescent="0.2">
      <c r="A348" s="518"/>
      <c r="B348" s="518"/>
      <c r="C348" s="518"/>
      <c r="D348" s="518"/>
      <c r="E348" s="518"/>
      <c r="F348" s="518"/>
      <c r="G348" s="518"/>
      <c r="H348" s="518"/>
      <c r="I348" s="518"/>
      <c r="J348" s="518"/>
      <c r="K348" s="518"/>
      <c r="L348" s="518"/>
    </row>
    <row r="349" spans="1:12" x14ac:dyDescent="0.2">
      <c r="A349" s="518"/>
      <c r="B349" s="518"/>
      <c r="C349" s="518"/>
      <c r="D349" s="518"/>
      <c r="E349" s="518"/>
      <c r="F349" s="518"/>
      <c r="G349" s="518"/>
      <c r="H349" s="518"/>
      <c r="I349" s="518"/>
      <c r="J349" s="518"/>
      <c r="K349" s="518"/>
      <c r="L349" s="518"/>
    </row>
    <row r="350" spans="1:12" x14ac:dyDescent="0.2">
      <c r="A350" s="518"/>
      <c r="B350" s="518"/>
      <c r="C350" s="518"/>
      <c r="D350" s="518"/>
      <c r="E350" s="518"/>
      <c r="F350" s="518"/>
      <c r="G350" s="518"/>
      <c r="H350" s="518"/>
      <c r="I350" s="518"/>
      <c r="J350" s="518"/>
      <c r="K350" s="518"/>
      <c r="L350" s="518"/>
    </row>
    <row r="351" spans="1:12" x14ac:dyDescent="0.2">
      <c r="A351" s="518"/>
      <c r="B351" s="518"/>
      <c r="C351" s="518"/>
      <c r="D351" s="518"/>
      <c r="E351" s="518"/>
      <c r="F351" s="518"/>
      <c r="G351" s="518"/>
      <c r="H351" s="518"/>
      <c r="I351" s="518"/>
      <c r="J351" s="518"/>
      <c r="K351" s="518"/>
      <c r="L351" s="518"/>
    </row>
    <row r="352" spans="1:12" x14ac:dyDescent="0.2">
      <c r="A352" s="518"/>
      <c r="B352" s="518"/>
      <c r="C352" s="518"/>
      <c r="D352" s="518"/>
      <c r="E352" s="518"/>
      <c r="F352" s="518"/>
      <c r="G352" s="518"/>
      <c r="H352" s="518"/>
      <c r="I352" s="518"/>
      <c r="J352" s="518"/>
      <c r="K352" s="518"/>
      <c r="L352" s="518"/>
    </row>
    <row r="353" spans="1:12" x14ac:dyDescent="0.2">
      <c r="A353" s="518"/>
      <c r="B353" s="518"/>
      <c r="C353" s="518"/>
      <c r="D353" s="518"/>
      <c r="E353" s="518"/>
      <c r="F353" s="518"/>
      <c r="G353" s="518"/>
      <c r="H353" s="518"/>
      <c r="I353" s="518"/>
      <c r="J353" s="518"/>
      <c r="K353" s="518"/>
      <c r="L353" s="518"/>
    </row>
    <row r="354" spans="1:12" x14ac:dyDescent="0.2">
      <c r="A354" s="518"/>
      <c r="B354" s="518"/>
      <c r="C354" s="518"/>
      <c r="D354" s="518"/>
      <c r="E354" s="518"/>
      <c r="F354" s="518"/>
      <c r="G354" s="518"/>
      <c r="H354" s="518"/>
      <c r="I354" s="518"/>
      <c r="J354" s="518"/>
      <c r="K354" s="518"/>
      <c r="L354" s="518"/>
    </row>
  </sheetData>
  <sheetProtection sheet="1"/>
  <mergeCells count="55">
    <mergeCell ref="C148:D148"/>
    <mergeCell ref="J148:K148"/>
    <mergeCell ref="C103:D103"/>
    <mergeCell ref="C133:D133"/>
    <mergeCell ref="H133:I133"/>
    <mergeCell ref="C134:D134"/>
    <mergeCell ref="H134:I134"/>
    <mergeCell ref="C137:D137"/>
    <mergeCell ref="B125:K125"/>
    <mergeCell ref="B110:K110"/>
    <mergeCell ref="C147:D147"/>
    <mergeCell ref="J147:K147"/>
    <mergeCell ref="C94:D94"/>
    <mergeCell ref="C97:D97"/>
    <mergeCell ref="C100:D100"/>
    <mergeCell ref="B105:K105"/>
    <mergeCell ref="B144:K144"/>
    <mergeCell ref="B106:K106"/>
    <mergeCell ref="B126:K126"/>
    <mergeCell ref="C136:D136"/>
    <mergeCell ref="B108:K108"/>
    <mergeCell ref="C114:D114"/>
    <mergeCell ref="C117:D117"/>
    <mergeCell ref="C120:D120"/>
    <mergeCell ref="C123:D123"/>
    <mergeCell ref="B128:K128"/>
    <mergeCell ref="B130:K130"/>
    <mergeCell ref="C74:D74"/>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I51:K51"/>
    <mergeCell ref="B55:K55"/>
    <mergeCell ref="B57:K57"/>
    <mergeCell ref="B52:K52"/>
    <mergeCell ref="B53:K53"/>
    <mergeCell ref="B58:K58"/>
    <mergeCell ref="C77:D77"/>
    <mergeCell ref="C80:D80"/>
    <mergeCell ref="C83:D83"/>
    <mergeCell ref="B88:K88"/>
    <mergeCell ref="B90:K90"/>
    <mergeCell ref="B85:K85"/>
    <mergeCell ref="B86:K86"/>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40"/>
  <sheetViews>
    <sheetView workbookViewId="0">
      <selection activeCell="N84" sqref="N84"/>
    </sheetView>
  </sheetViews>
  <sheetFormatPr defaultColWidth="8.88671875" defaultRowHeight="15.75" x14ac:dyDescent="0.25"/>
  <cols>
    <col min="1" max="1" width="71.21875" style="1" customWidth="1"/>
    <col min="2" max="16384" width="8.88671875" style="1"/>
  </cols>
  <sheetData>
    <row r="1" spans="1:1" ht="16.5" x14ac:dyDescent="0.25">
      <c r="A1" s="530" t="s">
        <v>686</v>
      </c>
    </row>
    <row r="3" spans="1:1" ht="31.5" x14ac:dyDescent="0.25">
      <c r="A3" s="531" t="s">
        <v>687</v>
      </c>
    </row>
    <row r="4" spans="1:1" x14ac:dyDescent="0.25">
      <c r="A4" s="532" t="s">
        <v>688</v>
      </c>
    </row>
    <row r="7" spans="1:1" ht="31.5" x14ac:dyDescent="0.25">
      <c r="A7" s="531" t="s">
        <v>689</v>
      </c>
    </row>
    <row r="8" spans="1:1" x14ac:dyDescent="0.25">
      <c r="A8" s="532" t="s">
        <v>690</v>
      </c>
    </row>
    <row r="11" spans="1:1" x14ac:dyDescent="0.25">
      <c r="A11" s="1" t="s">
        <v>691</v>
      </c>
    </row>
    <row r="12" spans="1:1" x14ac:dyDescent="0.25">
      <c r="A12" s="532" t="s">
        <v>692</v>
      </c>
    </row>
    <row r="15" spans="1:1" x14ac:dyDescent="0.25">
      <c r="A15" s="1" t="s">
        <v>693</v>
      </c>
    </row>
    <row r="16" spans="1:1" x14ac:dyDescent="0.25">
      <c r="A16" s="532" t="s">
        <v>694</v>
      </c>
    </row>
    <row r="19" spans="1:1" x14ac:dyDescent="0.25">
      <c r="A19" s="1" t="s">
        <v>695</v>
      </c>
    </row>
    <row r="20" spans="1:1" x14ac:dyDescent="0.25">
      <c r="A20" s="532" t="s">
        <v>696</v>
      </c>
    </row>
    <row r="23" spans="1:1" x14ac:dyDescent="0.25">
      <c r="A23" s="1" t="s">
        <v>697</v>
      </c>
    </row>
    <row r="24" spans="1:1" x14ac:dyDescent="0.25">
      <c r="A24" s="532" t="s">
        <v>698</v>
      </c>
    </row>
    <row r="27" spans="1:1" x14ac:dyDescent="0.25">
      <c r="A27" s="1" t="s">
        <v>699</v>
      </c>
    </row>
    <row r="28" spans="1:1" x14ac:dyDescent="0.25">
      <c r="A28" s="532" t="s">
        <v>700</v>
      </c>
    </row>
    <row r="31" spans="1:1" x14ac:dyDescent="0.25">
      <c r="A31" s="1" t="s">
        <v>701</v>
      </c>
    </row>
    <row r="32" spans="1:1" x14ac:dyDescent="0.25">
      <c r="A32" s="532" t="s">
        <v>702</v>
      </c>
    </row>
    <row r="35" spans="1:1" x14ac:dyDescent="0.25">
      <c r="A35" s="1" t="s">
        <v>703</v>
      </c>
    </row>
    <row r="36" spans="1:1" x14ac:dyDescent="0.25">
      <c r="A36" s="532" t="s">
        <v>704</v>
      </c>
    </row>
    <row r="39" spans="1:1" x14ac:dyDescent="0.25">
      <c r="A39" s="1" t="s">
        <v>705</v>
      </c>
    </row>
    <row r="40" spans="1:1" x14ac:dyDescent="0.25">
      <c r="A40" s="532" t="s">
        <v>706</v>
      </c>
    </row>
  </sheetData>
  <sheetProtection sheet="1"/>
  <hyperlinks>
    <hyperlink ref="A4" r:id="rId1" xr:uid="{00000000-0004-0000-2200-000000000000}"/>
    <hyperlink ref="A8" r:id="rId2" xr:uid="{00000000-0004-0000-2200-000001000000}"/>
    <hyperlink ref="A12" r:id="rId3" xr:uid="{00000000-0004-0000-2200-000002000000}"/>
    <hyperlink ref="A16" r:id="rId4" xr:uid="{00000000-0004-0000-2200-000003000000}"/>
    <hyperlink ref="A20" r:id="rId5" xr:uid="{00000000-0004-0000-2200-000004000000}"/>
    <hyperlink ref="A24" r:id="rId6" xr:uid="{00000000-0004-0000-2200-000005000000}"/>
    <hyperlink ref="A28" r:id="rId7" xr:uid="{00000000-0004-0000-2200-000006000000}"/>
    <hyperlink ref="A32" r:id="rId8" xr:uid="{00000000-0004-0000-2200-000007000000}"/>
    <hyperlink ref="A36" r:id="rId9" xr:uid="{00000000-0004-0000-2200-000008000000}"/>
    <hyperlink ref="A40" r:id="rId10" xr:uid="{00000000-0004-0000-2200-000009000000}"/>
  </hyperlinks>
  <pageMargins left="0.7" right="0.7" top="0.75" bottom="0.75" header="0.3" footer="0.3"/>
  <pageSetup orientation="portrait" r:id="rId1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275"/>
  <sheetViews>
    <sheetView workbookViewId="0">
      <selection activeCell="H22" sqref="H22"/>
    </sheetView>
  </sheetViews>
  <sheetFormatPr defaultColWidth="8.88671875" defaultRowHeight="15.75" x14ac:dyDescent="0.2"/>
  <cols>
    <col min="1" max="1" width="83.6640625" style="43" customWidth="1"/>
    <col min="2" max="16384" width="8.88671875" style="43"/>
  </cols>
  <sheetData>
    <row r="1" spans="1:1" x14ac:dyDescent="0.25">
      <c r="A1" s="794" t="s">
        <v>1074</v>
      </c>
    </row>
    <row r="2" spans="1:1" x14ac:dyDescent="0.2">
      <c r="A2" s="43" t="s">
        <v>1075</v>
      </c>
    </row>
    <row r="3" spans="1:1" x14ac:dyDescent="0.2">
      <c r="A3" s="43" t="s">
        <v>1076</v>
      </c>
    </row>
    <row r="4" spans="1:1" x14ac:dyDescent="0.2">
      <c r="A4" s="43" t="s">
        <v>1077</v>
      </c>
    </row>
    <row r="5" spans="1:1" x14ac:dyDescent="0.2">
      <c r="A5" s="43" t="s">
        <v>1078</v>
      </c>
    </row>
    <row r="6" spans="1:1" x14ac:dyDescent="0.2">
      <c r="A6" s="43" t="s">
        <v>1079</v>
      </c>
    </row>
    <row r="7" spans="1:1" x14ac:dyDescent="0.2">
      <c r="A7" s="43" t="s">
        <v>1080</v>
      </c>
    </row>
    <row r="9" spans="1:1" x14ac:dyDescent="0.25">
      <c r="A9" s="794" t="s">
        <v>1059</v>
      </c>
    </row>
    <row r="10" spans="1:1" x14ac:dyDescent="0.2">
      <c r="A10" s="43" t="s">
        <v>1060</v>
      </c>
    </row>
    <row r="11" spans="1:1" x14ac:dyDescent="0.2">
      <c r="A11" s="43" t="s">
        <v>1063</v>
      </c>
    </row>
    <row r="12" spans="1:1" x14ac:dyDescent="0.2">
      <c r="A12" s="43" t="s">
        <v>1061</v>
      </c>
    </row>
    <row r="13" spans="1:1" x14ac:dyDescent="0.2">
      <c r="A13" s="43" t="s">
        <v>1062</v>
      </c>
    </row>
    <row r="14" spans="1:1" x14ac:dyDescent="0.2">
      <c r="A14" s="43" t="s">
        <v>1067</v>
      </c>
    </row>
    <row r="15" spans="1:1" x14ac:dyDescent="0.2">
      <c r="A15" s="43" t="s">
        <v>1064</v>
      </c>
    </row>
    <row r="16" spans="1:1" x14ac:dyDescent="0.2">
      <c r="A16" s="43" t="s">
        <v>1066</v>
      </c>
    </row>
    <row r="17" spans="1:1" x14ac:dyDescent="0.2">
      <c r="A17" s="43" t="s">
        <v>1065</v>
      </c>
    </row>
    <row r="19" spans="1:1" x14ac:dyDescent="0.25">
      <c r="A19" s="794" t="s">
        <v>1008</v>
      </c>
    </row>
    <row r="20" spans="1:1" x14ac:dyDescent="0.2">
      <c r="A20" s="715" t="s">
        <v>1009</v>
      </c>
    </row>
    <row r="21" spans="1:1" x14ac:dyDescent="0.2">
      <c r="A21" s="715" t="s">
        <v>1010</v>
      </c>
    </row>
    <row r="23" spans="1:1" x14ac:dyDescent="0.25">
      <c r="A23" s="760" t="s">
        <v>1006</v>
      </c>
    </row>
    <row r="24" spans="1:1" x14ac:dyDescent="0.25">
      <c r="A24" s="1" t="s">
        <v>1007</v>
      </c>
    </row>
    <row r="26" spans="1:1" x14ac:dyDescent="0.25">
      <c r="A26" s="760" t="s">
        <v>999</v>
      </c>
    </row>
    <row r="27" spans="1:1" x14ac:dyDescent="0.25">
      <c r="A27" s="1" t="s">
        <v>1000</v>
      </c>
    </row>
    <row r="28" spans="1:1" x14ac:dyDescent="0.25">
      <c r="A28" s="1" t="s">
        <v>1001</v>
      </c>
    </row>
    <row r="29" spans="1:1" x14ac:dyDescent="0.25">
      <c r="A29" s="1" t="s">
        <v>1002</v>
      </c>
    </row>
    <row r="30" spans="1:1" x14ac:dyDescent="0.25">
      <c r="A30" s="1" t="s">
        <v>1003</v>
      </c>
    </row>
    <row r="31" spans="1:1" x14ac:dyDescent="0.25">
      <c r="A31" s="1" t="s">
        <v>1004</v>
      </c>
    </row>
    <row r="32" spans="1:1" x14ac:dyDescent="0.25">
      <c r="A32" s="1" t="s">
        <v>1005</v>
      </c>
    </row>
    <row r="34" spans="1:1" x14ac:dyDescent="0.2">
      <c r="A34" s="574" t="s">
        <v>998</v>
      </c>
    </row>
    <row r="35" spans="1:1" x14ac:dyDescent="0.2">
      <c r="A35" s="715" t="s">
        <v>997</v>
      </c>
    </row>
    <row r="36" spans="1:1" x14ac:dyDescent="0.2">
      <c r="A36" s="43" t="s">
        <v>996</v>
      </c>
    </row>
    <row r="38" spans="1:1" x14ac:dyDescent="0.2">
      <c r="A38" s="574" t="s">
        <v>992</v>
      </c>
    </row>
    <row r="39" spans="1:1" x14ac:dyDescent="0.2">
      <c r="A39" s="715" t="s">
        <v>993</v>
      </c>
    </row>
    <row r="41" spans="1:1" x14ac:dyDescent="0.2">
      <c r="A41" s="574" t="s">
        <v>977</v>
      </c>
    </row>
    <row r="42" spans="1:1" x14ac:dyDescent="0.2">
      <c r="A42" s="715" t="s">
        <v>978</v>
      </c>
    </row>
    <row r="44" spans="1:1" x14ac:dyDescent="0.2">
      <c r="A44" s="574" t="s">
        <v>965</v>
      </c>
    </row>
    <row r="45" spans="1:1" x14ac:dyDescent="0.2">
      <c r="A45" s="715" t="s">
        <v>966</v>
      </c>
    </row>
    <row r="47" spans="1:1" x14ac:dyDescent="0.2">
      <c r="A47" s="574" t="s">
        <v>963</v>
      </c>
    </row>
    <row r="48" spans="1:1" x14ac:dyDescent="0.2">
      <c r="A48" s="715" t="s">
        <v>964</v>
      </c>
    </row>
    <row r="50" spans="1:1" x14ac:dyDescent="0.2">
      <c r="A50" s="574" t="s">
        <v>935</v>
      </c>
    </row>
    <row r="51" spans="1:1" x14ac:dyDescent="0.2">
      <c r="A51" s="715" t="s">
        <v>936</v>
      </c>
    </row>
    <row r="53" spans="1:1" x14ac:dyDescent="0.2">
      <c r="A53" s="574" t="s">
        <v>937</v>
      </c>
    </row>
    <row r="54" spans="1:1" x14ac:dyDescent="0.2">
      <c r="A54" s="44" t="s">
        <v>926</v>
      </c>
    </row>
    <row r="56" spans="1:1" x14ac:dyDescent="0.2">
      <c r="A56" s="574" t="s">
        <v>938</v>
      </c>
    </row>
    <row r="57" spans="1:1" x14ac:dyDescent="0.2">
      <c r="A57" s="43" t="s">
        <v>925</v>
      </c>
    </row>
    <row r="59" spans="1:1" x14ac:dyDescent="0.2">
      <c r="A59" s="574" t="s">
        <v>939</v>
      </c>
    </row>
    <row r="60" spans="1:1" x14ac:dyDescent="0.2">
      <c r="A60" s="43" t="s">
        <v>924</v>
      </c>
    </row>
    <row r="62" spans="1:1" x14ac:dyDescent="0.2">
      <c r="A62" s="574" t="s">
        <v>940</v>
      </c>
    </row>
    <row r="63" spans="1:1" x14ac:dyDescent="0.2">
      <c r="A63" s="43" t="s">
        <v>923</v>
      </c>
    </row>
    <row r="65" spans="1:1" x14ac:dyDescent="0.2">
      <c r="A65" s="574" t="s">
        <v>941</v>
      </c>
    </row>
    <row r="66" spans="1:1" x14ac:dyDescent="0.2">
      <c r="A66" s="687" t="s">
        <v>922</v>
      </c>
    </row>
    <row r="68" spans="1:1" x14ac:dyDescent="0.2">
      <c r="A68" s="574" t="s">
        <v>942</v>
      </c>
    </row>
    <row r="69" spans="1:1" x14ac:dyDescent="0.2">
      <c r="A69" s="43" t="s">
        <v>921</v>
      </c>
    </row>
    <row r="71" spans="1:1" x14ac:dyDescent="0.2">
      <c r="A71" s="574" t="s">
        <v>943</v>
      </c>
    </row>
    <row r="72" spans="1:1" x14ac:dyDescent="0.2">
      <c r="A72" s="43" t="s">
        <v>919</v>
      </c>
    </row>
    <row r="73" spans="1:1" x14ac:dyDescent="0.2">
      <c r="A73" s="43" t="s">
        <v>920</v>
      </c>
    </row>
    <row r="75" spans="1:1" x14ac:dyDescent="0.2">
      <c r="A75" s="574" t="s">
        <v>944</v>
      </c>
    </row>
    <row r="76" spans="1:1" x14ac:dyDescent="0.2">
      <c r="A76" s="692" t="s">
        <v>918</v>
      </c>
    </row>
    <row r="78" spans="1:1" x14ac:dyDescent="0.2">
      <c r="A78" s="574" t="s">
        <v>945</v>
      </c>
    </row>
    <row r="79" spans="1:1" x14ac:dyDescent="0.2">
      <c r="A79" s="687" t="s">
        <v>863</v>
      </c>
    </row>
    <row r="80" spans="1:1" x14ac:dyDescent="0.2">
      <c r="A80" s="43" t="s">
        <v>864</v>
      </c>
    </row>
    <row r="81" spans="1:1" x14ac:dyDescent="0.2">
      <c r="A81" s="43" t="s">
        <v>865</v>
      </c>
    </row>
    <row r="82" spans="1:1" x14ac:dyDescent="0.2">
      <c r="A82" s="43" t="s">
        <v>866</v>
      </c>
    </row>
    <row r="83" spans="1:1" x14ac:dyDescent="0.2">
      <c r="A83" s="43" t="s">
        <v>867</v>
      </c>
    </row>
    <row r="84" spans="1:1" x14ac:dyDescent="0.2">
      <c r="A84" s="43" t="s">
        <v>868</v>
      </c>
    </row>
    <row r="85" spans="1:1" x14ac:dyDescent="0.2">
      <c r="A85" s="43" t="s">
        <v>869</v>
      </c>
    </row>
    <row r="86" spans="1:1" x14ac:dyDescent="0.2">
      <c r="A86" s="43" t="s">
        <v>870</v>
      </c>
    </row>
    <row r="87" spans="1:1" x14ac:dyDescent="0.2">
      <c r="A87" s="43" t="s">
        <v>871</v>
      </c>
    </row>
    <row r="88" spans="1:1" x14ac:dyDescent="0.2">
      <c r="A88" s="43" t="s">
        <v>872</v>
      </c>
    </row>
    <row r="89" spans="1:1" x14ac:dyDescent="0.2">
      <c r="A89" s="43" t="s">
        <v>873</v>
      </c>
    </row>
    <row r="90" spans="1:1" x14ac:dyDescent="0.2">
      <c r="A90" s="43" t="s">
        <v>874</v>
      </c>
    </row>
    <row r="91" spans="1:1" x14ac:dyDescent="0.2">
      <c r="A91" s="43" t="s">
        <v>875</v>
      </c>
    </row>
    <row r="92" spans="1:1" x14ac:dyDescent="0.2">
      <c r="A92" s="43" t="s">
        <v>876</v>
      </c>
    </row>
    <row r="93" spans="1:1" x14ac:dyDescent="0.2">
      <c r="A93" s="43" t="s">
        <v>877</v>
      </c>
    </row>
    <row r="94" spans="1:1" x14ac:dyDescent="0.2">
      <c r="A94" s="43" t="s">
        <v>878</v>
      </c>
    </row>
    <row r="95" spans="1:1" ht="48.75" customHeight="1" x14ac:dyDescent="0.2">
      <c r="A95" s="45" t="s">
        <v>879</v>
      </c>
    </row>
    <row r="96" spans="1:1" x14ac:dyDescent="0.2">
      <c r="A96" s="44" t="s">
        <v>880</v>
      </c>
    </row>
    <row r="97" spans="1:1" ht="36" customHeight="1" x14ac:dyDescent="0.2">
      <c r="A97" s="45" t="s">
        <v>881</v>
      </c>
    </row>
    <row r="98" spans="1:1" x14ac:dyDescent="0.2">
      <c r="A98" s="43" t="s">
        <v>882</v>
      </c>
    </row>
    <row r="99" spans="1:1" x14ac:dyDescent="0.2">
      <c r="A99" s="43" t="s">
        <v>883</v>
      </c>
    </row>
    <row r="100" spans="1:1" x14ac:dyDescent="0.2">
      <c r="A100" s="43" t="s">
        <v>884</v>
      </c>
    </row>
    <row r="101" spans="1:1" x14ac:dyDescent="0.2">
      <c r="A101" s="43" t="s">
        <v>885</v>
      </c>
    </row>
    <row r="102" spans="1:1" x14ac:dyDescent="0.2">
      <c r="A102" s="43" t="s">
        <v>886</v>
      </c>
    </row>
    <row r="103" spans="1:1" x14ac:dyDescent="0.2">
      <c r="A103" s="43" t="s">
        <v>887</v>
      </c>
    </row>
    <row r="104" spans="1:1" x14ac:dyDescent="0.2">
      <c r="A104" s="43" t="s">
        <v>888</v>
      </c>
    </row>
    <row r="105" spans="1:1" x14ac:dyDescent="0.2">
      <c r="A105" s="43" t="s">
        <v>889</v>
      </c>
    </row>
    <row r="106" spans="1:1" x14ac:dyDescent="0.2">
      <c r="A106" s="43" t="s">
        <v>890</v>
      </c>
    </row>
    <row r="107" spans="1:1" x14ac:dyDescent="0.2">
      <c r="A107" s="43" t="s">
        <v>895</v>
      </c>
    </row>
    <row r="108" spans="1:1" x14ac:dyDescent="0.2">
      <c r="A108" s="43" t="s">
        <v>899</v>
      </c>
    </row>
    <row r="109" spans="1:1" x14ac:dyDescent="0.2">
      <c r="A109" s="43" t="s">
        <v>901</v>
      </c>
    </row>
    <row r="110" spans="1:1" x14ac:dyDescent="0.2">
      <c r="A110" s="43" t="s">
        <v>900</v>
      </c>
    </row>
    <row r="111" spans="1:1" ht="15.75" customHeight="1" x14ac:dyDescent="0.2">
      <c r="A111" s="43" t="s">
        <v>902</v>
      </c>
    </row>
    <row r="112" spans="1:1" x14ac:dyDescent="0.2">
      <c r="A112" s="43" t="s">
        <v>908</v>
      </c>
    </row>
    <row r="113" spans="1:1" x14ac:dyDescent="0.2">
      <c r="A113" s="43" t="s">
        <v>909</v>
      </c>
    </row>
    <row r="115" spans="1:1" x14ac:dyDescent="0.2">
      <c r="A115" s="574" t="s">
        <v>946</v>
      </c>
    </row>
    <row r="116" spans="1:1" x14ac:dyDescent="0.2">
      <c r="A116" s="43" t="s">
        <v>755</v>
      </c>
    </row>
    <row r="118" spans="1:1" ht="15.75" customHeight="1" x14ac:dyDescent="0.2">
      <c r="A118" s="574" t="s">
        <v>947</v>
      </c>
    </row>
    <row r="119" spans="1:1" x14ac:dyDescent="0.2">
      <c r="A119" s="43" t="s">
        <v>753</v>
      </c>
    </row>
    <row r="120" spans="1:1" x14ac:dyDescent="0.2">
      <c r="A120" s="43" t="s">
        <v>754</v>
      </c>
    </row>
    <row r="122" spans="1:1" x14ac:dyDescent="0.2">
      <c r="A122" s="574" t="s">
        <v>948</v>
      </c>
    </row>
    <row r="123" spans="1:1" x14ac:dyDescent="0.2">
      <c r="A123" s="43" t="s">
        <v>752</v>
      </c>
    </row>
    <row r="125" spans="1:1" x14ac:dyDescent="0.2">
      <c r="A125" s="574" t="s">
        <v>949</v>
      </c>
    </row>
    <row r="126" spans="1:1" x14ac:dyDescent="0.2">
      <c r="A126" s="43" t="s">
        <v>751</v>
      </c>
    </row>
    <row r="128" spans="1:1" ht="15.75" customHeight="1" x14ac:dyDescent="0.2">
      <c r="A128" s="574" t="s">
        <v>950</v>
      </c>
    </row>
    <row r="129" spans="1:1" x14ac:dyDescent="0.2">
      <c r="A129" s="447" t="s">
        <v>749</v>
      </c>
    </row>
    <row r="130" spans="1:1" x14ac:dyDescent="0.2">
      <c r="A130" s="447" t="s">
        <v>750</v>
      </c>
    </row>
    <row r="132" spans="1:1" x14ac:dyDescent="0.2">
      <c r="A132" s="360" t="s">
        <v>951</v>
      </c>
    </row>
    <row r="133" spans="1:1" ht="19.5" customHeight="1" x14ac:dyDescent="0.2">
      <c r="A133" s="43" t="s">
        <v>746</v>
      </c>
    </row>
    <row r="134" spans="1:1" x14ac:dyDescent="0.2">
      <c r="A134" s="43" t="s">
        <v>747</v>
      </c>
    </row>
    <row r="135" spans="1:1" x14ac:dyDescent="0.2">
      <c r="A135" s="43" t="s">
        <v>748</v>
      </c>
    </row>
    <row r="137" spans="1:1" x14ac:dyDescent="0.2">
      <c r="A137" s="360" t="s">
        <v>952</v>
      </c>
    </row>
    <row r="138" spans="1:1" x14ac:dyDescent="0.2">
      <c r="A138" s="447" t="s">
        <v>619</v>
      </c>
    </row>
    <row r="139" spans="1:1" x14ac:dyDescent="0.2">
      <c r="A139" s="447" t="s">
        <v>620</v>
      </c>
    </row>
    <row r="140" spans="1:1" ht="31.5" x14ac:dyDescent="0.2">
      <c r="A140" s="446" t="s">
        <v>743</v>
      </c>
    </row>
    <row r="141" spans="1:1" x14ac:dyDescent="0.2">
      <c r="A141" s="447" t="s">
        <v>709</v>
      </c>
    </row>
    <row r="142" spans="1:1" x14ac:dyDescent="0.2">
      <c r="A142" s="447" t="s">
        <v>710</v>
      </c>
    </row>
    <row r="143" spans="1:1" x14ac:dyDescent="0.2">
      <c r="A143" s="447" t="s">
        <v>711</v>
      </c>
    </row>
    <row r="144" spans="1:1" x14ac:dyDescent="0.2">
      <c r="A144" s="447" t="s">
        <v>712</v>
      </c>
    </row>
    <row r="145" spans="1:1" x14ac:dyDescent="0.2">
      <c r="A145" s="447" t="s">
        <v>713</v>
      </c>
    </row>
    <row r="146" spans="1:1" x14ac:dyDescent="0.2">
      <c r="A146" s="447" t="s">
        <v>714</v>
      </c>
    </row>
    <row r="147" spans="1:1" x14ac:dyDescent="0.2">
      <c r="A147" s="447" t="s">
        <v>715</v>
      </c>
    </row>
    <row r="148" spans="1:1" x14ac:dyDescent="0.2">
      <c r="A148" s="447" t="s">
        <v>716</v>
      </c>
    </row>
    <row r="149" spans="1:1" x14ac:dyDescent="0.2">
      <c r="A149" s="447" t="s">
        <v>717</v>
      </c>
    </row>
    <row r="150" spans="1:1" x14ac:dyDescent="0.2">
      <c r="A150" s="447" t="s">
        <v>718</v>
      </c>
    </row>
    <row r="151" spans="1:1" x14ac:dyDescent="0.2">
      <c r="A151" s="447" t="s">
        <v>719</v>
      </c>
    </row>
    <row r="152" spans="1:1" x14ac:dyDescent="0.2">
      <c r="A152" s="447" t="s">
        <v>720</v>
      </c>
    </row>
    <row r="153" spans="1:1" x14ac:dyDescent="0.2">
      <c r="A153" s="447" t="s">
        <v>721</v>
      </c>
    </row>
    <row r="154" spans="1:1" x14ac:dyDescent="0.2">
      <c r="A154" s="447" t="s">
        <v>722</v>
      </c>
    </row>
    <row r="155" spans="1:1" x14ac:dyDescent="0.2">
      <c r="A155" s="447" t="s">
        <v>723</v>
      </c>
    </row>
    <row r="156" spans="1:1" x14ac:dyDescent="0.2">
      <c r="A156" s="447" t="s">
        <v>724</v>
      </c>
    </row>
    <row r="157" spans="1:1" x14ac:dyDescent="0.2">
      <c r="A157" s="447" t="s">
        <v>725</v>
      </c>
    </row>
    <row r="158" spans="1:1" x14ac:dyDescent="0.2">
      <c r="A158" s="447" t="s">
        <v>726</v>
      </c>
    </row>
    <row r="159" spans="1:1" x14ac:dyDescent="0.2">
      <c r="A159" s="447" t="s">
        <v>727</v>
      </c>
    </row>
    <row r="160" spans="1:1" x14ac:dyDescent="0.2">
      <c r="A160" s="447" t="s">
        <v>728</v>
      </c>
    </row>
    <row r="161" spans="1:1" x14ac:dyDescent="0.2">
      <c r="A161" s="447" t="s">
        <v>729</v>
      </c>
    </row>
    <row r="162" spans="1:1" x14ac:dyDescent="0.2">
      <c r="A162" s="447" t="s">
        <v>730</v>
      </c>
    </row>
    <row r="163" spans="1:1" ht="18" customHeight="1" x14ac:dyDescent="0.2">
      <c r="A163" s="447" t="s">
        <v>731</v>
      </c>
    </row>
    <row r="164" spans="1:1" x14ac:dyDescent="0.2">
      <c r="A164" s="447" t="s">
        <v>732</v>
      </c>
    </row>
    <row r="165" spans="1:1" x14ac:dyDescent="0.2">
      <c r="A165" s="447" t="s">
        <v>733</v>
      </c>
    </row>
    <row r="167" spans="1:1" x14ac:dyDescent="0.2">
      <c r="A167" s="360" t="s">
        <v>953</v>
      </c>
    </row>
    <row r="168" spans="1:1" ht="16.5" customHeight="1" x14ac:dyDescent="0.2">
      <c r="A168" s="43" t="s">
        <v>598</v>
      </c>
    </row>
    <row r="169" spans="1:1" x14ac:dyDescent="0.2">
      <c r="A169" s="43" t="s">
        <v>599</v>
      </c>
    </row>
    <row r="170" spans="1:1" x14ac:dyDescent="0.2">
      <c r="A170" s="43" t="s">
        <v>600</v>
      </c>
    </row>
    <row r="172" spans="1:1" x14ac:dyDescent="0.2">
      <c r="A172" s="360" t="s">
        <v>954</v>
      </c>
    </row>
    <row r="173" spans="1:1" x14ac:dyDescent="0.2">
      <c r="A173" s="43" t="s">
        <v>588</v>
      </c>
    </row>
    <row r="174" spans="1:1" x14ac:dyDescent="0.2">
      <c r="A174" s="43" t="s">
        <v>589</v>
      </c>
    </row>
    <row r="176" spans="1:1" x14ac:dyDescent="0.2">
      <c r="A176" s="360" t="s">
        <v>955</v>
      </c>
    </row>
    <row r="177" spans="1:1" x14ac:dyDescent="0.2">
      <c r="A177" s="359" t="s">
        <v>582</v>
      </c>
    </row>
    <row r="178" spans="1:1" ht="17.25" customHeight="1" x14ac:dyDescent="0.2">
      <c r="A178" s="359" t="s">
        <v>583</v>
      </c>
    </row>
    <row r="179" spans="1:1" x14ac:dyDescent="0.2">
      <c r="A179" s="359" t="s">
        <v>584</v>
      </c>
    </row>
    <row r="180" spans="1:1" x14ac:dyDescent="0.2">
      <c r="A180" s="43" t="s">
        <v>586</v>
      </c>
    </row>
    <row r="182" spans="1:1" x14ac:dyDescent="0.2">
      <c r="A182" s="296" t="s">
        <v>956</v>
      </c>
    </row>
    <row r="183" spans="1:1" x14ac:dyDescent="0.2">
      <c r="A183" s="326" t="s">
        <v>333</v>
      </c>
    </row>
    <row r="184" spans="1:1" ht="21.75" customHeight="1" x14ac:dyDescent="0.2">
      <c r="A184" s="43" t="s">
        <v>334</v>
      </c>
    </row>
    <row r="185" spans="1:1" x14ac:dyDescent="0.2">
      <c r="A185" s="43" t="s">
        <v>335</v>
      </c>
    </row>
    <row r="186" spans="1:1" ht="16.5" customHeight="1" x14ac:dyDescent="0.2">
      <c r="A186" s="714" t="s">
        <v>336</v>
      </c>
    </row>
    <row r="187" spans="1:1" x14ac:dyDescent="0.2">
      <c r="A187" s="43" t="s">
        <v>337</v>
      </c>
    </row>
    <row r="188" spans="1:1" x14ac:dyDescent="0.2">
      <c r="A188" s="43" t="s">
        <v>338</v>
      </c>
    </row>
    <row r="189" spans="1:1" x14ac:dyDescent="0.2">
      <c r="A189" s="43" t="s">
        <v>339</v>
      </c>
    </row>
    <row r="190" spans="1:1" x14ac:dyDescent="0.2">
      <c r="A190" s="43" t="s">
        <v>340</v>
      </c>
    </row>
    <row r="191" spans="1:1" x14ac:dyDescent="0.2">
      <c r="A191" s="43" t="s">
        <v>358</v>
      </c>
    </row>
    <row r="193" spans="1:1" x14ac:dyDescent="0.2">
      <c r="A193" s="296" t="s">
        <v>957</v>
      </c>
    </row>
    <row r="194" spans="1:1" x14ac:dyDescent="0.2">
      <c r="A194" s="43" t="s">
        <v>302</v>
      </c>
    </row>
    <row r="195" spans="1:1" ht="16.5" customHeight="1" x14ac:dyDescent="0.2">
      <c r="A195" s="43" t="s">
        <v>303</v>
      </c>
    </row>
    <row r="196" spans="1:1" x14ac:dyDescent="0.2">
      <c r="A196" s="43" t="s">
        <v>304</v>
      </c>
    </row>
    <row r="197" spans="1:1" x14ac:dyDescent="0.2">
      <c r="A197" s="43" t="s">
        <v>305</v>
      </c>
    </row>
    <row r="199" spans="1:1" x14ac:dyDescent="0.2">
      <c r="A199" s="296" t="s">
        <v>958</v>
      </c>
    </row>
    <row r="200" spans="1:1" x14ac:dyDescent="0.2">
      <c r="A200" s="43" t="s">
        <v>301</v>
      </c>
    </row>
    <row r="202" spans="1:1" x14ac:dyDescent="0.2">
      <c r="A202" s="296" t="s">
        <v>299</v>
      </c>
    </row>
    <row r="203" spans="1:1" x14ac:dyDescent="0.2">
      <c r="A203" s="43" t="s">
        <v>300</v>
      </c>
    </row>
    <row r="205" spans="1:1" x14ac:dyDescent="0.2">
      <c r="A205" s="296" t="s">
        <v>295</v>
      </c>
    </row>
    <row r="206" spans="1:1" x14ac:dyDescent="0.2">
      <c r="A206" s="43" t="s">
        <v>296</v>
      </c>
    </row>
    <row r="207" spans="1:1" x14ac:dyDescent="0.2">
      <c r="A207" s="43" t="s">
        <v>297</v>
      </c>
    </row>
    <row r="208" spans="1:1" x14ac:dyDescent="0.2">
      <c r="A208" s="43" t="s">
        <v>298</v>
      </c>
    </row>
    <row r="210" spans="1:1" x14ac:dyDescent="0.2">
      <c r="A210" s="296" t="s">
        <v>98</v>
      </c>
    </row>
    <row r="211" spans="1:1" x14ac:dyDescent="0.2">
      <c r="A211" s="43" t="s">
        <v>102</v>
      </c>
    </row>
    <row r="212" spans="1:1" ht="32.25" customHeight="1" x14ac:dyDescent="0.2">
      <c r="A212" s="43" t="s">
        <v>99</v>
      </c>
    </row>
    <row r="213" spans="1:1" ht="36" customHeight="1" x14ac:dyDescent="0.2">
      <c r="A213" s="43" t="s">
        <v>103</v>
      </c>
    </row>
    <row r="214" spans="1:1" ht="35.25" customHeight="1" x14ac:dyDescent="0.2">
      <c r="A214" s="43" t="s">
        <v>100</v>
      </c>
    </row>
    <row r="215" spans="1:1" ht="18" customHeight="1" x14ac:dyDescent="0.2">
      <c r="A215" s="43" t="s">
        <v>107</v>
      </c>
    </row>
    <row r="216" spans="1:1" ht="36" customHeight="1" x14ac:dyDescent="0.2">
      <c r="A216" s="43" t="s">
        <v>108</v>
      </c>
    </row>
    <row r="217" spans="1:1" ht="31.5" x14ac:dyDescent="0.2">
      <c r="A217" s="45" t="s">
        <v>621</v>
      </c>
    </row>
    <row r="218" spans="1:1" ht="33.75" customHeight="1" x14ac:dyDescent="0.2">
      <c r="A218" s="45" t="s">
        <v>104</v>
      </c>
    </row>
    <row r="219" spans="1:1" ht="18.75" customHeight="1" x14ac:dyDescent="0.2">
      <c r="A219" s="45" t="s">
        <v>105</v>
      </c>
    </row>
    <row r="220" spans="1:1" ht="17.25" customHeight="1" x14ac:dyDescent="0.2">
      <c r="A220" s="45" t="s">
        <v>92</v>
      </c>
    </row>
    <row r="221" spans="1:1" ht="17.25" customHeight="1" x14ac:dyDescent="0.2">
      <c r="A221" s="45" t="s">
        <v>57</v>
      </c>
    </row>
    <row r="222" spans="1:1" x14ac:dyDescent="0.2">
      <c r="A222" s="43" t="s">
        <v>56</v>
      </c>
    </row>
    <row r="223" spans="1:1" ht="31.5" x14ac:dyDescent="0.2">
      <c r="A223" s="45" t="s">
        <v>95</v>
      </c>
    </row>
    <row r="224" spans="1:1" x14ac:dyDescent="0.2">
      <c r="A224" s="43" t="s">
        <v>55</v>
      </c>
    </row>
    <row r="225" spans="1:1" x14ac:dyDescent="0.2">
      <c r="A225" s="43" t="s">
        <v>93</v>
      </c>
    </row>
    <row r="226" spans="1:1" x14ac:dyDescent="0.2">
      <c r="A226" s="43" t="s">
        <v>91</v>
      </c>
    </row>
    <row r="227" spans="1:1" ht="14.25" customHeight="1" x14ac:dyDescent="0.2">
      <c r="A227" s="43" t="s">
        <v>54</v>
      </c>
    </row>
    <row r="228" spans="1:1" ht="31.5" x14ac:dyDescent="0.2">
      <c r="A228" s="45" t="s">
        <v>52</v>
      </c>
    </row>
    <row r="229" spans="1:1" x14ac:dyDescent="0.2">
      <c r="A229" s="43" t="s">
        <v>53</v>
      </c>
    </row>
    <row r="231" spans="1:1" x14ac:dyDescent="0.2">
      <c r="A231" s="296" t="s">
        <v>87</v>
      </c>
    </row>
    <row r="232" spans="1:1" x14ac:dyDescent="0.2">
      <c r="A232" s="43" t="s">
        <v>96</v>
      </c>
    </row>
    <row r="233" spans="1:1" x14ac:dyDescent="0.2">
      <c r="A233" s="43" t="s">
        <v>88</v>
      </c>
    </row>
    <row r="234" spans="1:1" x14ac:dyDescent="0.2">
      <c r="A234" s="43" t="s">
        <v>89</v>
      </c>
    </row>
    <row r="235" spans="1:1" x14ac:dyDescent="0.2">
      <c r="A235" s="43" t="s">
        <v>622</v>
      </c>
    </row>
    <row r="236" spans="1:1" ht="18" customHeight="1" x14ac:dyDescent="0.2">
      <c r="A236" s="296" t="s">
        <v>84</v>
      </c>
    </row>
    <row r="237" spans="1:1" ht="51" customHeight="1" x14ac:dyDescent="0.2">
      <c r="A237" s="45" t="s">
        <v>85</v>
      </c>
    </row>
    <row r="238" spans="1:1" x14ac:dyDescent="0.2">
      <c r="A238" s="43" t="s">
        <v>86</v>
      </c>
    </row>
    <row r="241" spans="1:1" x14ac:dyDescent="0.2">
      <c r="A241" s="296" t="s">
        <v>291</v>
      </c>
    </row>
    <row r="242" spans="1:1" ht="47.25" x14ac:dyDescent="0.2">
      <c r="A242" s="45" t="s">
        <v>623</v>
      </c>
    </row>
    <row r="243" spans="1:1" x14ac:dyDescent="0.2">
      <c r="A243" s="43" t="s">
        <v>109</v>
      </c>
    </row>
    <row r="244" spans="1:1" x14ac:dyDescent="0.2">
      <c r="A244" s="43" t="s">
        <v>292</v>
      </c>
    </row>
    <row r="245" spans="1:1" x14ac:dyDescent="0.2">
      <c r="A245" s="43" t="s">
        <v>37</v>
      </c>
    </row>
    <row r="246" spans="1:1" x14ac:dyDescent="0.2">
      <c r="A246" s="43" t="s">
        <v>293</v>
      </c>
    </row>
    <row r="247" spans="1:1" x14ac:dyDescent="0.2">
      <c r="A247" s="43" t="s">
        <v>294</v>
      </c>
    </row>
    <row r="248" spans="1:1" x14ac:dyDescent="0.2">
      <c r="A248" s="43" t="s">
        <v>0</v>
      </c>
    </row>
    <row r="249" spans="1:1" x14ac:dyDescent="0.2">
      <c r="A249" s="43" t="s">
        <v>1</v>
      </c>
    </row>
    <row r="250" spans="1:1" x14ac:dyDescent="0.2">
      <c r="A250" s="43" t="s">
        <v>2</v>
      </c>
    </row>
    <row r="251" spans="1:1" ht="31.5" x14ac:dyDescent="0.2">
      <c r="A251" s="45" t="s">
        <v>8</v>
      </c>
    </row>
    <row r="252" spans="1:1" ht="31.5" x14ac:dyDescent="0.2">
      <c r="A252" s="45" t="s">
        <v>114</v>
      </c>
    </row>
    <row r="253" spans="1:1" x14ac:dyDescent="0.2">
      <c r="A253" s="43" t="s">
        <v>4</v>
      </c>
    </row>
    <row r="254" spans="1:1" x14ac:dyDescent="0.2">
      <c r="A254" s="43" t="s">
        <v>9</v>
      </c>
    </row>
    <row r="255" spans="1:1" x14ac:dyDescent="0.2">
      <c r="A255" s="43" t="s">
        <v>38</v>
      </c>
    </row>
    <row r="256" spans="1:1" x14ac:dyDescent="0.2">
      <c r="A256" s="43" t="s">
        <v>6</v>
      </c>
    </row>
    <row r="257" spans="1:1" x14ac:dyDescent="0.2">
      <c r="A257" s="43" t="s">
        <v>39</v>
      </c>
    </row>
    <row r="258" spans="1:1" ht="31.5" x14ac:dyDescent="0.2">
      <c r="A258" s="45" t="s">
        <v>40</v>
      </c>
    </row>
    <row r="259" spans="1:1" x14ac:dyDescent="0.2">
      <c r="A259" s="43" t="s">
        <v>17</v>
      </c>
    </row>
    <row r="260" spans="1:1" x14ac:dyDescent="0.2">
      <c r="A260" s="43" t="s">
        <v>18</v>
      </c>
    </row>
    <row r="261" spans="1:1" ht="31.5" x14ac:dyDescent="0.2">
      <c r="A261" s="45" t="s">
        <v>19</v>
      </c>
    </row>
    <row r="262" spans="1:1" x14ac:dyDescent="0.2">
      <c r="A262" s="43" t="s">
        <v>71</v>
      </c>
    </row>
    <row r="263" spans="1:1" x14ac:dyDescent="0.2">
      <c r="A263" s="43" t="s">
        <v>72</v>
      </c>
    </row>
    <row r="264" spans="1:1" x14ac:dyDescent="0.2">
      <c r="A264" s="43" t="s">
        <v>73</v>
      </c>
    </row>
    <row r="265" spans="1:1" x14ac:dyDescent="0.2">
      <c r="A265" s="43" t="s">
        <v>74</v>
      </c>
    </row>
    <row r="266" spans="1:1" x14ac:dyDescent="0.2">
      <c r="A266" s="43" t="s">
        <v>75</v>
      </c>
    </row>
    <row r="267" spans="1:1" x14ac:dyDescent="0.2">
      <c r="A267" s="43" t="s">
        <v>76</v>
      </c>
    </row>
    <row r="268" spans="1:1" x14ac:dyDescent="0.2">
      <c r="A268" s="43" t="s">
        <v>77</v>
      </c>
    </row>
    <row r="269" spans="1:1" x14ac:dyDescent="0.2">
      <c r="A269" s="43" t="s">
        <v>78</v>
      </c>
    </row>
    <row r="270" spans="1:1" x14ac:dyDescent="0.2">
      <c r="A270" s="43" t="s">
        <v>79</v>
      </c>
    </row>
    <row r="271" spans="1:1" ht="31.5" x14ac:dyDescent="0.2">
      <c r="A271" s="45" t="s">
        <v>80</v>
      </c>
    </row>
    <row r="272" spans="1:1" x14ac:dyDescent="0.2">
      <c r="A272" s="43" t="s">
        <v>81</v>
      </c>
    </row>
    <row r="273" spans="1:1" ht="19.5" customHeight="1" x14ac:dyDescent="0.2"/>
    <row r="274" spans="1:1" ht="18" customHeight="1" x14ac:dyDescent="0.2">
      <c r="A274" s="43" t="s">
        <v>82</v>
      </c>
    </row>
    <row r="275" spans="1:1" x14ac:dyDescent="0.2">
      <c r="A275" s="43" t="s">
        <v>83</v>
      </c>
    </row>
  </sheetData>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7"/>
  <sheetViews>
    <sheetView topLeftCell="A3" workbookViewId="0">
      <selection activeCell="B14" sqref="B14"/>
    </sheetView>
  </sheetViews>
  <sheetFormatPr defaultRowHeight="15" x14ac:dyDescent="0.2"/>
  <cols>
    <col min="1" max="1" width="13.77734375" customWidth="1"/>
    <col min="2" max="2" width="16.109375" customWidth="1"/>
  </cols>
  <sheetData>
    <row r="1" spans="1:10" x14ac:dyDescent="0.2">
      <c r="J1" s="583" t="s">
        <v>756</v>
      </c>
    </row>
    <row r="2" spans="1:10" ht="54" customHeight="1" x14ac:dyDescent="0.2">
      <c r="A2" s="928" t="s">
        <v>359</v>
      </c>
      <c r="B2" s="929"/>
      <c r="C2" s="929"/>
      <c r="D2" s="929"/>
      <c r="E2" s="929"/>
      <c r="F2" s="929"/>
      <c r="J2" s="583" t="s">
        <v>757</v>
      </c>
    </row>
    <row r="3" spans="1:10" ht="15.75" x14ac:dyDescent="0.25">
      <c r="A3" s="1" t="s">
        <v>768</v>
      </c>
      <c r="B3" s="695" t="s">
        <v>1091</v>
      </c>
      <c r="C3" s="696"/>
      <c r="J3" s="583" t="s">
        <v>758</v>
      </c>
    </row>
    <row r="4" spans="1:10" ht="15.75" x14ac:dyDescent="0.25">
      <c r="A4" s="1"/>
      <c r="B4" s="589"/>
      <c r="J4" s="583" t="s">
        <v>759</v>
      </c>
    </row>
    <row r="5" spans="1:10" ht="15.75" x14ac:dyDescent="0.25">
      <c r="A5" s="1" t="s">
        <v>602</v>
      </c>
      <c r="B5" s="697" t="s">
        <v>1092</v>
      </c>
      <c r="J5" s="583" t="s">
        <v>760</v>
      </c>
    </row>
    <row r="6" spans="1:10" ht="15.75" x14ac:dyDescent="0.25">
      <c r="A6" s="339"/>
      <c r="B6" s="339"/>
      <c r="C6" s="339"/>
      <c r="D6" s="340" t="s">
        <v>361</v>
      </c>
      <c r="E6" s="339"/>
      <c r="F6" s="339"/>
      <c r="J6" s="583" t="s">
        <v>761</v>
      </c>
    </row>
    <row r="7" spans="1:10" ht="15.75" x14ac:dyDescent="0.25">
      <c r="A7" s="340" t="s">
        <v>360</v>
      </c>
      <c r="B7" s="697" t="s">
        <v>1093</v>
      </c>
      <c r="C7" s="341"/>
      <c r="D7" s="577" t="str">
        <f ca="1">IF(B7="","",CONCATENATE("Latest date for notice to be published in your newspaper: ",G18," ",G22,", ",G23))</f>
        <v>Latest date for notice to be published in your newspaper: August 3, 2019</v>
      </c>
      <c r="E7" s="339"/>
      <c r="F7" s="339"/>
      <c r="J7" s="583" t="s">
        <v>762</v>
      </c>
    </row>
    <row r="8" spans="1:10" ht="15.75" x14ac:dyDescent="0.25">
      <c r="A8" s="340"/>
      <c r="B8" s="342"/>
      <c r="C8" s="343"/>
      <c r="D8" s="577"/>
      <c r="E8" s="339"/>
      <c r="F8" s="339"/>
      <c r="J8" s="583" t="s">
        <v>763</v>
      </c>
    </row>
    <row r="9" spans="1:10" ht="15.75" x14ac:dyDescent="0.25">
      <c r="A9" s="340" t="s">
        <v>362</v>
      </c>
      <c r="B9" s="698" t="s">
        <v>1094</v>
      </c>
      <c r="C9" s="344"/>
      <c r="D9" s="340"/>
      <c r="E9" s="339"/>
      <c r="F9" s="339"/>
      <c r="J9" s="583" t="s">
        <v>764</v>
      </c>
    </row>
    <row r="10" spans="1:10" ht="15.75" x14ac:dyDescent="0.25">
      <c r="A10" s="340"/>
      <c r="B10" s="577"/>
      <c r="C10" s="340"/>
      <c r="D10" s="340"/>
      <c r="E10" s="339"/>
      <c r="F10" s="339"/>
      <c r="J10" s="583" t="s">
        <v>765</v>
      </c>
    </row>
    <row r="11" spans="1:10" ht="15.75" x14ac:dyDescent="0.25">
      <c r="A11" s="340" t="s">
        <v>363</v>
      </c>
      <c r="B11" s="699" t="s">
        <v>368</v>
      </c>
      <c r="C11" s="700"/>
      <c r="D11" s="700"/>
      <c r="E11" s="701"/>
      <c r="F11" s="339"/>
      <c r="J11" s="583" t="s">
        <v>766</v>
      </c>
    </row>
    <row r="12" spans="1:10" ht="15.75" x14ac:dyDescent="0.25">
      <c r="A12" s="340"/>
      <c r="B12" s="577"/>
      <c r="C12" s="340"/>
      <c r="D12" s="340"/>
      <c r="E12" s="339"/>
      <c r="F12" s="339"/>
      <c r="J12" s="583" t="s">
        <v>767</v>
      </c>
    </row>
    <row r="13" spans="1:10" ht="15.75" x14ac:dyDescent="0.25">
      <c r="A13" s="340"/>
      <c r="B13" s="577"/>
      <c r="C13" s="340"/>
      <c r="D13" s="340"/>
      <c r="E13" s="339"/>
      <c r="F13" s="339"/>
    </row>
    <row r="14" spans="1:10" ht="15.75" x14ac:dyDescent="0.25">
      <c r="A14" s="340" t="s">
        <v>364</v>
      </c>
      <c r="B14" s="699" t="s">
        <v>368</v>
      </c>
      <c r="C14" s="700"/>
      <c r="D14" s="700"/>
      <c r="E14" s="701"/>
      <c r="F14" s="339"/>
    </row>
    <row r="17" spans="1:7" ht="15.75" x14ac:dyDescent="0.25">
      <c r="A17" s="930" t="s">
        <v>365</v>
      </c>
      <c r="B17" s="930"/>
      <c r="C17" s="340"/>
      <c r="D17" s="340"/>
      <c r="E17" s="340"/>
      <c r="F17" s="339"/>
    </row>
    <row r="18" spans="1:7" ht="15.75" x14ac:dyDescent="0.25">
      <c r="A18" s="340"/>
      <c r="B18" s="340"/>
      <c r="C18" s="340"/>
      <c r="D18" s="340"/>
      <c r="E18" s="340"/>
      <c r="F18" s="339"/>
      <c r="G18" s="583" t="str">
        <f ca="1">IF(B7="","",INDIRECT(G19))</f>
        <v>August</v>
      </c>
    </row>
    <row r="19" spans="1:7" ht="15.75" x14ac:dyDescent="0.25">
      <c r="A19" s="340" t="s">
        <v>602</v>
      </c>
      <c r="B19" s="340" t="s">
        <v>603</v>
      </c>
      <c r="C19" s="340"/>
      <c r="D19" s="340"/>
      <c r="E19" s="340"/>
      <c r="F19" s="339"/>
      <c r="G19" s="584" t="str">
        <f>IF(B7="","",CONCATENATE("J",G21))</f>
        <v>J8</v>
      </c>
    </row>
    <row r="20" spans="1:7" ht="15.75" x14ac:dyDescent="0.25">
      <c r="A20" s="340"/>
      <c r="B20" s="340"/>
      <c r="C20" s="340"/>
      <c r="D20" s="340"/>
      <c r="E20" s="340"/>
      <c r="F20" s="339"/>
      <c r="G20" s="585">
        <f>B7-10</f>
        <v>43680</v>
      </c>
    </row>
    <row r="21" spans="1:7" ht="15.75" x14ac:dyDescent="0.2">
      <c r="A21" s="340" t="s">
        <v>360</v>
      </c>
      <c r="B21" s="342" t="s">
        <v>366</v>
      </c>
      <c r="C21" s="340"/>
      <c r="D21" s="340"/>
      <c r="E21" s="340"/>
      <c r="G21" s="586">
        <f>IF(B7="","",MONTH(G20))</f>
        <v>8</v>
      </c>
    </row>
    <row r="22" spans="1:7" ht="15.75" x14ac:dyDescent="0.2">
      <c r="A22" s="340"/>
      <c r="B22" s="340"/>
      <c r="C22" s="340"/>
      <c r="D22" s="340"/>
      <c r="E22" s="340"/>
      <c r="G22" s="587">
        <f>IF(B7="","",DAY(G20))</f>
        <v>3</v>
      </c>
    </row>
    <row r="23" spans="1:7" ht="15.75" x14ac:dyDescent="0.2">
      <c r="A23" s="340" t="s">
        <v>362</v>
      </c>
      <c r="B23" s="340" t="s">
        <v>367</v>
      </c>
      <c r="C23" s="340"/>
      <c r="D23" s="340"/>
      <c r="E23" s="340"/>
      <c r="G23" s="588">
        <f>IF(B7="","",YEAR(G20))</f>
        <v>2019</v>
      </c>
    </row>
    <row r="24" spans="1:7" ht="15.75" x14ac:dyDescent="0.2">
      <c r="A24" s="340"/>
      <c r="B24" s="340"/>
      <c r="C24" s="340"/>
      <c r="D24" s="340"/>
      <c r="E24" s="340"/>
    </row>
    <row r="25" spans="1:7" ht="15.75" x14ac:dyDescent="0.2">
      <c r="A25" s="340" t="s">
        <v>363</v>
      </c>
      <c r="B25" s="340" t="s">
        <v>368</v>
      </c>
      <c r="C25" s="340"/>
      <c r="D25" s="340"/>
      <c r="E25" s="340"/>
    </row>
    <row r="26" spans="1:7" ht="15.75" x14ac:dyDescent="0.2">
      <c r="A26" s="340"/>
      <c r="B26" s="340"/>
      <c r="C26" s="340"/>
      <c r="D26" s="340"/>
      <c r="E26" s="340"/>
    </row>
    <row r="27" spans="1:7" ht="15.75" x14ac:dyDescent="0.2">
      <c r="A27" s="340" t="s">
        <v>364</v>
      </c>
      <c r="B27" s="340" t="s">
        <v>368</v>
      </c>
      <c r="C27" s="340"/>
      <c r="D27" s="340"/>
      <c r="E27" s="340"/>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40"/>
  <sheetViews>
    <sheetView workbookViewId="0">
      <selection activeCell="E22" sqref="E22"/>
    </sheetView>
  </sheetViews>
  <sheetFormatPr defaultRowHeight="15" x14ac:dyDescent="0.2"/>
  <cols>
    <col min="1" max="1" width="116" customWidth="1"/>
  </cols>
  <sheetData>
    <row r="1" spans="1:1" ht="15.75" x14ac:dyDescent="0.2">
      <c r="A1" s="891" t="s">
        <v>1072</v>
      </c>
    </row>
    <row r="2" spans="1:1" ht="15.75" x14ac:dyDescent="0.2">
      <c r="A2" s="82"/>
    </row>
    <row r="3" spans="1:1" ht="15.75" x14ac:dyDescent="0.2">
      <c r="A3" s="82"/>
    </row>
    <row r="4" spans="1:1" ht="15.75" x14ac:dyDescent="0.2">
      <c r="A4" s="82"/>
    </row>
    <row r="5" spans="1:1" ht="15.75" x14ac:dyDescent="0.2">
      <c r="A5" s="82"/>
    </row>
    <row r="6" spans="1:1" ht="15.75" x14ac:dyDescent="0.2">
      <c r="A6" s="82"/>
    </row>
    <row r="7" spans="1:1" ht="15.75" x14ac:dyDescent="0.2">
      <c r="A7" s="82"/>
    </row>
    <row r="8" spans="1:1" ht="15.75" x14ac:dyDescent="0.2">
      <c r="A8" s="82"/>
    </row>
    <row r="9" spans="1:1" ht="15.75" x14ac:dyDescent="0.2">
      <c r="A9" s="82"/>
    </row>
    <row r="10" spans="1:1" ht="15.75" x14ac:dyDescent="0.2">
      <c r="A10" s="82"/>
    </row>
    <row r="11" spans="1:1" ht="15.75" x14ac:dyDescent="0.2">
      <c r="A11" s="82"/>
    </row>
    <row r="12" spans="1:1" ht="15.75" x14ac:dyDescent="0.2">
      <c r="A12" s="82"/>
    </row>
    <row r="13" spans="1:1" ht="15.75" x14ac:dyDescent="0.2">
      <c r="A13" s="82"/>
    </row>
    <row r="14" spans="1:1" ht="15.75" x14ac:dyDescent="0.2">
      <c r="A14" s="82"/>
    </row>
    <row r="15" spans="1:1" ht="15.75" x14ac:dyDescent="0.2">
      <c r="A15" s="82"/>
    </row>
    <row r="16" spans="1:1" ht="15.75" x14ac:dyDescent="0.2">
      <c r="A16" s="82"/>
    </row>
    <row r="17" spans="1:1" ht="15.75" x14ac:dyDescent="0.2">
      <c r="A17" s="82"/>
    </row>
    <row r="18" spans="1:1" ht="15.75" x14ac:dyDescent="0.2">
      <c r="A18" s="82"/>
    </row>
    <row r="19" spans="1:1" ht="15.75" x14ac:dyDescent="0.2">
      <c r="A19" s="82"/>
    </row>
    <row r="20" spans="1:1" ht="15.75" x14ac:dyDescent="0.2">
      <c r="A20" s="82"/>
    </row>
    <row r="21" spans="1:1" ht="15.75" x14ac:dyDescent="0.2">
      <c r="A21" s="82"/>
    </row>
    <row r="22" spans="1:1" ht="15.75" x14ac:dyDescent="0.2">
      <c r="A22" s="82"/>
    </row>
    <row r="23" spans="1:1" ht="15.75" x14ac:dyDescent="0.2">
      <c r="A23" s="82"/>
    </row>
    <row r="24" spans="1:1" ht="15.75" x14ac:dyDescent="0.2">
      <c r="A24" s="82"/>
    </row>
    <row r="25" spans="1:1" ht="15.75" x14ac:dyDescent="0.2">
      <c r="A25" s="82"/>
    </row>
    <row r="26" spans="1:1" ht="15.75" x14ac:dyDescent="0.2">
      <c r="A26" s="82"/>
    </row>
    <row r="27" spans="1:1" ht="15.75" x14ac:dyDescent="0.2">
      <c r="A27" s="82"/>
    </row>
    <row r="28" spans="1:1" ht="15.75" x14ac:dyDescent="0.2">
      <c r="A28" s="82"/>
    </row>
    <row r="29" spans="1:1" ht="15.75" x14ac:dyDescent="0.2">
      <c r="A29" s="82"/>
    </row>
    <row r="30" spans="1:1" ht="15.75" x14ac:dyDescent="0.2">
      <c r="A30" s="82"/>
    </row>
    <row r="31" spans="1:1" ht="15.75" x14ac:dyDescent="0.2">
      <c r="A31" s="82"/>
    </row>
    <row r="32" spans="1:1" ht="15.75" x14ac:dyDescent="0.2">
      <c r="A32" s="82"/>
    </row>
    <row r="33" spans="1:1" ht="15.75" x14ac:dyDescent="0.2">
      <c r="A33" s="82"/>
    </row>
    <row r="34" spans="1:1" ht="15.75" x14ac:dyDescent="0.2">
      <c r="A34" s="82"/>
    </row>
    <row r="35" spans="1:1" ht="15.75" x14ac:dyDescent="0.2">
      <c r="A35" s="82"/>
    </row>
    <row r="36" spans="1:1" ht="15.75" x14ac:dyDescent="0.2">
      <c r="A36" s="82"/>
    </row>
    <row r="37" spans="1:1" ht="15.75" x14ac:dyDescent="0.2">
      <c r="A37" s="82"/>
    </row>
    <row r="38" spans="1:1" ht="15.75" x14ac:dyDescent="0.2">
      <c r="A38" s="82"/>
    </row>
    <row r="39" spans="1:1" ht="15.75" x14ac:dyDescent="0.2">
      <c r="A39" s="82"/>
    </row>
    <row r="40" spans="1:1" ht="15.75" x14ac:dyDescent="0.2">
      <c r="A40" s="82"/>
    </row>
  </sheetData>
  <pageMargins left="0.7" right="0.7" top="0.75" bottom="0.75" header="0.3" footer="0.3"/>
  <pageSetup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G64"/>
  <sheetViews>
    <sheetView tabSelected="1" workbookViewId="0">
      <selection activeCell="J94" sqref="J94"/>
    </sheetView>
  </sheetViews>
  <sheetFormatPr defaultColWidth="8.88671875" defaultRowHeight="15" customHeight="1" x14ac:dyDescent="0.2"/>
  <cols>
    <col min="1" max="1" width="24.44140625" style="136" customWidth="1"/>
    <col min="2" max="2" width="11.33203125" style="136" customWidth="1"/>
    <col min="3" max="3" width="5.77734375" style="136" customWidth="1"/>
    <col min="4" max="4" width="13.88671875" style="136" customWidth="1"/>
    <col min="5" max="5" width="14" style="136" customWidth="1"/>
    <col min="6" max="6" width="13" style="136" customWidth="1"/>
    <col min="7" max="16384" width="8.88671875" style="136"/>
  </cols>
  <sheetData>
    <row r="1" spans="1:6" ht="15" customHeight="1" x14ac:dyDescent="0.2">
      <c r="A1" s="134"/>
      <c r="B1" s="134"/>
      <c r="C1" s="134"/>
      <c r="D1" s="134"/>
      <c r="E1" s="134"/>
      <c r="F1" s="135">
        <f>inputPrYr!$C$6</f>
        <v>2020</v>
      </c>
    </row>
    <row r="2" spans="1:6" ht="15" customHeight="1" x14ac:dyDescent="0.2">
      <c r="A2" s="56"/>
      <c r="B2" s="56"/>
      <c r="C2" s="58" t="s">
        <v>208</v>
      </c>
      <c r="D2" s="56"/>
      <c r="E2" s="56"/>
      <c r="F2" s="137"/>
    </row>
    <row r="3" spans="1:6" s="57" customFormat="1" ht="15" customHeight="1" x14ac:dyDescent="0.2">
      <c r="A3" s="931" t="str">
        <f>CONCATENATE("To the Clerk of ",inputPrYr!D4,", State of Kansas")</f>
        <v>To the Clerk of Chase County, State of Kansas</v>
      </c>
      <c r="B3" s="913"/>
      <c r="C3" s="913"/>
      <c r="D3" s="913"/>
      <c r="E3" s="913"/>
      <c r="F3" s="913"/>
    </row>
    <row r="4" spans="1:6" s="57" customFormat="1" ht="15" customHeight="1" x14ac:dyDescent="0.2">
      <c r="A4" s="64" t="s">
        <v>601</v>
      </c>
      <c r="B4" s="63"/>
      <c r="C4" s="63"/>
      <c r="D4" s="63"/>
      <c r="E4" s="63"/>
      <c r="F4" s="63"/>
    </row>
    <row r="5" spans="1:6" s="57" customFormat="1" ht="15" customHeight="1" x14ac:dyDescent="0.2">
      <c r="A5" s="56"/>
      <c r="B5" s="56"/>
      <c r="C5" s="393" t="str">
        <f>(inputPrYr!D3)</f>
        <v>City of Strong City</v>
      </c>
      <c r="D5" s="56"/>
      <c r="E5" s="56"/>
      <c r="F5" s="56"/>
    </row>
    <row r="6" spans="1:6" s="57" customFormat="1" ht="15" customHeight="1" x14ac:dyDescent="0.2">
      <c r="A6" s="64" t="s">
        <v>126</v>
      </c>
      <c r="B6" s="63"/>
      <c r="C6" s="63"/>
      <c r="D6" s="63"/>
      <c r="E6" s="63"/>
      <c r="F6" s="63"/>
    </row>
    <row r="7" spans="1:6" s="57" customFormat="1" ht="15" customHeight="1" x14ac:dyDescent="0.2">
      <c r="A7" s="64" t="s">
        <v>127</v>
      </c>
      <c r="B7" s="63"/>
      <c r="C7" s="63"/>
      <c r="D7" s="63"/>
      <c r="E7" s="63"/>
      <c r="F7" s="63"/>
    </row>
    <row r="8" spans="1:6" s="57" customFormat="1" ht="15" customHeight="1" x14ac:dyDescent="0.2">
      <c r="A8" s="64" t="str">
        <f>CONCATENATE("maximum expenditure for the various funds for the year ",D11,"; and")</f>
        <v>maximum expenditure for the various funds for the year 2020; and</v>
      </c>
      <c r="B8" s="63"/>
      <c r="C8" s="63"/>
      <c r="D8" s="63"/>
      <c r="E8" s="63"/>
      <c r="F8" s="63"/>
    </row>
    <row r="9" spans="1:6" s="57" customFormat="1" ht="15" customHeight="1" x14ac:dyDescent="0.2">
      <c r="A9" s="64" t="str">
        <f>CONCATENATE("(3) the Amount(s) of ",F1-1," Ad Valorem Tax are within statutory limitations.")</f>
        <v>(3) the Amount(s) of 2019 Ad Valorem Tax are within statutory limitations.</v>
      </c>
      <c r="B9" s="63"/>
      <c r="C9" s="63"/>
      <c r="D9" s="63"/>
      <c r="E9" s="63"/>
      <c r="F9" s="63"/>
    </row>
    <row r="10" spans="1:6" ht="15" customHeight="1" x14ac:dyDescent="0.2">
      <c r="A10" s="139"/>
      <c r="B10" s="140"/>
      <c r="C10" s="140"/>
      <c r="D10" s="141"/>
      <c r="E10" s="140"/>
      <c r="F10" s="140"/>
    </row>
    <row r="11" spans="1:6" ht="15" customHeight="1" x14ac:dyDescent="0.2">
      <c r="A11" s="56"/>
      <c r="B11" s="56"/>
      <c r="C11" s="142"/>
      <c r="D11" s="143">
        <f>inputPrYr!$C$6</f>
        <v>2020</v>
      </c>
      <c r="E11" s="144" t="s">
        <v>151</v>
      </c>
      <c r="F11" s="145"/>
    </row>
    <row r="12" spans="1:6" ht="16.5" customHeight="1" x14ac:dyDescent="0.2">
      <c r="A12" s="140"/>
      <c r="B12" s="56"/>
      <c r="C12" s="146"/>
      <c r="D12" s="148"/>
      <c r="E12" s="932" t="str">
        <f>CONCATENATE("Amount of ",$F$1-1," Ad Valorem Tax")</f>
        <v>Amount of 2019 Ad Valorem Tax</v>
      </c>
      <c r="F12" s="148" t="s">
        <v>129</v>
      </c>
    </row>
    <row r="13" spans="1:6" ht="14.25" customHeight="1" x14ac:dyDescent="0.2">
      <c r="A13" s="56"/>
      <c r="B13" s="56"/>
      <c r="C13" s="148" t="s">
        <v>130</v>
      </c>
      <c r="D13" s="149" t="s">
        <v>47</v>
      </c>
      <c r="E13" s="933"/>
      <c r="F13" s="149" t="s">
        <v>131</v>
      </c>
    </row>
    <row r="14" spans="1:6" ht="14.25" customHeight="1" x14ac:dyDescent="0.2">
      <c r="A14" s="150" t="s">
        <v>132</v>
      </c>
      <c r="B14" s="89"/>
      <c r="C14" s="151" t="s">
        <v>133</v>
      </c>
      <c r="D14" s="151" t="s">
        <v>613</v>
      </c>
      <c r="E14" s="934"/>
      <c r="F14" s="151" t="s">
        <v>135</v>
      </c>
    </row>
    <row r="15" spans="1:6" ht="15" customHeight="1" x14ac:dyDescent="0.2">
      <c r="A15" s="152" t="s">
        <v>277</v>
      </c>
      <c r="B15" s="153">
        <f>inputPrYr!$C$6</f>
        <v>2020</v>
      </c>
      <c r="C15" s="154">
        <v>2</v>
      </c>
      <c r="D15" s="82"/>
      <c r="E15" s="82"/>
      <c r="F15" s="155"/>
    </row>
    <row r="16" spans="1:6" ht="15" customHeight="1" x14ac:dyDescent="0.2">
      <c r="A16" s="147" t="s">
        <v>904</v>
      </c>
      <c r="B16" s="156"/>
      <c r="C16" s="154">
        <v>3</v>
      </c>
      <c r="D16" s="82"/>
      <c r="E16" s="82"/>
      <c r="F16" s="142"/>
    </row>
    <row r="17" spans="1:7" ht="15" customHeight="1" x14ac:dyDescent="0.2">
      <c r="A17" s="152" t="s">
        <v>262</v>
      </c>
      <c r="B17" s="98"/>
      <c r="C17" s="157">
        <v>4</v>
      </c>
      <c r="D17" s="82"/>
      <c r="E17" s="82"/>
      <c r="F17" s="142"/>
    </row>
    <row r="18" spans="1:7" ht="15" customHeight="1" x14ac:dyDescent="0.2">
      <c r="A18" s="152" t="s">
        <v>136</v>
      </c>
      <c r="B18" s="98"/>
      <c r="C18" s="157">
        <v>5</v>
      </c>
      <c r="D18" s="82"/>
      <c r="E18" s="82"/>
      <c r="F18" s="142"/>
    </row>
    <row r="19" spans="1:7" ht="15" customHeight="1" x14ac:dyDescent="0.2">
      <c r="A19" s="152" t="s">
        <v>137</v>
      </c>
      <c r="B19" s="98"/>
      <c r="C19" s="157">
        <v>6</v>
      </c>
      <c r="D19" s="82"/>
      <c r="E19" s="82"/>
      <c r="F19" s="142"/>
      <c r="G19" s="158"/>
    </row>
    <row r="20" spans="1:7" ht="15" customHeight="1" x14ac:dyDescent="0.2">
      <c r="A20" s="245" t="str">
        <f>IF(inputPrYr!D24="","","Computation to Determine State Library Grant")</f>
        <v/>
      </c>
      <c r="B20" s="89"/>
      <c r="C20" s="157" t="str">
        <f>IF(inputPrYr!D24="","",'Library Grant'!F40)</f>
        <v/>
      </c>
      <c r="D20" s="82"/>
      <c r="E20" s="82"/>
      <c r="F20" s="142"/>
      <c r="G20" s="158"/>
    </row>
    <row r="21" spans="1:7" ht="15" customHeight="1" x14ac:dyDescent="0.2">
      <c r="A21" s="159" t="s">
        <v>138</v>
      </c>
      <c r="B21" s="160" t="s">
        <v>139</v>
      </c>
      <c r="C21" s="161"/>
      <c r="D21" s="82"/>
      <c r="E21" s="82"/>
      <c r="F21" s="142"/>
    </row>
    <row r="22" spans="1:7" ht="15" customHeight="1" x14ac:dyDescent="0.2">
      <c r="A22" s="71" t="s">
        <v>119</v>
      </c>
      <c r="B22" s="162" t="str">
        <f>inputPrYr!C22</f>
        <v>12-101a</v>
      </c>
      <c r="C22" s="154">
        <f>IF(general!C78&gt;0,general!C78,"")</f>
        <v>7</v>
      </c>
      <c r="D22" s="389">
        <f>IF((general!$E$65)&lt;&gt;0,general!$E$65,"")</f>
        <v>439720</v>
      </c>
      <c r="E22" s="597">
        <f>IF((general!$E$72)&lt;&gt;0,(general!$E$72),0)</f>
        <v>112449</v>
      </c>
      <c r="F22" s="601" t="str">
        <f t="shared" ref="F22:F28" si="0">IF($F$39=0,"",ROUND(E22/$F$39*1000,3))</f>
        <v/>
      </c>
    </row>
    <row r="23" spans="1:7" ht="15" customHeight="1" x14ac:dyDescent="0.2">
      <c r="A23" s="71" t="s">
        <v>101</v>
      </c>
      <c r="B23" s="162" t="s">
        <v>276</v>
      </c>
      <c r="C23" s="154" t="str">
        <f>IF('DebtSvs-Library'!C89&gt;0,'DebtSvs-Library'!C89,"")</f>
        <v/>
      </c>
      <c r="D23" s="389" t="str">
        <f>IF(('DebtSvs-Library'!$E$34)&lt;&gt;0,('DebtSvs-Library'!$E$34),"")</f>
        <v/>
      </c>
      <c r="E23" s="597">
        <f>IF(('DebtSvs-Library'!$E$41)&lt;&gt;0,('DebtSvs-Library'!$E$41),0)</f>
        <v>0</v>
      </c>
      <c r="F23" s="601" t="str">
        <f t="shared" si="0"/>
        <v/>
      </c>
    </row>
    <row r="24" spans="1:7" ht="15" customHeight="1" x14ac:dyDescent="0.2">
      <c r="A24" s="92" t="str">
        <f>IF((inputPrYr!$B24&gt;"  "),(inputPrYr!$B24),"  ")</f>
        <v>Library</v>
      </c>
      <c r="B24" s="162" t="str">
        <f>IF((inputPrYr!$C24&gt;"  "),(inputPrYr!$C24),"  ")</f>
        <v>12-1220</v>
      </c>
      <c r="C24" s="154" t="str">
        <f>IF('DebtSvs-Library'!C89&gt;0,'DebtSvs-Library'!C89,"")</f>
        <v/>
      </c>
      <c r="D24" s="389" t="str">
        <f>IF(('DebtSvs-Library'!$E$75)&lt;&gt;0,('DebtSvs-Library'!$E$75),"")</f>
        <v/>
      </c>
      <c r="E24" s="597">
        <f>IF(('DebtSvs-Library'!$E$82)&lt;&gt;0,('DebtSvs-Library'!$E$82),0)</f>
        <v>0</v>
      </c>
      <c r="F24" s="601" t="str">
        <f t="shared" si="0"/>
        <v/>
      </c>
    </row>
    <row r="25" spans="1:7" ht="15" customHeight="1" x14ac:dyDescent="0.2">
      <c r="A25" s="92" t="str">
        <f>IF((inputPrYr!$B26&gt;"  "),(inputPrYr!$B26),"  ")</f>
        <v xml:space="preserve">  </v>
      </c>
      <c r="B25" s="162" t="str">
        <f>IF((inputPrYr!$C26&gt;"  "),(inputPrYr!$C26),"  ")</f>
        <v xml:space="preserve">  </v>
      </c>
      <c r="C25" s="154" t="str">
        <f>IF('levy page9'!C88&gt;0,'levy page9'!C88," ")</f>
        <v xml:space="preserve"> </v>
      </c>
      <c r="D25" s="389" t="str">
        <f>IF(('levy page9'!$E$34)&lt;&gt;0,('levy page9'!$E$34),"")</f>
        <v/>
      </c>
      <c r="E25" s="597">
        <f>IF(('levy page9'!$E$41)&lt;&gt;0,('levy page9'!$E$41),0)</f>
        <v>0</v>
      </c>
      <c r="F25" s="601" t="str">
        <f t="shared" si="0"/>
        <v/>
      </c>
    </row>
    <row r="26" spans="1:7" ht="15" customHeight="1" x14ac:dyDescent="0.2">
      <c r="A26" s="92" t="str">
        <f>IF((inputPrYr!$B27&gt;"  "),(inputPrYr!$B27),"  ")</f>
        <v xml:space="preserve">  </v>
      </c>
      <c r="B26" s="162" t="str">
        <f>IF((inputPrYr!$C27&gt;"  "),(inputPrYr!$C27),"  ")</f>
        <v xml:space="preserve">  </v>
      </c>
      <c r="C26" s="154" t="str">
        <f>IF('levy page9'!C88&gt;0,'levy page9'!C88," ")</f>
        <v xml:space="preserve"> </v>
      </c>
      <c r="D26" s="389" t="str">
        <f>IF(('levy page9'!$E$75)&lt;&gt;0,('levy page9'!$E$75),"")</f>
        <v/>
      </c>
      <c r="E26" s="597">
        <f>IF(('levy page9'!$E$82)&lt;&gt;0,('levy page9'!$E$82),0)</f>
        <v>0</v>
      </c>
      <c r="F26" s="601" t="str">
        <f t="shared" si="0"/>
        <v/>
      </c>
    </row>
    <row r="27" spans="1:7" ht="15" customHeight="1" x14ac:dyDescent="0.2">
      <c r="A27" s="92" t="str">
        <f>IF((inputPrYr!$B28&gt;"  "),(inputPrYr!$B28),"  ")</f>
        <v xml:space="preserve">  </v>
      </c>
      <c r="B27" s="162" t="str">
        <f>IF((inputPrYr!$C28&gt;"  "),(inputPrYr!$C28),"  ")</f>
        <v xml:space="preserve">  </v>
      </c>
      <c r="C27" s="154" t="str">
        <f>IF('levy page10'!C88&gt;0,'levy page10'!C88," ")</f>
        <v xml:space="preserve"> </v>
      </c>
      <c r="D27" s="389" t="str">
        <f>IF(('levy page10'!$E$34)&lt;&gt;0,('levy page10'!$E$34),"")</f>
        <v/>
      </c>
      <c r="E27" s="597">
        <f>IF(('levy page10'!$E$41)&lt;&gt;0,('levy page10'!$E$41),0)</f>
        <v>0</v>
      </c>
      <c r="F27" s="601" t="str">
        <f t="shared" si="0"/>
        <v/>
      </c>
    </row>
    <row r="28" spans="1:7" ht="15" customHeight="1" x14ac:dyDescent="0.2">
      <c r="A28" s="92" t="str">
        <f>IF((inputPrYr!$B29&gt;"  "),(inputPrYr!$B29),"  ")</f>
        <v xml:space="preserve">  </v>
      </c>
      <c r="B28" s="162" t="str">
        <f>IF((inputPrYr!$C29&gt;"  "),(inputPrYr!$C29),"  ")</f>
        <v xml:space="preserve">  </v>
      </c>
      <c r="C28" s="154" t="str">
        <f>IF('levy page10'!C88&gt;0,'levy page10'!C88," ")</f>
        <v xml:space="preserve"> </v>
      </c>
      <c r="D28" s="389" t="str">
        <f>IF(('levy page10'!$E$75)&lt;&gt;0,('levy page10'!$E$75),"")</f>
        <v/>
      </c>
      <c r="E28" s="597">
        <f>IF(('levy page10'!$E$82)&lt;&gt;0,('levy page10'!$E$82),0)</f>
        <v>0</v>
      </c>
      <c r="F28" s="601" t="str">
        <f t="shared" si="0"/>
        <v/>
      </c>
    </row>
    <row r="29" spans="1:7" ht="15" customHeight="1" x14ac:dyDescent="0.2">
      <c r="A29" s="164" t="str">
        <f>IF((inputPrYr!$B33&gt;"  "),(inputPrYr!$B33),"  ")</f>
        <v>Special Highway</v>
      </c>
      <c r="B29" s="98"/>
      <c r="C29" s="157">
        <f>IF(SpecHwy!C67&gt;0,SpecHwy!C67," ")</f>
        <v>8</v>
      </c>
      <c r="D29" s="389">
        <f>IF((SpecHwy!$E$25)&lt;&gt;0,(SpecHwy!$E$25),"")</f>
        <v>26000</v>
      </c>
      <c r="E29" s="204"/>
      <c r="F29" s="161"/>
    </row>
    <row r="30" spans="1:7" ht="15" customHeight="1" x14ac:dyDescent="0.2">
      <c r="A30" s="164" t="str">
        <f>IF((inputPrYr!$B34&gt;"  "),(inputPrYr!$B34),"  ")</f>
        <v>Special Parks</v>
      </c>
      <c r="B30" s="98"/>
      <c r="C30" s="157">
        <f>IF(SpecHwy!C67&gt;0,SpecHwy!C67," ")</f>
        <v>8</v>
      </c>
      <c r="D30" s="389">
        <f>IF((SpecHwy!$E$59)&lt;&gt;0,(SpecHwy!$E$59),"")</f>
        <v>50000</v>
      </c>
      <c r="E30" s="204"/>
      <c r="F30" s="161"/>
    </row>
    <row r="31" spans="1:7" ht="15" customHeight="1" x14ac:dyDescent="0.2">
      <c r="A31" s="165" t="str">
        <f>IF((inputPrYr!$B35&gt;"  "),(inputPrYr!$B35),"  ")</f>
        <v>Tourism</v>
      </c>
      <c r="B31" s="98"/>
      <c r="C31" s="157">
        <f>IF('Tourism-Water'!C73&gt;0,'Tourism-Water'!C73," ")</f>
        <v>9</v>
      </c>
      <c r="D31" s="389">
        <f>IF(('Tourism-Water'!$E$29)&lt;&gt;0,('Tourism-Water'!$E$29),"")</f>
        <v>5423</v>
      </c>
      <c r="E31" s="204"/>
      <c r="F31" s="161"/>
    </row>
    <row r="32" spans="1:7" ht="15" customHeight="1" x14ac:dyDescent="0.2">
      <c r="A32" s="165" t="str">
        <f>IF((inputPrYr!$B36&gt;"  "),(inputPrYr!$B36),"  ")</f>
        <v>Water</v>
      </c>
      <c r="B32" s="98"/>
      <c r="C32" s="157">
        <f>IF('Tourism-Water'!C73&gt;0,'Tourism-Water'!C73," ")</f>
        <v>9</v>
      </c>
      <c r="D32" s="389">
        <f>IF(('Tourism-Water'!$E$65)&lt;&gt;0,('Tourism-Water'!$E$65),"")</f>
        <v>273855</v>
      </c>
      <c r="E32" s="204"/>
      <c r="F32" s="161"/>
    </row>
    <row r="33" spans="1:6" ht="15" customHeight="1" x14ac:dyDescent="0.2">
      <c r="A33" s="165" t="str">
        <f>IF((inputPrYr!$B37&gt;"  "),(inputPrYr!$B37),"  ")</f>
        <v>Sewer</v>
      </c>
      <c r="B33" s="98"/>
      <c r="C33" s="157">
        <f>IF(Sewer!C68&gt;0,Sewer!C68," ")</f>
        <v>10</v>
      </c>
      <c r="D33" s="389">
        <f>IF((Sewer!$E$29)&lt;&gt;0,(Sewer!$E$29),"")</f>
        <v>103547</v>
      </c>
      <c r="E33" s="204"/>
      <c r="F33" s="161"/>
    </row>
    <row r="34" spans="1:6" ht="15" customHeight="1" x14ac:dyDescent="0.2">
      <c r="A34" s="166" t="str">
        <f>IF((inputPrYr!$B38&gt;"  "),(inputPrYr!$B38),"  ")</f>
        <v xml:space="preserve">  </v>
      </c>
      <c r="B34" s="98"/>
      <c r="C34" s="157">
        <f>IF(Sewer!C68&gt;0,Sewer!C68," ")</f>
        <v>10</v>
      </c>
      <c r="D34" s="389" t="str">
        <f>IF((Sewer!$E$60)&lt;&gt;0,(Sewer!$E$60),"")</f>
        <v/>
      </c>
      <c r="E34" s="204"/>
      <c r="F34" s="161"/>
    </row>
    <row r="35" spans="1:6" ht="15" customHeight="1" x14ac:dyDescent="0.2">
      <c r="A35" s="165" t="str">
        <f>IF((inputPrYr!$B40&gt;"  "),(inputPrYr!$B40),"  ")</f>
        <v xml:space="preserve">  </v>
      </c>
      <c r="B35" s="98"/>
      <c r="C35" s="157" t="str">
        <f>IF(Sinnolevy14!C57&gt;0,Sinnolevy14!C57," ")</f>
        <v xml:space="preserve"> </v>
      </c>
      <c r="D35" s="389" t="str">
        <f>IF((Sinnolevy14!$E$49)&lt;&gt;0,(Sinnolevy14!$E$49),"")</f>
        <v/>
      </c>
      <c r="E35" s="204"/>
      <c r="F35" s="161"/>
    </row>
    <row r="36" spans="1:6" ht="15" customHeight="1" thickBot="1" x14ac:dyDescent="0.25">
      <c r="A36" s="164" t="str">
        <f>IF((inputPrYr!$B43&gt;"  "),(nonbud!$A3),"  ")</f>
        <v>Non-Budgeted Funds</v>
      </c>
      <c r="B36" s="98"/>
      <c r="C36" s="157">
        <f>IF(nonbud!F37&gt;0,nonbud!F37," ")</f>
        <v>11</v>
      </c>
      <c r="D36" s="598"/>
      <c r="E36" s="599"/>
      <c r="F36" s="536"/>
    </row>
    <row r="37" spans="1:6" ht="16.5" customHeight="1" x14ac:dyDescent="0.2">
      <c r="A37" s="256" t="s">
        <v>708</v>
      </c>
      <c r="B37" s="97"/>
      <c r="C37" s="392" t="s">
        <v>140</v>
      </c>
      <c r="D37" s="600">
        <f>SUM(D22:D35)</f>
        <v>898545</v>
      </c>
      <c r="E37" s="600">
        <f>SUM(E22:E35)</f>
        <v>112449</v>
      </c>
      <c r="F37" s="535" t="str">
        <f>IF(SUM(F22:F36)=0,"",SUM(F22:F36))</f>
        <v/>
      </c>
    </row>
    <row r="38" spans="1:6" ht="15" customHeight="1" x14ac:dyDescent="0.2">
      <c r="A38" s="147" t="s">
        <v>22</v>
      </c>
      <c r="B38" s="156"/>
      <c r="C38" s="149">
        <f>summ!D51</f>
        <v>12</v>
      </c>
      <c r="D38" s="168"/>
      <c r="E38" s="56"/>
      <c r="F38" s="391" t="s">
        <v>267</v>
      </c>
    </row>
    <row r="39" spans="1:6" ht="15" customHeight="1" x14ac:dyDescent="0.2">
      <c r="A39" s="71" t="s">
        <v>112</v>
      </c>
      <c r="B39" s="72"/>
      <c r="C39" s="154" t="str">
        <f>IF(Nhood!C32&gt;0,Nhood!C32,"")</f>
        <v/>
      </c>
      <c r="D39" s="168"/>
      <c r="E39" s="56"/>
      <c r="F39" s="394"/>
    </row>
    <row r="40" spans="1:6" ht="15" customHeight="1" x14ac:dyDescent="0.2">
      <c r="A40" s="85"/>
      <c r="B40" s="82"/>
      <c r="C40" s="904"/>
      <c r="D40" s="905"/>
      <c r="E40" s="56"/>
      <c r="F40" s="935" t="str">
        <f>CONCATENATE("Nov 1, ",F1-1," Total Assessed Valuation")</f>
        <v>Nov 1, 2019 Total Assessed Valuation</v>
      </c>
    </row>
    <row r="41" spans="1:6" ht="15" customHeight="1" x14ac:dyDescent="0.2">
      <c r="A41" s="91" t="s">
        <v>1070</v>
      </c>
      <c r="B41" s="891"/>
      <c r="C41" s="906"/>
      <c r="D41" s="907"/>
      <c r="E41" s="909">
        <f>Comp3!J18</f>
        <v>113440</v>
      </c>
      <c r="F41" s="936"/>
    </row>
    <row r="42" spans="1:6" ht="15" customHeight="1" x14ac:dyDescent="0.2">
      <c r="A42" s="91" t="s">
        <v>1069</v>
      </c>
      <c r="B42" s="891"/>
      <c r="C42" s="906"/>
      <c r="D42" s="907"/>
      <c r="E42" s="412" t="str">
        <f>IF(E37&gt;E41,"YES","NO")</f>
        <v>NO</v>
      </c>
      <c r="F42" s="56"/>
    </row>
    <row r="43" spans="1:6" ht="15" customHeight="1" x14ac:dyDescent="0.2">
      <c r="A43" s="421"/>
      <c r="B43" s="419"/>
      <c r="C43" s="422"/>
      <c r="D43" s="423"/>
      <c r="E43" s="424"/>
      <c r="F43" s="56"/>
    </row>
    <row r="44" spans="1:6" ht="15" customHeight="1" x14ac:dyDescent="0.2">
      <c r="A44" s="59" t="s">
        <v>141</v>
      </c>
      <c r="B44" s="82"/>
      <c r="C44" s="169"/>
      <c r="D44" s="82"/>
      <c r="E44" s="56"/>
      <c r="F44" s="435"/>
    </row>
    <row r="45" spans="1:6" ht="15" customHeight="1" x14ac:dyDescent="0.2">
      <c r="A45" s="337"/>
      <c r="B45" s="56"/>
      <c r="C45" s="56"/>
      <c r="D45" s="419"/>
      <c r="E45" s="420"/>
      <c r="F45" s="82"/>
    </row>
    <row r="46" spans="1:6" ht="15" customHeight="1" x14ac:dyDescent="0.2">
      <c r="A46" s="170"/>
      <c r="B46" s="56"/>
      <c r="C46" s="435" t="s">
        <v>777</v>
      </c>
      <c r="D46" s="82"/>
      <c r="E46" s="435"/>
      <c r="F46" s="82"/>
    </row>
    <row r="47" spans="1:6" ht="15" customHeight="1" x14ac:dyDescent="0.2">
      <c r="A47" s="56" t="s">
        <v>275</v>
      </c>
      <c r="B47" s="82"/>
      <c r="C47" s="82"/>
      <c r="D47" s="82"/>
      <c r="E47" s="82"/>
      <c r="F47" s="82"/>
    </row>
    <row r="48" spans="1:6" ht="15" customHeight="1" x14ac:dyDescent="0.2">
      <c r="A48" s="337"/>
      <c r="B48" s="336"/>
      <c r="C48" s="435" t="s">
        <v>777</v>
      </c>
      <c r="D48" s="82"/>
      <c r="E48" s="82"/>
      <c r="F48" s="602"/>
    </row>
    <row r="49" spans="1:6" ht="15" customHeight="1" x14ac:dyDescent="0.2">
      <c r="A49" s="170"/>
      <c r="B49" s="82"/>
      <c r="C49" s="85"/>
      <c r="D49" s="82"/>
      <c r="E49" s="82"/>
      <c r="F49" s="602"/>
    </row>
    <row r="50" spans="1:6" ht="15" customHeight="1" x14ac:dyDescent="0.2">
      <c r="A50" s="82" t="s">
        <v>903</v>
      </c>
      <c r="B50" s="56"/>
      <c r="C50" s="435" t="s">
        <v>777</v>
      </c>
      <c r="D50" s="82"/>
      <c r="E50" s="602"/>
      <c r="F50" s="602"/>
    </row>
    <row r="51" spans="1:6" ht="15" customHeight="1" x14ac:dyDescent="0.2">
      <c r="A51" s="337"/>
      <c r="B51" s="59"/>
      <c r="C51" s="82"/>
      <c r="D51" s="82"/>
      <c r="E51" s="602"/>
      <c r="F51" s="602"/>
    </row>
    <row r="52" spans="1:6" ht="15" customHeight="1" x14ac:dyDescent="0.2">
      <c r="A52" s="336"/>
      <c r="B52" s="56"/>
      <c r="C52" s="435" t="s">
        <v>777</v>
      </c>
      <c r="D52" s="82"/>
      <c r="E52" s="602"/>
      <c r="F52" s="602"/>
    </row>
    <row r="53" spans="1:6" ht="15" customHeight="1" x14ac:dyDescent="0.2">
      <c r="A53" s="56"/>
      <c r="B53" s="56"/>
      <c r="C53" s="82"/>
      <c r="D53" s="82"/>
      <c r="E53" s="602"/>
      <c r="F53" s="604"/>
    </row>
    <row r="54" spans="1:6" ht="15" customHeight="1" x14ac:dyDescent="0.2">
      <c r="A54" s="60" t="s">
        <v>21</v>
      </c>
      <c r="B54" s="171">
        <f>inputPrYr!$C$6-1</f>
        <v>2019</v>
      </c>
      <c r="C54" s="435" t="s">
        <v>777</v>
      </c>
      <c r="D54" s="82"/>
      <c r="E54" s="602"/>
      <c r="F54" s="602"/>
    </row>
    <row r="55" spans="1:6" ht="15" customHeight="1" x14ac:dyDescent="0.2">
      <c r="A55" s="56"/>
      <c r="B55" s="56"/>
      <c r="C55" s="602"/>
      <c r="D55" s="602"/>
      <c r="E55" s="603"/>
      <c r="F55" s="902"/>
    </row>
    <row r="56" spans="1:6" ht="15" customHeight="1" x14ac:dyDescent="0.2">
      <c r="A56" s="541"/>
      <c r="B56" s="56"/>
      <c r="C56" s="435" t="s">
        <v>777</v>
      </c>
      <c r="D56" s="82"/>
      <c r="E56" s="602"/>
      <c r="F56" s="82"/>
    </row>
    <row r="57" spans="1:6" ht="15" customHeight="1" x14ac:dyDescent="0.2">
      <c r="A57" s="69" t="s">
        <v>143</v>
      </c>
      <c r="B57" s="56"/>
      <c r="C57" s="902" t="s">
        <v>142</v>
      </c>
      <c r="D57" s="902"/>
      <c r="E57" s="902"/>
      <c r="F57" s="82"/>
    </row>
    <row r="58" spans="1:6" ht="15" customHeight="1" x14ac:dyDescent="0.2">
      <c r="A58" s="82"/>
      <c r="B58" s="82"/>
      <c r="C58" s="82"/>
      <c r="D58" s="82"/>
      <c r="E58" s="82"/>
      <c r="F58" s="82"/>
    </row>
    <row r="59" spans="1:6" ht="15" customHeight="1" x14ac:dyDescent="0.2">
      <c r="A59" s="795"/>
      <c r="B59" s="113"/>
      <c r="C59" s="113"/>
      <c r="D59" s="113"/>
      <c r="E59" s="113"/>
      <c r="F59" s="155"/>
    </row>
    <row r="60" spans="1:6" ht="15" customHeight="1" x14ac:dyDescent="0.2">
      <c r="A60" s="86"/>
      <c r="B60" s="82"/>
      <c r="C60" s="82"/>
      <c r="D60" s="82"/>
      <c r="E60" s="82"/>
      <c r="F60" s="142"/>
    </row>
    <row r="61" spans="1:6" ht="15" hidden="1" customHeight="1" x14ac:dyDescent="0.2">
      <c r="A61" s="86"/>
      <c r="B61" s="82"/>
      <c r="C61" s="82"/>
      <c r="D61" s="82"/>
      <c r="E61" s="82"/>
      <c r="F61" s="142"/>
    </row>
    <row r="62" spans="1:6" ht="15" customHeight="1" x14ac:dyDescent="0.2">
      <c r="A62" s="166"/>
      <c r="B62" s="78"/>
      <c r="C62" s="78"/>
      <c r="D62" s="78"/>
      <c r="E62" s="78"/>
      <c r="F62" s="89"/>
    </row>
    <row r="63" spans="1:6" ht="15" customHeight="1" x14ac:dyDescent="0.2">
      <c r="A63" s="56"/>
      <c r="B63" s="56"/>
      <c r="C63" s="56"/>
      <c r="D63" s="56"/>
      <c r="E63" s="56"/>
      <c r="F63" s="56"/>
    </row>
    <row r="64" spans="1:6" ht="15" customHeight="1" x14ac:dyDescent="0.2">
      <c r="D64" s="396"/>
    </row>
  </sheetData>
  <mergeCells count="3">
    <mergeCell ref="A3:F3"/>
    <mergeCell ref="E12:E14"/>
    <mergeCell ref="F40:F41"/>
  </mergeCells>
  <phoneticPr fontId="0" type="noConversion"/>
  <pageMargins left="1" right="0.5" top="1" bottom="0.5" header="0.5" footer="0.5"/>
  <pageSetup scale="76" orientation="portrait" blackAndWhite="1" horizontalDpi="120" verticalDpi="144" r:id="rId1"/>
  <headerFooter alignWithMargins="0">
    <oddHeader xml:space="preserve">&amp;RState of Kansas
City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O52"/>
  <sheetViews>
    <sheetView zoomScale="85" zoomScaleNormal="85" workbookViewId="0">
      <selection sqref="A1:J51"/>
    </sheetView>
  </sheetViews>
  <sheetFormatPr defaultColWidth="8.88671875" defaultRowHeight="15.95" customHeight="1" x14ac:dyDescent="0.2"/>
  <cols>
    <col min="1" max="1" width="2.88671875" style="43" customWidth="1"/>
    <col min="2" max="2" width="3.33203125" style="43" customWidth="1"/>
    <col min="3" max="3" width="31.33203125" style="43" customWidth="1"/>
    <col min="4" max="4" width="2.33203125" style="43" customWidth="1"/>
    <col min="5" max="5" width="19.21875" style="43" customWidth="1"/>
    <col min="6" max="6" width="2" style="43" customWidth="1"/>
    <col min="7" max="7" width="15.77734375" style="43" customWidth="1"/>
    <col min="8" max="8" width="1.88671875" style="43" customWidth="1"/>
    <col min="9" max="9" width="1.77734375" style="43" customWidth="1"/>
    <col min="10" max="10" width="15.77734375" style="43" customWidth="1"/>
    <col min="11" max="16384" width="8.88671875" style="43"/>
  </cols>
  <sheetData>
    <row r="1" spans="1:13" ht="15.95" customHeight="1" x14ac:dyDescent="0.2">
      <c r="A1" s="56"/>
      <c r="B1" s="56"/>
      <c r="C1" s="173" t="str">
        <f>inputPrYr!D3</f>
        <v>City of Strong City</v>
      </c>
      <c r="D1" s="56"/>
      <c r="E1" s="56"/>
      <c r="F1" s="56"/>
      <c r="G1" s="56"/>
      <c r="H1" s="56"/>
      <c r="I1" s="56"/>
      <c r="J1" s="135">
        <f>inputPrYr!C6</f>
        <v>2020</v>
      </c>
    </row>
    <row r="2" spans="1:13" ht="15.95" customHeight="1" x14ac:dyDescent="0.2">
      <c r="A2" s="56"/>
      <c r="B2" s="56"/>
      <c r="C2" s="56"/>
      <c r="D2" s="56"/>
      <c r="E2" s="56"/>
      <c r="F2" s="56"/>
      <c r="G2" s="56"/>
      <c r="H2" s="56"/>
      <c r="I2" s="56"/>
      <c r="J2" s="56"/>
    </row>
    <row r="3" spans="1:13" ht="15.75" x14ac:dyDescent="0.2">
      <c r="A3" s="62" t="str">
        <f>CONCATENATE("Computation to Determine Limit for ",J1)</f>
        <v>Computation to Determine Limit for 2020</v>
      </c>
      <c r="B3" s="704"/>
      <c r="C3" s="704"/>
      <c r="D3" s="704"/>
      <c r="E3" s="704"/>
      <c r="F3" s="704"/>
      <c r="G3" s="704"/>
      <c r="H3" s="704"/>
      <c r="I3" s="704"/>
      <c r="J3" s="704"/>
    </row>
    <row r="4" spans="1:13" ht="15.75" x14ac:dyDescent="0.2">
      <c r="A4" s="56"/>
      <c r="B4" s="56"/>
      <c r="C4" s="56"/>
      <c r="D4" s="56"/>
      <c r="E4" s="937"/>
      <c r="F4" s="937"/>
      <c r="G4" s="937"/>
      <c r="H4" s="174"/>
      <c r="I4" s="56"/>
      <c r="J4" s="175" t="s">
        <v>218</v>
      </c>
    </row>
    <row r="5" spans="1:13" ht="15.75" x14ac:dyDescent="0.2">
      <c r="A5" s="823" t="s">
        <v>219</v>
      </c>
      <c r="B5" s="56" t="str">
        <f>CONCATENATE("Total tax levy amount in ",J1-1," budget")</f>
        <v>Total tax levy amount in 2019 budget</v>
      </c>
      <c r="C5" s="56"/>
      <c r="D5" s="56"/>
      <c r="E5" s="74"/>
      <c r="F5" s="74"/>
      <c r="G5" s="74"/>
      <c r="H5" s="177" t="s">
        <v>220</v>
      </c>
      <c r="I5" s="74" t="s">
        <v>221</v>
      </c>
      <c r="J5" s="178">
        <f>inputPrYr!E30</f>
        <v>110544</v>
      </c>
    </row>
    <row r="6" spans="1:13" ht="15.75" x14ac:dyDescent="0.2">
      <c r="A6" s="823" t="s">
        <v>222</v>
      </c>
      <c r="B6" s="56" t="str">
        <f>CONCATENATE("Library levy in ",J1-1, " budget")</f>
        <v>Library levy in 2019 budget</v>
      </c>
      <c r="C6" s="56"/>
      <c r="D6" s="56"/>
      <c r="E6" s="74"/>
      <c r="F6" s="74"/>
      <c r="G6" s="74"/>
      <c r="H6" s="177" t="s">
        <v>223</v>
      </c>
      <c r="I6" s="74" t="s">
        <v>221</v>
      </c>
      <c r="J6" s="901"/>
    </row>
    <row r="7" spans="1:13" ht="15.75" x14ac:dyDescent="0.2">
      <c r="A7" s="176"/>
      <c r="B7" s="56" t="str">
        <f>CONCATENATE("Other tax entity levy in ",J1-1, " budget")</f>
        <v>Other tax entity levy in 2019 budget</v>
      </c>
      <c r="C7" s="56"/>
      <c r="D7" s="56"/>
      <c r="E7" s="74"/>
      <c r="F7" s="74"/>
      <c r="G7" s="74"/>
      <c r="H7" s="177" t="s">
        <v>223</v>
      </c>
      <c r="I7" s="74" t="s">
        <v>221</v>
      </c>
      <c r="J7" s="901"/>
    </row>
    <row r="8" spans="1:13" ht="15.75" x14ac:dyDescent="0.2">
      <c r="A8" s="823" t="s">
        <v>247</v>
      </c>
      <c r="B8" s="56" t="s">
        <v>1013</v>
      </c>
      <c r="C8" s="56"/>
      <c r="D8" s="56"/>
      <c r="E8" s="74"/>
      <c r="F8" s="74"/>
      <c r="G8" s="74"/>
      <c r="H8" s="74"/>
      <c r="I8" s="74" t="s">
        <v>221</v>
      </c>
      <c r="J8" s="79">
        <f>J5-J6-J7</f>
        <v>110544</v>
      </c>
    </row>
    <row r="9" spans="1:13" ht="15.75" x14ac:dyDescent="0.2">
      <c r="A9" s="56"/>
      <c r="B9" s="56"/>
      <c r="C9" s="56"/>
      <c r="D9" s="56"/>
      <c r="E9" s="74"/>
      <c r="F9" s="74"/>
      <c r="G9" s="74"/>
      <c r="H9" s="74"/>
      <c r="I9" s="74"/>
      <c r="J9" s="74"/>
    </row>
    <row r="10" spans="1:13" ht="15.75" x14ac:dyDescent="0.2">
      <c r="A10" s="937" t="str">
        <f>CONCATENATE(J1," Budget Percentage Adjustments")</f>
        <v>2020 Budget Percentage Adjustments</v>
      </c>
      <c r="B10" s="913"/>
      <c r="C10" s="913"/>
      <c r="D10" s="913"/>
      <c r="E10" s="913"/>
      <c r="F10" s="913"/>
      <c r="G10" s="913"/>
      <c r="H10" s="913"/>
      <c r="I10" s="913"/>
      <c r="J10" s="913"/>
    </row>
    <row r="11" spans="1:13" ht="15.75" x14ac:dyDescent="0.2">
      <c r="A11" s="56"/>
      <c r="B11" s="56"/>
      <c r="C11" s="56"/>
      <c r="D11" s="56"/>
      <c r="E11" s="74"/>
      <c r="F11" s="74"/>
      <c r="G11" s="74"/>
      <c r="H11" s="74"/>
      <c r="I11" s="74"/>
      <c r="J11" s="74"/>
    </row>
    <row r="12" spans="1:13" ht="15.75" x14ac:dyDescent="0.2">
      <c r="A12" s="823" t="s">
        <v>224</v>
      </c>
      <c r="B12" s="56" t="str">
        <f>CONCATENATE("New improvements, remodeling and renovations for ",J1-1," :")</f>
        <v>New improvements, remodeling and renovations for 2019 :</v>
      </c>
      <c r="C12" s="56"/>
      <c r="D12" s="56"/>
      <c r="E12" s="177"/>
      <c r="F12" s="177" t="s">
        <v>220</v>
      </c>
      <c r="G12" s="178">
        <f>inputOth!E8</f>
        <v>5269</v>
      </c>
      <c r="H12" s="179"/>
      <c r="I12" s="74"/>
      <c r="J12" s="74"/>
    </row>
    <row r="13" spans="1:13" ht="15.75" x14ac:dyDescent="0.2">
      <c r="A13" s="176"/>
      <c r="B13" s="180"/>
      <c r="C13" s="56"/>
      <c r="D13" s="56"/>
      <c r="E13" s="177"/>
      <c r="F13" s="177"/>
      <c r="G13" s="179"/>
      <c r="H13" s="179"/>
      <c r="I13" s="74"/>
      <c r="J13" s="74"/>
    </row>
    <row r="14" spans="1:13" ht="15.75" x14ac:dyDescent="0.2">
      <c r="A14" s="823" t="s">
        <v>225</v>
      </c>
      <c r="B14" s="56" t="str">
        <f>CONCATENATE("Increase in personal property for ",J1-1," :")</f>
        <v>Increase in personal property for 2019 :</v>
      </c>
      <c r="C14" s="56"/>
      <c r="D14" s="56"/>
      <c r="E14" s="177"/>
      <c r="F14" s="177"/>
      <c r="G14" s="179"/>
      <c r="H14" s="179"/>
      <c r="I14" s="74"/>
      <c r="J14" s="74"/>
    </row>
    <row r="15" spans="1:13" ht="15.75" x14ac:dyDescent="0.2">
      <c r="A15" s="181"/>
      <c r="B15" s="56" t="s">
        <v>226</v>
      </c>
      <c r="C15" s="56" t="str">
        <f>CONCATENATE("Personal property ",J1-1)</f>
        <v>Personal property 2019</v>
      </c>
      <c r="D15" s="180" t="s">
        <v>220</v>
      </c>
      <c r="E15" s="178">
        <f>inputOth!E9</f>
        <v>24368</v>
      </c>
      <c r="F15" s="177"/>
      <c r="G15" s="74"/>
      <c r="H15" s="74"/>
      <c r="I15" s="179"/>
      <c r="J15" s="74"/>
      <c r="M15" s="44"/>
    </row>
    <row r="16" spans="1:13" ht="15.75" x14ac:dyDescent="0.2">
      <c r="A16" s="180"/>
      <c r="B16" s="56" t="s">
        <v>227</v>
      </c>
      <c r="C16" s="56" t="str">
        <f>CONCATENATE("Personal property ",J1-2)</f>
        <v>Personal property 2018</v>
      </c>
      <c r="D16" s="180" t="s">
        <v>223</v>
      </c>
      <c r="E16" s="79">
        <f>inputOth!E15</f>
        <v>24012</v>
      </c>
      <c r="F16" s="177"/>
      <c r="G16" s="179"/>
      <c r="H16" s="179"/>
      <c r="I16" s="74"/>
      <c r="J16" s="74"/>
    </row>
    <row r="17" spans="1:15" ht="15.75" x14ac:dyDescent="0.2">
      <c r="A17" s="180"/>
      <c r="B17" s="56" t="s">
        <v>228</v>
      </c>
      <c r="C17" s="56" t="s">
        <v>930</v>
      </c>
      <c r="D17" s="56"/>
      <c r="E17" s="74"/>
      <c r="F17" s="74" t="s">
        <v>220</v>
      </c>
      <c r="G17" s="178">
        <f>IF(E15&gt;E16,E15-E16,0)</f>
        <v>356</v>
      </c>
      <c r="H17" s="179"/>
      <c r="I17" s="74"/>
      <c r="J17" s="74"/>
    </row>
    <row r="18" spans="1:15" ht="15.75" x14ac:dyDescent="0.2">
      <c r="A18" s="180"/>
      <c r="B18" s="180"/>
      <c r="C18" s="56"/>
      <c r="D18" s="56"/>
      <c r="E18" s="74"/>
      <c r="F18" s="74"/>
      <c r="G18" s="179" t="s">
        <v>241</v>
      </c>
      <c r="H18" s="179"/>
      <c r="I18" s="74"/>
      <c r="J18" s="74"/>
    </row>
    <row r="19" spans="1:15" ht="15.75" x14ac:dyDescent="0.2">
      <c r="A19" s="180" t="s">
        <v>229</v>
      </c>
      <c r="B19" s="56" t="str">
        <f>CONCATENATE("Valuation of annexed territory for ",J1-1," :")</f>
        <v>Valuation of annexed territory for 2019 :</v>
      </c>
      <c r="C19" s="56"/>
      <c r="D19" s="56"/>
      <c r="E19" s="179"/>
      <c r="F19" s="74"/>
      <c r="G19" s="74"/>
      <c r="H19" s="74"/>
      <c r="I19" s="74"/>
      <c r="J19" s="74"/>
    </row>
    <row r="20" spans="1:15" ht="15.75" x14ac:dyDescent="0.2">
      <c r="A20" s="180"/>
      <c r="B20" s="56" t="s">
        <v>230</v>
      </c>
      <c r="C20" s="56" t="s">
        <v>931</v>
      </c>
      <c r="D20" s="180" t="s">
        <v>220</v>
      </c>
      <c r="E20" s="178">
        <f>inputOth!E11</f>
        <v>0</v>
      </c>
      <c r="F20" s="74"/>
      <c r="G20" s="74"/>
      <c r="H20" s="74"/>
      <c r="I20" s="74"/>
      <c r="J20" s="74"/>
      <c r="O20" s="44"/>
    </row>
    <row r="21" spans="1:15" ht="15.75" x14ac:dyDescent="0.2">
      <c r="A21" s="180"/>
      <c r="B21" s="56" t="s">
        <v>231</v>
      </c>
      <c r="C21" s="56" t="s">
        <v>932</v>
      </c>
      <c r="D21" s="180" t="s">
        <v>220</v>
      </c>
      <c r="E21" s="79">
        <f>inputOth!E12</f>
        <v>0</v>
      </c>
      <c r="F21" s="74"/>
      <c r="G21" s="179"/>
      <c r="H21" s="179"/>
      <c r="I21" s="74"/>
      <c r="J21" s="74"/>
    </row>
    <row r="22" spans="1:15" ht="15.75" x14ac:dyDescent="0.2">
      <c r="A22" s="180"/>
      <c r="B22" s="56" t="s">
        <v>232</v>
      </c>
      <c r="C22" s="56" t="s">
        <v>933</v>
      </c>
      <c r="D22" s="180" t="s">
        <v>220</v>
      </c>
      <c r="E22" s="79">
        <f>inputOth!E13</f>
        <v>0</v>
      </c>
      <c r="F22" s="74"/>
      <c r="G22" s="179"/>
      <c r="H22" s="179"/>
      <c r="I22" s="74"/>
      <c r="J22" s="74"/>
    </row>
    <row r="23" spans="1:15" ht="15.75" x14ac:dyDescent="0.2">
      <c r="A23" s="180"/>
      <c r="B23" s="56" t="s">
        <v>233</v>
      </c>
      <c r="C23" s="56" t="s">
        <v>934</v>
      </c>
      <c r="D23" s="180"/>
      <c r="E23" s="179"/>
      <c r="F23" s="74" t="s">
        <v>220</v>
      </c>
      <c r="G23" s="178">
        <f>E20+E21+E22</f>
        <v>0</v>
      </c>
      <c r="H23" s="179"/>
      <c r="I23" s="74"/>
      <c r="J23" s="74"/>
    </row>
    <row r="24" spans="1:15" ht="15.75" x14ac:dyDescent="0.2">
      <c r="A24" s="180"/>
      <c r="B24" s="180"/>
      <c r="C24" s="56"/>
      <c r="D24" s="180"/>
      <c r="E24" s="179"/>
      <c r="F24" s="74"/>
      <c r="G24" s="179"/>
      <c r="H24" s="179"/>
      <c r="I24" s="74"/>
      <c r="J24" s="74"/>
    </row>
    <row r="25" spans="1:15" ht="15.75" x14ac:dyDescent="0.2">
      <c r="A25" s="180" t="s">
        <v>234</v>
      </c>
      <c r="B25" s="56" t="str">
        <f>CONCATENATE("Valuation of property that has changed in use during ",J1-1," :")</f>
        <v>Valuation of property that has changed in use during 2019 :</v>
      </c>
      <c r="C25" s="56"/>
      <c r="D25" s="56"/>
      <c r="E25" s="74"/>
      <c r="F25" s="177" t="s">
        <v>220</v>
      </c>
      <c r="G25" s="178">
        <f>inputOth!E14</f>
        <v>17725</v>
      </c>
      <c r="H25" s="74"/>
      <c r="I25" s="74"/>
      <c r="J25" s="74"/>
    </row>
    <row r="26" spans="1:15" ht="15.75" x14ac:dyDescent="0.2">
      <c r="A26" s="180"/>
      <c r="B26" s="56"/>
      <c r="C26" s="56"/>
      <c r="D26" s="56"/>
      <c r="E26" s="74"/>
      <c r="F26" s="177"/>
      <c r="G26" s="179"/>
      <c r="H26" s="74"/>
      <c r="I26" s="74"/>
      <c r="J26" s="74"/>
    </row>
    <row r="27" spans="1:15" ht="15.75" x14ac:dyDescent="0.2">
      <c r="A27" s="824" t="s">
        <v>235</v>
      </c>
      <c r="B27" s="56" t="s">
        <v>1014</v>
      </c>
      <c r="C27" s="56"/>
      <c r="D27" s="56"/>
      <c r="E27" s="74"/>
      <c r="F27" s="177" t="s">
        <v>220</v>
      </c>
      <c r="G27" s="74">
        <f>inputOth!E16</f>
        <v>0</v>
      </c>
      <c r="H27" s="74"/>
      <c r="I27" s="74"/>
      <c r="J27" s="74"/>
    </row>
    <row r="28" spans="1:15" ht="15.75" x14ac:dyDescent="0.2">
      <c r="A28" s="824"/>
      <c r="B28" s="56"/>
      <c r="C28" s="56"/>
      <c r="D28" s="56"/>
      <c r="E28" s="74"/>
      <c r="F28" s="177"/>
      <c r="G28" s="179"/>
      <c r="H28" s="74"/>
      <c r="I28" s="74"/>
      <c r="J28" s="74"/>
    </row>
    <row r="29" spans="1:15" ht="15.75" x14ac:dyDescent="0.2">
      <c r="A29" s="824" t="s">
        <v>236</v>
      </c>
      <c r="B29" s="56" t="s">
        <v>1015</v>
      </c>
      <c r="C29" s="56"/>
      <c r="D29" s="56"/>
      <c r="E29" s="74"/>
      <c r="F29" s="177" t="s">
        <v>220</v>
      </c>
      <c r="G29" s="842"/>
      <c r="H29" s="74"/>
      <c r="I29" s="74"/>
      <c r="J29" s="74"/>
    </row>
    <row r="30" spans="1:15" ht="15.75" x14ac:dyDescent="0.2">
      <c r="A30" s="824"/>
      <c r="B30" s="56" t="s">
        <v>1016</v>
      </c>
      <c r="C30" s="56"/>
      <c r="D30" s="56"/>
      <c r="E30" s="74"/>
      <c r="F30" s="177"/>
      <c r="G30" s="179"/>
      <c r="H30" s="74"/>
      <c r="I30" s="74"/>
      <c r="J30" s="74"/>
    </row>
    <row r="31" spans="1:15" ht="15.75" x14ac:dyDescent="0.2">
      <c r="A31" s="56" t="s">
        <v>128</v>
      </c>
      <c r="B31" s="56"/>
      <c r="C31" s="56"/>
      <c r="D31" s="180"/>
      <c r="E31" s="179"/>
      <c r="F31" s="74"/>
      <c r="G31" s="74"/>
      <c r="H31" s="74"/>
      <c r="I31" s="74"/>
      <c r="J31" s="74"/>
    </row>
    <row r="32" spans="1:15" ht="15.75" x14ac:dyDescent="0.25">
      <c r="A32" s="825" t="s">
        <v>237</v>
      </c>
      <c r="B32" s="56" t="s">
        <v>1055</v>
      </c>
      <c r="C32" s="56"/>
      <c r="D32" s="56"/>
      <c r="E32" s="74"/>
      <c r="F32" s="74"/>
      <c r="G32" s="178">
        <f>G12+G17+G23+G25+G27+G29</f>
        <v>23350</v>
      </c>
      <c r="H32" s="179"/>
      <c r="I32" s="74"/>
      <c r="J32" s="74"/>
    </row>
    <row r="33" spans="1:10" ht="15.75" x14ac:dyDescent="0.25">
      <c r="A33" s="825"/>
      <c r="B33" s="180"/>
      <c r="C33" s="56"/>
      <c r="D33" s="56"/>
      <c r="E33" s="74"/>
      <c r="F33" s="74"/>
      <c r="G33" s="179"/>
      <c r="H33" s="179"/>
      <c r="I33" s="74"/>
      <c r="J33" s="74"/>
    </row>
    <row r="34" spans="1:10" ht="15.75" x14ac:dyDescent="0.25">
      <c r="A34" s="825" t="s">
        <v>238</v>
      </c>
      <c r="B34" s="56" t="str">
        <f>CONCATENATE("Total estimated valuation July 1, ",J1-1)</f>
        <v>Total estimated valuation July 1, 2019</v>
      </c>
      <c r="C34" s="56"/>
      <c r="D34" s="56"/>
      <c r="E34" s="178">
        <f>inputOth!E7</f>
        <v>2108621</v>
      </c>
      <c r="F34" s="74"/>
      <c r="G34" s="74"/>
      <c r="H34" s="74"/>
      <c r="I34" s="177"/>
      <c r="J34" s="74"/>
    </row>
    <row r="35" spans="1:10" ht="15.75" x14ac:dyDescent="0.25">
      <c r="A35" s="825"/>
      <c r="B35" s="180"/>
      <c r="C35" s="56"/>
      <c r="D35" s="56"/>
      <c r="E35" s="179"/>
      <c r="F35" s="74"/>
      <c r="G35" s="74"/>
      <c r="H35" s="74"/>
      <c r="I35" s="177"/>
      <c r="J35" s="74"/>
    </row>
    <row r="36" spans="1:10" ht="15.75" x14ac:dyDescent="0.25">
      <c r="A36" s="825" t="s">
        <v>239</v>
      </c>
      <c r="B36" s="56" t="s">
        <v>1017</v>
      </c>
      <c r="C36" s="56"/>
      <c r="D36" s="56"/>
      <c r="E36" s="56"/>
      <c r="F36" s="56"/>
      <c r="G36" s="826">
        <f>G32/(E34-G32)</f>
        <v>1.1197585349817841E-2</v>
      </c>
      <c r="H36" s="82"/>
      <c r="I36" s="56"/>
      <c r="J36" s="56"/>
    </row>
    <row r="37" spans="1:10" ht="15.75" x14ac:dyDescent="0.25">
      <c r="A37" s="825"/>
      <c r="B37" s="180"/>
      <c r="C37" s="56"/>
      <c r="D37" s="56"/>
      <c r="E37" s="56"/>
      <c r="F37" s="56"/>
      <c r="G37" s="82"/>
      <c r="H37" s="82"/>
      <c r="I37" s="56"/>
      <c r="J37" s="56"/>
    </row>
    <row r="38" spans="1:10" ht="15.75" x14ac:dyDescent="0.25">
      <c r="A38" s="825" t="s">
        <v>240</v>
      </c>
      <c r="B38" s="56" t="s">
        <v>1018</v>
      </c>
      <c r="C38" s="56"/>
      <c r="D38" s="56"/>
      <c r="E38" s="56"/>
      <c r="F38" s="56"/>
      <c r="G38" s="82"/>
      <c r="H38" s="183" t="s">
        <v>220</v>
      </c>
      <c r="I38" s="56" t="s">
        <v>221</v>
      </c>
      <c r="J38" s="178">
        <f>ROUND(G36*J8,0)</f>
        <v>1238</v>
      </c>
    </row>
    <row r="39" spans="1:10" ht="15.75" x14ac:dyDescent="0.25">
      <c r="A39" s="827"/>
      <c r="B39" s="710"/>
      <c r="C39" s="710"/>
      <c r="D39" s="710"/>
      <c r="E39" s="710"/>
      <c r="F39" s="710"/>
      <c r="G39" s="710"/>
      <c r="H39" s="710"/>
      <c r="I39" s="710"/>
      <c r="J39" s="708"/>
    </row>
    <row r="40" spans="1:10" ht="15.75" x14ac:dyDescent="0.25">
      <c r="A40" s="827" t="s">
        <v>254</v>
      </c>
      <c r="B40" s="710" t="str">
        <f>CONCATENATE("Consumer Price Index for all urban consumers for calendar year ",J1-2," (5 year average)")</f>
        <v>Consumer Price Index for all urban consumers for calendar year 2018 (5 year average)</v>
      </c>
      <c r="C40" s="710"/>
      <c r="D40" s="710"/>
      <c r="E40" s="710"/>
      <c r="F40" s="710"/>
      <c r="G40" s="710"/>
      <c r="H40" s="710"/>
      <c r="I40" s="710"/>
      <c r="J40" s="828">
        <f>inputPrYr!C8</f>
        <v>1.4999999999999999E-2</v>
      </c>
    </row>
    <row r="41" spans="1:10" ht="15.75" x14ac:dyDescent="0.25">
      <c r="A41" s="827"/>
      <c r="B41" s="710"/>
      <c r="C41" s="710"/>
      <c r="D41" s="710"/>
      <c r="E41" s="710"/>
      <c r="F41" s="710"/>
      <c r="G41" s="710"/>
      <c r="H41" s="710"/>
      <c r="I41" s="710"/>
      <c r="J41" s="712"/>
    </row>
    <row r="42" spans="1:10" ht="15.75" x14ac:dyDescent="0.25">
      <c r="A42" s="827" t="s">
        <v>255</v>
      </c>
      <c r="B42" s="710" t="s">
        <v>1019</v>
      </c>
      <c r="C42" s="710"/>
      <c r="D42" s="710"/>
      <c r="E42" s="710"/>
      <c r="F42" s="710"/>
      <c r="G42" s="710"/>
      <c r="H42" s="710"/>
      <c r="I42" s="709" t="s">
        <v>221</v>
      </c>
      <c r="J42" s="707">
        <f>ROUND(J8*J40,0)</f>
        <v>1658</v>
      </c>
    </row>
    <row r="43" spans="1:10" ht="15.75" x14ac:dyDescent="0.2">
      <c r="A43" s="711"/>
      <c r="B43" s="710"/>
      <c r="C43" s="710"/>
      <c r="D43" s="710"/>
      <c r="E43" s="710"/>
      <c r="F43" s="710"/>
      <c r="G43" s="710"/>
      <c r="H43" s="710"/>
      <c r="I43" s="710"/>
      <c r="J43" s="708"/>
    </row>
    <row r="44" spans="1:10" ht="15.75" x14ac:dyDescent="0.2">
      <c r="A44" s="711"/>
      <c r="B44" s="710"/>
      <c r="C44" s="710"/>
      <c r="D44" s="710"/>
      <c r="E44" s="710"/>
      <c r="F44" s="710"/>
      <c r="G44" s="710"/>
      <c r="H44" s="710"/>
      <c r="I44" s="710"/>
      <c r="J44" s="706"/>
    </row>
    <row r="45" spans="1:10" ht="18.75" x14ac:dyDescent="0.2">
      <c r="A45" s="829" t="s">
        <v>927</v>
      </c>
      <c r="B45" s="830" t="s">
        <v>1020</v>
      </c>
      <c r="C45" s="830"/>
      <c r="D45" s="705"/>
      <c r="E45" s="705"/>
      <c r="F45" s="705"/>
      <c r="G45" s="705"/>
      <c r="H45" s="705"/>
      <c r="I45" s="709" t="s">
        <v>221</v>
      </c>
      <c r="J45" s="831">
        <f>J38+J42</f>
        <v>2896</v>
      </c>
    </row>
    <row r="46" spans="1:10" ht="18.75" x14ac:dyDescent="0.2">
      <c r="A46" s="705"/>
      <c r="B46" s="713"/>
      <c r="C46" s="705"/>
      <c r="D46" s="705"/>
      <c r="E46" s="705"/>
      <c r="F46" s="705"/>
      <c r="G46" s="705"/>
      <c r="H46" s="705"/>
      <c r="I46" s="709"/>
      <c r="J46" s="708"/>
    </row>
    <row r="47" spans="1:10" ht="18.75" x14ac:dyDescent="0.2">
      <c r="A47" s="705"/>
      <c r="B47" s="713"/>
      <c r="C47" s="705"/>
      <c r="D47" s="705"/>
      <c r="E47" s="705"/>
      <c r="F47" s="705"/>
      <c r="G47" s="705"/>
      <c r="H47" s="705"/>
      <c r="I47" s="709"/>
      <c r="J47" s="708"/>
    </row>
    <row r="48" spans="1:10" ht="15" customHeight="1" x14ac:dyDescent="0.2">
      <c r="A48" s="939"/>
      <c r="B48" s="939"/>
      <c r="C48" s="939"/>
      <c r="D48" s="939"/>
      <c r="E48" s="939"/>
      <c r="F48" s="939"/>
      <c r="G48" s="939"/>
      <c r="H48" s="939"/>
      <c r="I48" s="939"/>
      <c r="J48" s="939"/>
    </row>
    <row r="49" spans="1:10" ht="32.1" customHeight="1" x14ac:dyDescent="0.2">
      <c r="A49" s="754"/>
      <c r="B49" s="754"/>
      <c r="C49" s="754"/>
      <c r="D49" s="754"/>
      <c r="E49" s="754"/>
      <c r="F49" s="754"/>
      <c r="G49" s="754"/>
      <c r="H49" s="754"/>
      <c r="I49" s="754"/>
      <c r="J49" s="754"/>
    </row>
    <row r="50" spans="1:10" ht="15" customHeight="1" x14ac:dyDescent="0.2">
      <c r="A50" s="938"/>
      <c r="B50" s="938"/>
      <c r="C50" s="938"/>
      <c r="D50" s="938"/>
      <c r="E50" s="938"/>
      <c r="F50" s="938"/>
      <c r="G50" s="938"/>
      <c r="H50" s="938"/>
      <c r="I50" s="938"/>
      <c r="J50" s="938"/>
    </row>
    <row r="51" spans="1:10" ht="15" customHeight="1" x14ac:dyDescent="0.2">
      <c r="A51" s="938"/>
      <c r="B51" s="938"/>
      <c r="C51" s="938"/>
      <c r="D51" s="938"/>
      <c r="E51" s="938"/>
      <c r="F51" s="938"/>
      <c r="G51" s="938"/>
      <c r="H51" s="938"/>
      <c r="I51" s="938"/>
      <c r="J51" s="938"/>
    </row>
    <row r="52" spans="1:10" ht="15.95" customHeight="1" x14ac:dyDescent="0.2">
      <c r="J52" s="832"/>
    </row>
  </sheetData>
  <mergeCells count="5">
    <mergeCell ref="E4:G4"/>
    <mergeCell ref="A50:J50"/>
    <mergeCell ref="A10:J10"/>
    <mergeCell ref="A48:J48"/>
    <mergeCell ref="A51:J51"/>
  </mergeCells>
  <phoneticPr fontId="0" type="noConversion"/>
  <pageMargins left="0.5" right="0.5" top="1" bottom="0.5" header="0.5" footer="0.5"/>
  <pageSetup scale="83" orientation="portrait" blackAndWhite="1" r:id="rId1"/>
  <headerFooter scaleWithDoc="0">
    <oddHeader xml:space="preserve">&amp;RState of Kansas
City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K53"/>
  <sheetViews>
    <sheetView workbookViewId="0">
      <selection sqref="A1:K52"/>
    </sheetView>
  </sheetViews>
  <sheetFormatPr defaultRowHeight="15" x14ac:dyDescent="0.2"/>
  <cols>
    <col min="1" max="1" width="3.5546875" style="839" customWidth="1"/>
    <col min="2" max="2" width="9.77734375" customWidth="1"/>
    <col min="3" max="3" width="27.88671875" customWidth="1"/>
    <col min="4" max="4" width="13.6640625" customWidth="1"/>
    <col min="5" max="5" width="7.5546875" customWidth="1"/>
    <col min="6" max="6" width="5.33203125" customWidth="1"/>
    <col min="7" max="7" width="8" customWidth="1"/>
    <col min="8" max="8" width="3" customWidth="1"/>
    <col min="9" max="9" width="2.109375" customWidth="1"/>
    <col min="11" max="11" width="4.77734375" customWidth="1"/>
  </cols>
  <sheetData>
    <row r="1" spans="1:11" ht="15.75" x14ac:dyDescent="0.2">
      <c r="A1" s="844"/>
      <c r="B1" s="845"/>
      <c r="C1" s="846" t="str">
        <f>inputPrYr!D3</f>
        <v>City of Strong City</v>
      </c>
      <c r="D1" s="845"/>
      <c r="E1" s="845"/>
      <c r="F1" s="845"/>
      <c r="G1" s="845"/>
      <c r="H1" s="845"/>
      <c r="I1" s="845"/>
      <c r="J1" s="845"/>
      <c r="K1" s="847">
        <f>inputPrYr!C6</f>
        <v>2020</v>
      </c>
    </row>
    <row r="2" spans="1:11" ht="15.75" x14ac:dyDescent="0.2">
      <c r="A2" s="844"/>
      <c r="B2" s="845"/>
      <c r="C2" s="845"/>
      <c r="D2" s="845"/>
      <c r="E2" s="845"/>
      <c r="F2" s="845"/>
      <c r="G2" s="845"/>
      <c r="H2" s="845"/>
      <c r="I2" s="845"/>
      <c r="J2" s="845"/>
      <c r="K2" s="845"/>
    </row>
    <row r="3" spans="1:11" ht="15.75" x14ac:dyDescent="0.2">
      <c r="A3" s="844"/>
      <c r="B3" s="845"/>
      <c r="C3" s="845"/>
      <c r="D3" s="845"/>
      <c r="E3" s="848"/>
      <c r="F3" s="848"/>
      <c r="G3" s="848"/>
      <c r="H3" s="848"/>
      <c r="I3" s="848"/>
      <c r="J3" s="848"/>
      <c r="K3" s="848"/>
    </row>
    <row r="4" spans="1:11" ht="15.75" x14ac:dyDescent="0.2">
      <c r="A4" s="937" t="str">
        <f>CONCATENATE(K1," Revenue Adjustments")</f>
        <v>2020 Revenue Adjustments</v>
      </c>
      <c r="B4" s="937"/>
      <c r="C4" s="937"/>
      <c r="D4" s="937"/>
      <c r="E4" s="937"/>
      <c r="F4" s="937"/>
      <c r="G4" s="937"/>
      <c r="H4" s="937"/>
      <c r="I4" s="937"/>
      <c r="J4" s="937"/>
      <c r="K4" s="937"/>
    </row>
    <row r="5" spans="1:11" ht="15.75" x14ac:dyDescent="0.2">
      <c r="A5" s="844"/>
      <c r="B5" s="845"/>
      <c r="C5" s="845"/>
      <c r="D5" s="845"/>
      <c r="E5" s="848"/>
      <c r="F5" s="848"/>
      <c r="G5" s="848"/>
      <c r="H5" s="848"/>
      <c r="I5" s="848"/>
      <c r="J5" s="848"/>
      <c r="K5" s="848"/>
    </row>
    <row r="6" spans="1:11" ht="15.75" x14ac:dyDescent="0.2">
      <c r="A6" s="849" t="s">
        <v>928</v>
      </c>
      <c r="B6" s="845" t="str">
        <f>CONCATENATE("Property tax revenues for debt service in  ",K1," budget:")</f>
        <v>Property tax revenues for debt service in  2020 budget:</v>
      </c>
      <c r="C6" s="845"/>
      <c r="D6" s="845"/>
      <c r="E6" s="850"/>
      <c r="F6" s="850"/>
      <c r="G6" s="851"/>
      <c r="H6" s="851"/>
      <c r="I6" s="850" t="s">
        <v>220</v>
      </c>
      <c r="J6" s="852">
        <f>'DebtSvs-Library'!E41</f>
        <v>0</v>
      </c>
      <c r="K6" s="848"/>
    </row>
    <row r="7" spans="1:11" ht="15.75" x14ac:dyDescent="0.2">
      <c r="A7" s="849"/>
      <c r="B7" s="845" t="str">
        <f>CONCATENATE("Property tax revenues for debt service in  ",K1-1," budget:")</f>
        <v>Property tax revenues for debt service in  2019 budget:</v>
      </c>
      <c r="C7" s="845"/>
      <c r="D7" s="845"/>
      <c r="E7" s="850"/>
      <c r="F7" s="850"/>
      <c r="G7" s="851"/>
      <c r="H7" s="851"/>
      <c r="I7" s="850" t="s">
        <v>223</v>
      </c>
      <c r="J7" s="853">
        <f>inputPrYr!E23</f>
        <v>0</v>
      </c>
      <c r="K7" s="848"/>
    </row>
    <row r="8" spans="1:11" ht="15.75" x14ac:dyDescent="0.2">
      <c r="A8" s="849"/>
      <c r="B8" s="845" t="s">
        <v>1021</v>
      </c>
      <c r="C8" s="845"/>
      <c r="D8" s="845"/>
      <c r="E8" s="850"/>
      <c r="F8" s="850"/>
      <c r="G8" s="851"/>
      <c r="H8" s="851"/>
      <c r="I8" s="850"/>
      <c r="J8" s="853">
        <f>IF(J6-J7&gt;0,J6-J7,0)</f>
        <v>0</v>
      </c>
      <c r="K8" s="848"/>
    </row>
    <row r="9" spans="1:11" ht="15.75" x14ac:dyDescent="0.2">
      <c r="A9" s="849"/>
      <c r="B9" s="845"/>
      <c r="C9" s="845"/>
      <c r="D9" s="845"/>
      <c r="E9" s="850"/>
      <c r="F9" s="850"/>
      <c r="G9" s="851"/>
      <c r="H9" s="851"/>
      <c r="I9" s="850"/>
      <c r="J9" s="851"/>
      <c r="K9" s="848"/>
    </row>
    <row r="10" spans="1:11" ht="15.75" x14ac:dyDescent="0.2">
      <c r="A10" s="849"/>
      <c r="B10" s="854"/>
      <c r="C10" s="845"/>
      <c r="D10" s="845"/>
      <c r="E10" s="850"/>
      <c r="F10" s="850"/>
      <c r="G10" s="851"/>
      <c r="H10" s="851"/>
      <c r="I10" s="850"/>
      <c r="J10" s="851"/>
      <c r="K10" s="848"/>
    </row>
    <row r="11" spans="1:11" ht="15.75" x14ac:dyDescent="0.2">
      <c r="A11" s="849" t="s">
        <v>929</v>
      </c>
      <c r="B11" s="845" t="str">
        <f>CONCATENATE("Property tax revenues spent for public building commission and lease payments in the ",K1," budget:")</f>
        <v>Property tax revenues spent for public building commission and lease payments in the 2020 budget:</v>
      </c>
      <c r="C11" s="845"/>
      <c r="D11" s="845"/>
      <c r="E11" s="850"/>
      <c r="F11" s="850"/>
      <c r="G11" s="851"/>
      <c r="H11" s="851"/>
      <c r="I11" s="850" t="s">
        <v>220</v>
      </c>
      <c r="J11" s="842"/>
      <c r="K11" s="848"/>
    </row>
    <row r="12" spans="1:11" ht="15.75" x14ac:dyDescent="0.2">
      <c r="A12" s="844"/>
      <c r="B12" s="845" t="s">
        <v>1022</v>
      </c>
      <c r="C12" s="845"/>
      <c r="D12" s="854"/>
      <c r="E12" s="851"/>
      <c r="F12" s="855"/>
      <c r="G12" s="851"/>
      <c r="H12" s="851"/>
      <c r="I12" s="855"/>
      <c r="J12" s="851"/>
      <c r="K12" s="848"/>
    </row>
    <row r="13" spans="1:11" ht="15.75" x14ac:dyDescent="0.2">
      <c r="A13" s="849"/>
      <c r="B13" s="845" t="s">
        <v>1023</v>
      </c>
      <c r="C13" s="845"/>
      <c r="D13" s="854"/>
      <c r="E13" s="851"/>
      <c r="F13" s="855"/>
      <c r="G13" s="851"/>
      <c r="H13" s="851"/>
      <c r="I13" s="855"/>
      <c r="J13" s="851"/>
      <c r="K13" s="848"/>
    </row>
    <row r="14" spans="1:11" ht="15.75" x14ac:dyDescent="0.2">
      <c r="A14" s="849"/>
      <c r="B14" s="845"/>
      <c r="C14" s="845"/>
      <c r="D14" s="854"/>
      <c r="E14" s="851"/>
      <c r="F14" s="855"/>
      <c r="G14" s="851"/>
      <c r="H14" s="851"/>
      <c r="I14" s="855"/>
      <c r="J14" s="851"/>
      <c r="K14" s="848"/>
    </row>
    <row r="15" spans="1:11" ht="15.75" x14ac:dyDescent="0.2">
      <c r="A15" s="849"/>
      <c r="B15" s="845" t="s">
        <v>1024</v>
      </c>
      <c r="C15" s="845"/>
      <c r="D15" s="845"/>
      <c r="E15" s="850"/>
      <c r="F15" s="850"/>
      <c r="G15" s="851"/>
      <c r="H15" s="851"/>
      <c r="I15" s="850" t="s">
        <v>223</v>
      </c>
      <c r="J15" s="842"/>
      <c r="K15" s="848"/>
    </row>
    <row r="16" spans="1:11" ht="15.75" x14ac:dyDescent="0.2">
      <c r="A16" s="849"/>
      <c r="B16" s="845" t="s">
        <v>1025</v>
      </c>
      <c r="C16" s="845"/>
      <c r="D16" s="845"/>
      <c r="E16" s="850"/>
      <c r="F16" s="850"/>
      <c r="G16" s="851"/>
      <c r="H16" s="851"/>
      <c r="I16" s="850"/>
      <c r="J16" s="853">
        <f>IF(J11-J15&gt;0,J11-J15,0)</f>
        <v>0</v>
      </c>
      <c r="K16" s="848"/>
    </row>
    <row r="17" spans="1:11" ht="15.75" x14ac:dyDescent="0.2">
      <c r="A17" s="849"/>
      <c r="B17" s="845"/>
      <c r="C17" s="845"/>
      <c r="D17" s="845"/>
      <c r="E17" s="851"/>
      <c r="F17" s="851"/>
      <c r="G17" s="851"/>
      <c r="H17" s="851"/>
      <c r="I17" s="851"/>
      <c r="J17" s="851"/>
      <c r="K17" s="848"/>
    </row>
    <row r="18" spans="1:11" ht="15.75" x14ac:dyDescent="0.2">
      <c r="A18" s="849" t="s">
        <v>1026</v>
      </c>
      <c r="B18" s="845" t="str">
        <f>CONCATENATE("Property tax revenues spent on special assessments in the  ",K1," budget:")</f>
        <v>Property tax revenues spent on special assessments in the  2020 budget:</v>
      </c>
      <c r="C18" s="845"/>
      <c r="D18" s="845"/>
      <c r="E18" s="850"/>
      <c r="F18" s="850"/>
      <c r="G18" s="851"/>
      <c r="H18" s="851"/>
      <c r="I18" s="850" t="s">
        <v>220</v>
      </c>
      <c r="J18" s="842"/>
      <c r="K18" s="848"/>
    </row>
    <row r="19" spans="1:11" ht="15.75" x14ac:dyDescent="0.2">
      <c r="A19" s="856"/>
      <c r="B19" s="845" t="s">
        <v>1023</v>
      </c>
      <c r="C19" s="857"/>
      <c r="D19" s="857"/>
      <c r="E19" s="851"/>
      <c r="F19" s="851"/>
      <c r="G19" s="851"/>
      <c r="H19" s="851"/>
      <c r="I19" s="851"/>
      <c r="J19" s="851"/>
      <c r="K19" s="851"/>
    </row>
    <row r="20" spans="1:11" ht="15.75" x14ac:dyDescent="0.2">
      <c r="A20" s="856"/>
      <c r="B20" s="857"/>
      <c r="C20" s="857"/>
      <c r="D20" s="858"/>
      <c r="E20" s="851"/>
      <c r="F20" s="851"/>
      <c r="G20" s="851"/>
      <c r="H20" s="851"/>
      <c r="I20" s="851"/>
      <c r="J20" s="851"/>
      <c r="K20" s="851"/>
    </row>
    <row r="21" spans="1:11" ht="15.75" x14ac:dyDescent="0.2">
      <c r="A21" s="856" t="s">
        <v>1027</v>
      </c>
      <c r="B21" s="845" t="str">
        <f>CONCATENATE("Property tax revenues spent on court judgments or settlements and associated legal costs in the ",K1," budget:")</f>
        <v>Property tax revenues spent on court judgments or settlements and associated legal costs in the 2020 budget:</v>
      </c>
      <c r="C21" s="857"/>
      <c r="D21" s="858"/>
      <c r="E21" s="851"/>
      <c r="F21" s="850"/>
      <c r="G21" s="851"/>
      <c r="H21" s="851"/>
      <c r="I21" s="850" t="s">
        <v>220</v>
      </c>
      <c r="J21" s="842"/>
      <c r="K21" s="851"/>
    </row>
    <row r="22" spans="1:11" ht="15.75" x14ac:dyDescent="0.2">
      <c r="A22" s="856"/>
      <c r="B22" s="857"/>
      <c r="C22" s="857"/>
      <c r="D22" s="858"/>
      <c r="E22" s="851"/>
      <c r="F22" s="851"/>
      <c r="G22" s="851"/>
      <c r="H22" s="851"/>
      <c r="I22" s="851"/>
      <c r="J22" s="851"/>
      <c r="K22" s="851"/>
    </row>
    <row r="23" spans="1:11" ht="15.75" x14ac:dyDescent="0.2">
      <c r="A23" s="856" t="s">
        <v>1028</v>
      </c>
      <c r="B23" s="845" t="s">
        <v>1029</v>
      </c>
      <c r="C23" s="857"/>
      <c r="D23" s="858"/>
      <c r="E23" s="851"/>
      <c r="F23" s="851"/>
      <c r="G23" s="851"/>
      <c r="H23" s="851"/>
      <c r="I23" s="851"/>
      <c r="J23" s="851"/>
      <c r="K23" s="851"/>
    </row>
    <row r="24" spans="1:11" ht="15.75" x14ac:dyDescent="0.2">
      <c r="A24" s="856"/>
      <c r="B24" s="845" t="str">
        <f>CONCATENATE("and loss of funding from Federal sources after January 1, 2017 in the ",K1," budget:")</f>
        <v>and loss of funding from Federal sources after January 1, 2017 in the 2020 budget:</v>
      </c>
      <c r="C24" s="857"/>
      <c r="D24" s="858"/>
      <c r="E24" s="851"/>
      <c r="F24" s="850"/>
      <c r="G24" s="851"/>
      <c r="H24" s="851"/>
      <c r="I24" s="850" t="s">
        <v>220</v>
      </c>
      <c r="J24" s="842"/>
      <c r="K24" s="851"/>
    </row>
    <row r="25" spans="1:11" ht="15.75" x14ac:dyDescent="0.2">
      <c r="A25" s="856"/>
      <c r="B25" s="857"/>
      <c r="C25" s="857"/>
      <c r="D25" s="857"/>
      <c r="E25" s="851"/>
      <c r="F25" s="855"/>
      <c r="G25" s="851"/>
      <c r="H25" s="851"/>
      <c r="I25" s="855"/>
      <c r="J25" s="851"/>
      <c r="K25" s="851"/>
    </row>
    <row r="26" spans="1:11" ht="15.75" x14ac:dyDescent="0.2">
      <c r="A26" s="856" t="s">
        <v>1030</v>
      </c>
      <c r="B26" s="845" t="str">
        <f>CONCATENATE("Property tax revenues spent on expenses realted to disaster or Federal Emergency in the ",K1," budget:")</f>
        <v>Property tax revenues spent on expenses realted to disaster or Federal Emergency in the 2020 budget:</v>
      </c>
      <c r="C26" s="857"/>
      <c r="D26" s="858"/>
      <c r="E26" s="851"/>
      <c r="F26" s="850"/>
      <c r="G26" s="851"/>
      <c r="H26" s="851"/>
      <c r="I26" s="850" t="s">
        <v>220</v>
      </c>
      <c r="J26" s="842"/>
      <c r="K26" s="851"/>
    </row>
    <row r="27" spans="1:11" ht="15.75" x14ac:dyDescent="0.2">
      <c r="A27" s="856"/>
      <c r="B27" s="845"/>
      <c r="C27" s="857"/>
      <c r="D27" s="858"/>
      <c r="E27" s="851"/>
      <c r="F27" s="850"/>
      <c r="G27" s="851"/>
      <c r="H27" s="851"/>
      <c r="I27" s="850"/>
      <c r="J27" s="851"/>
      <c r="K27" s="851"/>
    </row>
    <row r="28" spans="1:11" ht="15.75" x14ac:dyDescent="0.2">
      <c r="A28" s="856"/>
      <c r="B28" s="857"/>
      <c r="C28" s="857"/>
      <c r="D28" s="857"/>
      <c r="E28" s="851"/>
      <c r="F28" s="851"/>
      <c r="G28" s="851"/>
      <c r="H28" s="851"/>
      <c r="I28" s="851"/>
      <c r="J28" s="851"/>
      <c r="K28" s="851"/>
    </row>
    <row r="29" spans="1:11" ht="15.75" x14ac:dyDescent="0.2">
      <c r="A29" s="856" t="s">
        <v>1031</v>
      </c>
      <c r="B29" s="845" t="str">
        <f>CONCATENATE("Law enforcement expenses - ",K1," budget:")</f>
        <v>Law enforcement expenses - 2020 budget:</v>
      </c>
      <c r="C29" s="857"/>
      <c r="D29" s="857"/>
      <c r="E29" s="851"/>
      <c r="F29" s="859" t="s">
        <v>220</v>
      </c>
      <c r="G29" s="842"/>
      <c r="H29" s="851"/>
      <c r="I29" s="851"/>
      <c r="J29" s="851"/>
      <c r="K29" s="851"/>
    </row>
    <row r="30" spans="1:11" ht="15.75" x14ac:dyDescent="0.25">
      <c r="A30" s="856"/>
      <c r="B30" s="845" t="str">
        <f>CONCATENATE("Law enforcement expenses - ",K1-1," budget:")</f>
        <v>Law enforcement expenses - 2019 budget:</v>
      </c>
      <c r="C30" s="857"/>
      <c r="D30" s="857"/>
      <c r="E30" s="851"/>
      <c r="F30" s="860" t="s">
        <v>223</v>
      </c>
      <c r="G30" s="843"/>
      <c r="H30" s="851"/>
      <c r="I30" s="851"/>
      <c r="J30" s="855"/>
      <c r="K30" s="851"/>
    </row>
    <row r="31" spans="1:11" ht="15.75" x14ac:dyDescent="0.2">
      <c r="A31" s="856"/>
      <c r="B31" s="845" t="s">
        <v>1032</v>
      </c>
      <c r="C31" s="857"/>
      <c r="D31" s="857"/>
      <c r="E31" s="861">
        <f>inputPrYr!C8</f>
        <v>1.4999999999999999E-2</v>
      </c>
      <c r="F31" s="851"/>
      <c r="G31" s="853">
        <f>G30*E31</f>
        <v>0</v>
      </c>
      <c r="H31" s="851"/>
      <c r="I31" s="851"/>
      <c r="J31" s="855"/>
      <c r="K31" s="851"/>
    </row>
    <row r="32" spans="1:11" ht="15.75" x14ac:dyDescent="0.2">
      <c r="A32" s="856"/>
      <c r="B32" s="845" t="str">
        <f>CONCATENATE("Increased law enforcement expenses in ",K1," budget:")</f>
        <v>Increased law enforcement expenses in 2020 budget:</v>
      </c>
      <c r="C32" s="857"/>
      <c r="D32" s="857"/>
      <c r="E32" s="851"/>
      <c r="F32" s="851"/>
      <c r="G32" s="851"/>
      <c r="H32" s="851"/>
      <c r="I32" s="850" t="s">
        <v>220</v>
      </c>
      <c r="J32" s="852">
        <f>IF(G29-G30-G31&gt;0, G29-G30-G31,0)</f>
        <v>0</v>
      </c>
      <c r="K32" s="851"/>
    </row>
    <row r="33" spans="1:11" ht="15.75" x14ac:dyDescent="0.2">
      <c r="A33" s="856"/>
      <c r="B33" s="858" t="s">
        <v>1033</v>
      </c>
      <c r="C33" s="857"/>
      <c r="D33" s="857"/>
      <c r="E33" s="851"/>
      <c r="F33" s="851"/>
      <c r="G33" s="851"/>
      <c r="H33" s="851"/>
      <c r="I33" s="851"/>
      <c r="J33" s="855"/>
      <c r="K33" s="851"/>
    </row>
    <row r="34" spans="1:11" ht="15.75" x14ac:dyDescent="0.2">
      <c r="A34" s="856"/>
      <c r="B34" s="857"/>
      <c r="C34" s="857"/>
      <c r="D34" s="857"/>
      <c r="E34" s="857"/>
      <c r="F34" s="857"/>
      <c r="G34" s="862"/>
      <c r="H34" s="862"/>
      <c r="I34" s="857"/>
      <c r="J34" s="857"/>
      <c r="K34" s="857"/>
    </row>
    <row r="35" spans="1:11" ht="15.75" x14ac:dyDescent="0.2">
      <c r="A35" s="856" t="s">
        <v>1034</v>
      </c>
      <c r="B35" s="845" t="str">
        <f>CONCATENATE("Fire protection expenses - ",K1," budget:")</f>
        <v>Fire protection expenses - 2020 budget:</v>
      </c>
      <c r="C35" s="857"/>
      <c r="D35" s="857"/>
      <c r="E35" s="851"/>
      <c r="F35" s="859" t="s">
        <v>220</v>
      </c>
      <c r="G35" s="842"/>
      <c r="H35" s="851"/>
      <c r="I35" s="851"/>
      <c r="J35" s="851"/>
      <c r="K35" s="851"/>
    </row>
    <row r="36" spans="1:11" ht="15.75" x14ac:dyDescent="0.25">
      <c r="A36" s="856"/>
      <c r="B36" s="845" t="str">
        <f>CONCATENATE("Fire protection expenses - ",K1-1," budget:")</f>
        <v>Fire protection expenses - 2019 budget:</v>
      </c>
      <c r="C36" s="857"/>
      <c r="D36" s="857"/>
      <c r="E36" s="851"/>
      <c r="F36" s="860" t="s">
        <v>223</v>
      </c>
      <c r="G36" s="843"/>
      <c r="H36" s="851"/>
      <c r="I36" s="851"/>
      <c r="J36" s="855"/>
      <c r="K36" s="851"/>
    </row>
    <row r="37" spans="1:11" ht="15.75" x14ac:dyDescent="0.2">
      <c r="A37" s="856"/>
      <c r="B37" s="845" t="s">
        <v>1032</v>
      </c>
      <c r="C37" s="857"/>
      <c r="D37" s="857"/>
      <c r="E37" s="861">
        <f>inputPrYr!C8</f>
        <v>1.4999999999999999E-2</v>
      </c>
      <c r="F37" s="851"/>
      <c r="G37" s="853">
        <f>G36*E37</f>
        <v>0</v>
      </c>
      <c r="H37" s="851"/>
      <c r="I37" s="851"/>
      <c r="J37" s="855"/>
      <c r="K37" s="851"/>
    </row>
    <row r="38" spans="1:11" ht="15.75" x14ac:dyDescent="0.2">
      <c r="A38" s="856"/>
      <c r="B38" s="845" t="str">
        <f>CONCATENATE("Increased fire protection expense in ",K1," budget:")</f>
        <v>Increased fire protection expense in 2020 budget:</v>
      </c>
      <c r="C38" s="857"/>
      <c r="D38" s="857"/>
      <c r="E38" s="851"/>
      <c r="F38" s="851"/>
      <c r="G38" s="851"/>
      <c r="H38" s="851"/>
      <c r="I38" s="850" t="s">
        <v>220</v>
      </c>
      <c r="J38" s="852">
        <f>IF(G35-G36-G37&gt;0, G35-G36-G37,0)</f>
        <v>0</v>
      </c>
      <c r="K38" s="851"/>
    </row>
    <row r="39" spans="1:11" ht="15.75" x14ac:dyDescent="0.2">
      <c r="A39" s="863"/>
      <c r="B39" s="858" t="s">
        <v>1033</v>
      </c>
      <c r="C39" s="857"/>
      <c r="D39" s="857"/>
      <c r="E39" s="857"/>
      <c r="F39" s="857"/>
      <c r="G39" s="857"/>
      <c r="H39" s="857"/>
      <c r="I39" s="857"/>
      <c r="J39" s="857"/>
      <c r="K39" s="851"/>
    </row>
    <row r="40" spans="1:11" ht="15.75" x14ac:dyDescent="0.2">
      <c r="A40" s="856"/>
      <c r="B40" s="857"/>
      <c r="C40" s="857"/>
      <c r="D40" s="857"/>
      <c r="E40" s="857"/>
      <c r="F40" s="857"/>
      <c r="G40" s="857"/>
      <c r="H40" s="857"/>
      <c r="I40" s="857"/>
      <c r="J40" s="857"/>
      <c r="K40" s="864"/>
    </row>
    <row r="41" spans="1:11" ht="15.75" x14ac:dyDescent="0.2">
      <c r="A41" s="856" t="s">
        <v>1035</v>
      </c>
      <c r="B41" s="845" t="str">
        <f>CONCATENATE("Emergency medical expenses - ",K1," budget:")</f>
        <v>Emergency medical expenses - 2020 budget:</v>
      </c>
      <c r="C41" s="857"/>
      <c r="D41" s="857"/>
      <c r="E41" s="851"/>
      <c r="F41" s="859" t="s">
        <v>220</v>
      </c>
      <c r="G41" s="842"/>
      <c r="H41" s="851"/>
      <c r="I41" s="851"/>
      <c r="J41" s="851"/>
      <c r="K41" s="851"/>
    </row>
    <row r="42" spans="1:11" ht="15.75" x14ac:dyDescent="0.25">
      <c r="A42" s="856"/>
      <c r="B42" s="845" t="str">
        <f>CONCATENATE("Emergency medical expenses - ",K1-1," budget:")</f>
        <v>Emergency medical expenses - 2019 budget:</v>
      </c>
      <c r="C42" s="857"/>
      <c r="D42" s="857"/>
      <c r="E42" s="851"/>
      <c r="F42" s="860" t="s">
        <v>223</v>
      </c>
      <c r="G42" s="843"/>
      <c r="H42" s="851"/>
      <c r="I42" s="851"/>
      <c r="J42" s="855"/>
      <c r="K42" s="851"/>
    </row>
    <row r="43" spans="1:11" ht="15.75" x14ac:dyDescent="0.2">
      <c r="A43" s="865"/>
      <c r="B43" s="845" t="s">
        <v>1032</v>
      </c>
      <c r="C43" s="857"/>
      <c r="D43" s="857"/>
      <c r="E43" s="861">
        <f>inputPrYr!C8</f>
        <v>1.4999999999999999E-2</v>
      </c>
      <c r="F43" s="851"/>
      <c r="G43" s="853">
        <f>G42*E43</f>
        <v>0</v>
      </c>
      <c r="H43" s="851"/>
      <c r="I43" s="851"/>
      <c r="J43" s="855"/>
      <c r="K43" s="851"/>
    </row>
    <row r="44" spans="1:11" ht="15.75" x14ac:dyDescent="0.2">
      <c r="A44" s="865"/>
      <c r="B44" s="845" t="str">
        <f>CONCATENATE("Increased emergency medical expenses in ",K1," budget:")</f>
        <v>Increased emergency medical expenses in 2020 budget:</v>
      </c>
      <c r="C44" s="857"/>
      <c r="D44" s="857"/>
      <c r="E44" s="851"/>
      <c r="F44" s="851"/>
      <c r="G44" s="851"/>
      <c r="H44" s="851"/>
      <c r="I44" s="850" t="s">
        <v>220</v>
      </c>
      <c r="J44" s="852">
        <f>IF(G41-G42-G43&gt;0, G41-G42-G43,0)</f>
        <v>0</v>
      </c>
      <c r="K44" s="851"/>
    </row>
    <row r="45" spans="1:11" ht="15.75" x14ac:dyDescent="0.2">
      <c r="A45" s="865"/>
      <c r="B45" s="858" t="s">
        <v>1033</v>
      </c>
      <c r="C45" s="857"/>
      <c r="D45" s="866"/>
      <c r="E45" s="866"/>
      <c r="F45" s="866"/>
      <c r="G45" s="866"/>
      <c r="H45" s="866"/>
      <c r="I45" s="866"/>
      <c r="J45" s="866"/>
      <c r="K45" s="867"/>
    </row>
    <row r="46" spans="1:11" ht="15.75" x14ac:dyDescent="0.2">
      <c r="A46" s="865"/>
      <c r="B46" s="866"/>
      <c r="C46" s="866"/>
      <c r="D46" s="866"/>
      <c r="E46" s="866"/>
      <c r="F46" s="866"/>
      <c r="G46" s="866"/>
      <c r="H46" s="866"/>
      <c r="I46" s="866"/>
      <c r="J46" s="868"/>
      <c r="K46" s="869"/>
    </row>
    <row r="47" spans="1:11" ht="15.75" x14ac:dyDescent="0.2">
      <c r="A47" s="865"/>
      <c r="B47" s="866"/>
      <c r="C47" s="866"/>
      <c r="D47" s="866"/>
      <c r="E47" s="866"/>
      <c r="F47" s="866"/>
      <c r="G47" s="866"/>
      <c r="H47" s="866"/>
      <c r="I47" s="866"/>
      <c r="J47" s="866"/>
      <c r="K47" s="869"/>
    </row>
    <row r="48" spans="1:11" ht="15.75" x14ac:dyDescent="0.2">
      <c r="A48" s="870" t="s">
        <v>1036</v>
      </c>
      <c r="B48" s="871" t="s">
        <v>1037</v>
      </c>
      <c r="C48" s="871"/>
      <c r="D48" s="866"/>
      <c r="E48" s="866"/>
      <c r="F48" s="866"/>
      <c r="G48" s="866"/>
      <c r="H48" s="866"/>
      <c r="I48" s="866"/>
      <c r="J48" s="872">
        <f>J8+J16+J18+J21+J24+J26+J32+J38+J44</f>
        <v>0</v>
      </c>
      <c r="K48" s="869"/>
    </row>
    <row r="49" spans="1:11" ht="18.75" x14ac:dyDescent="0.2">
      <c r="A49" s="865"/>
      <c r="B49" s="866"/>
      <c r="C49" s="866"/>
      <c r="D49" s="873"/>
      <c r="E49" s="873"/>
      <c r="F49" s="873"/>
      <c r="G49" s="873"/>
      <c r="H49" s="873"/>
      <c r="I49" s="873"/>
      <c r="J49" s="868"/>
      <c r="K49" s="869"/>
    </row>
    <row r="50" spans="1:11" ht="18.75" x14ac:dyDescent="0.2">
      <c r="A50" s="874"/>
      <c r="B50" s="874"/>
      <c r="C50" s="875"/>
      <c r="D50" s="875"/>
      <c r="E50" s="875"/>
      <c r="F50" s="875"/>
      <c r="G50" s="875"/>
      <c r="H50" s="875"/>
      <c r="I50" s="875"/>
      <c r="J50" s="876"/>
      <c r="K50" s="869"/>
    </row>
    <row r="51" spans="1:11" ht="18.75" x14ac:dyDescent="0.2">
      <c r="A51" s="874"/>
      <c r="B51" s="874"/>
      <c r="C51" s="877"/>
      <c r="D51" s="875"/>
      <c r="E51" s="875"/>
      <c r="F51" s="875"/>
      <c r="G51" s="875"/>
      <c r="H51" s="875"/>
      <c r="I51" s="875"/>
      <c r="J51" s="878"/>
      <c r="K51" s="869"/>
    </row>
    <row r="52" spans="1:11" ht="15.75" x14ac:dyDescent="0.2">
      <c r="A52" s="940"/>
      <c r="B52" s="940"/>
      <c r="C52" s="940"/>
      <c r="D52" s="940"/>
      <c r="E52" s="940"/>
      <c r="F52" s="940"/>
      <c r="G52" s="940"/>
      <c r="H52" s="940"/>
      <c r="I52" s="940"/>
      <c r="J52" s="940"/>
      <c r="K52" s="940"/>
    </row>
    <row r="53" spans="1:11" ht="15.75" x14ac:dyDescent="0.2">
      <c r="A53" s="837"/>
      <c r="B53" s="838"/>
      <c r="C53" s="838"/>
      <c r="D53" s="838"/>
      <c r="E53" s="838"/>
      <c r="F53" s="838"/>
      <c r="G53" s="838"/>
      <c r="H53" s="838"/>
      <c r="I53" s="838"/>
      <c r="J53" s="838"/>
      <c r="K53" s="838"/>
    </row>
  </sheetData>
  <mergeCells count="2">
    <mergeCell ref="A4:K4"/>
    <mergeCell ref="A52:K52"/>
  </mergeCells>
  <pageMargins left="0.7" right="0.7" top="0.75" bottom="0.75" header="0.3" footer="0.3"/>
  <pageSetup scale="8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J70"/>
  <sheetViews>
    <sheetView workbookViewId="0">
      <selection activeCell="X37" sqref="X37"/>
    </sheetView>
  </sheetViews>
  <sheetFormatPr defaultRowHeight="15" x14ac:dyDescent="0.2"/>
  <cols>
    <col min="1" max="1" width="3.6640625" customWidth="1"/>
    <col min="8" max="8" width="15.77734375" customWidth="1"/>
    <col min="9" max="9" width="3.77734375" customWidth="1"/>
  </cols>
  <sheetData>
    <row r="1" spans="1:10" ht="15.75" x14ac:dyDescent="0.2">
      <c r="A1" s="845"/>
      <c r="B1" s="845"/>
      <c r="C1" s="846" t="str">
        <f>inputPrYr!D3</f>
        <v>City of Strong City</v>
      </c>
      <c r="D1" s="845"/>
      <c r="E1" s="845"/>
      <c r="F1" s="845"/>
      <c r="G1" s="845"/>
      <c r="H1" s="845"/>
      <c r="I1" s="845"/>
      <c r="J1" s="879">
        <f>inputPrYr!C6</f>
        <v>2020</v>
      </c>
    </row>
    <row r="2" spans="1:10" ht="15.75" x14ac:dyDescent="0.2">
      <c r="A2" s="845"/>
      <c r="B2" s="845"/>
      <c r="C2" s="845"/>
      <c r="D2" s="845"/>
      <c r="E2" s="845"/>
      <c r="F2" s="845"/>
      <c r="G2" s="845"/>
      <c r="H2" s="845"/>
      <c r="I2" s="845"/>
      <c r="J2" s="845"/>
    </row>
    <row r="3" spans="1:10" ht="15.75" x14ac:dyDescent="0.2">
      <c r="A3" s="880"/>
      <c r="B3" s="881"/>
      <c r="C3" s="881"/>
      <c r="D3" s="882"/>
      <c r="E3" s="881"/>
      <c r="F3" s="881"/>
      <c r="G3" s="881"/>
      <c r="H3" s="881"/>
      <c r="I3" s="881"/>
      <c r="J3" s="881"/>
    </row>
    <row r="4" spans="1:10" ht="15.75" x14ac:dyDescent="0.2">
      <c r="A4" s="883"/>
      <c r="B4" s="857"/>
      <c r="C4" s="884"/>
      <c r="D4" s="885"/>
      <c r="E4" s="941"/>
      <c r="F4" s="941"/>
      <c r="G4" s="941"/>
      <c r="H4" s="886"/>
      <c r="I4" s="857"/>
      <c r="J4" s="887"/>
    </row>
    <row r="5" spans="1:10" ht="15.75" x14ac:dyDescent="0.2">
      <c r="A5" s="856"/>
      <c r="B5" s="857"/>
      <c r="C5" s="888" t="s">
        <v>1038</v>
      </c>
      <c r="D5" s="857"/>
      <c r="E5" s="851"/>
      <c r="F5" s="851"/>
      <c r="G5" s="851"/>
      <c r="H5" s="855"/>
      <c r="I5" s="851"/>
      <c r="J5" s="851"/>
    </row>
    <row r="6" spans="1:10" ht="15.75" x14ac:dyDescent="0.2">
      <c r="A6" s="856"/>
      <c r="B6" s="857"/>
      <c r="C6" s="888"/>
      <c r="D6" s="857"/>
      <c r="E6" s="851"/>
      <c r="F6" s="851"/>
      <c r="G6" s="851"/>
      <c r="H6" s="855"/>
      <c r="I6" s="851"/>
      <c r="J6" s="851"/>
    </row>
    <row r="7" spans="1:10" ht="15.75" x14ac:dyDescent="0.2">
      <c r="A7" s="856"/>
      <c r="B7" s="857"/>
      <c r="C7" s="857"/>
      <c r="D7" s="857"/>
      <c r="E7" s="851"/>
      <c r="F7" s="851"/>
      <c r="G7" s="851"/>
      <c r="H7" s="855"/>
      <c r="I7" s="851"/>
      <c r="J7" s="864"/>
    </row>
    <row r="8" spans="1:10" ht="15.75" x14ac:dyDescent="0.2">
      <c r="A8" s="856" t="s">
        <v>1039</v>
      </c>
      <c r="B8" s="845" t="str">
        <f>CONCATENATE("Library levy  - ",J1," budget:")</f>
        <v>Library levy  - 2020 budget:</v>
      </c>
      <c r="C8" s="851"/>
      <c r="D8" s="857"/>
      <c r="E8" s="851"/>
      <c r="F8" s="851"/>
      <c r="G8" s="851"/>
      <c r="H8" s="855"/>
      <c r="I8" s="850" t="s">
        <v>220</v>
      </c>
      <c r="J8" s="842"/>
    </row>
    <row r="9" spans="1:10" ht="15.75" x14ac:dyDescent="0.2">
      <c r="A9" s="856"/>
      <c r="B9" s="845" t="str">
        <f>CONCATENATE("Other tax entity levy - ",J1," budget:")</f>
        <v>Other tax entity levy - 2020 budget:</v>
      </c>
      <c r="C9" s="857"/>
      <c r="D9" s="857"/>
      <c r="E9" s="851"/>
      <c r="F9" s="851"/>
      <c r="G9" s="851"/>
      <c r="H9" s="851"/>
      <c r="I9" s="850" t="s">
        <v>220</v>
      </c>
      <c r="J9" s="842"/>
    </row>
    <row r="10" spans="1:10" ht="15.75" x14ac:dyDescent="0.25">
      <c r="A10" s="857"/>
      <c r="B10" s="845" t="str">
        <f>CONCATENATE("Other tax entity levy  - ",J1," budget:")</f>
        <v>Other tax entity levy  - 2020 budget:</v>
      </c>
      <c r="C10" s="857"/>
      <c r="D10" s="857"/>
      <c r="E10" s="851"/>
      <c r="F10" s="889"/>
      <c r="G10" s="851"/>
      <c r="H10" s="851"/>
      <c r="I10" s="850" t="s">
        <v>220</v>
      </c>
      <c r="J10" s="842"/>
    </row>
    <row r="11" spans="1:10" ht="15.75" x14ac:dyDescent="0.2">
      <c r="A11" s="941"/>
      <c r="B11" s="942"/>
      <c r="C11" s="942"/>
      <c r="D11" s="942"/>
      <c r="E11" s="942"/>
      <c r="F11" s="942"/>
      <c r="G11" s="942"/>
      <c r="H11" s="942"/>
      <c r="I11" s="942"/>
      <c r="J11" s="942"/>
    </row>
    <row r="12" spans="1:10" ht="15.75" x14ac:dyDescent="0.2">
      <c r="A12" s="857"/>
      <c r="B12" s="857"/>
      <c r="C12" s="857"/>
      <c r="D12" s="857"/>
      <c r="E12" s="851"/>
      <c r="F12" s="851"/>
      <c r="G12" s="851"/>
      <c r="H12" s="851"/>
      <c r="I12" s="851"/>
      <c r="J12" s="851"/>
    </row>
    <row r="13" spans="1:10" ht="15.75" x14ac:dyDescent="0.2">
      <c r="A13" s="890" t="s">
        <v>1040</v>
      </c>
      <c r="B13" s="891" t="s">
        <v>1041</v>
      </c>
      <c r="C13" s="891"/>
      <c r="D13" s="891"/>
      <c r="E13" s="892"/>
      <c r="F13" s="892"/>
      <c r="G13" s="893"/>
      <c r="H13" s="851"/>
      <c r="I13" s="850" t="s">
        <v>220</v>
      </c>
      <c r="J13" s="852">
        <f>SUM(J8:J10)</f>
        <v>0</v>
      </c>
    </row>
    <row r="14" spans="1:10" ht="15.75" x14ac:dyDescent="0.2">
      <c r="A14" s="890"/>
      <c r="B14" s="891"/>
      <c r="C14" s="891"/>
      <c r="D14" s="891"/>
      <c r="E14" s="892"/>
      <c r="F14" s="892"/>
      <c r="G14" s="893"/>
      <c r="H14" s="851"/>
      <c r="I14" s="850"/>
      <c r="J14" s="851"/>
    </row>
    <row r="15" spans="1:10" ht="15.75" x14ac:dyDescent="0.2">
      <c r="A15" s="890" t="s">
        <v>1042</v>
      </c>
      <c r="B15" s="891" t="s">
        <v>1081</v>
      </c>
      <c r="C15" s="891"/>
      <c r="D15" s="891"/>
      <c r="E15" s="892"/>
      <c r="F15" s="892"/>
      <c r="G15" s="893"/>
      <c r="H15" s="851"/>
      <c r="I15" s="850" t="s">
        <v>220</v>
      </c>
      <c r="J15" s="842"/>
    </row>
    <row r="16" spans="1:10" ht="15.75" x14ac:dyDescent="0.2">
      <c r="A16" s="890"/>
      <c r="B16" s="891"/>
      <c r="C16" s="891"/>
      <c r="D16" s="891"/>
      <c r="E16" s="892"/>
      <c r="F16" s="892"/>
      <c r="G16" s="893"/>
      <c r="H16" s="851"/>
      <c r="I16" s="850"/>
      <c r="J16" s="851"/>
    </row>
    <row r="17" spans="1:10" ht="15.75" x14ac:dyDescent="0.2">
      <c r="A17" s="894"/>
      <c r="B17" s="858"/>
      <c r="C17" s="857"/>
      <c r="D17" s="857"/>
      <c r="E17" s="855"/>
      <c r="F17" s="855"/>
      <c r="G17" s="851"/>
      <c r="H17" s="851"/>
      <c r="I17" s="851"/>
      <c r="J17" s="851"/>
    </row>
    <row r="18" spans="1:10" ht="15.75" x14ac:dyDescent="0.2">
      <c r="A18" s="890" t="s">
        <v>1073</v>
      </c>
      <c r="B18" s="891" t="s">
        <v>1043</v>
      </c>
      <c r="C18" s="891"/>
      <c r="D18" s="891"/>
      <c r="E18" s="892"/>
      <c r="F18" s="892"/>
      <c r="G18" s="893"/>
      <c r="H18" s="893"/>
      <c r="I18" s="851"/>
      <c r="J18" s="895">
        <f>Comp1!J8+Comp1!J45+Comp2!J48+Comp3!J13+Comp3!J15</f>
        <v>113440</v>
      </c>
    </row>
    <row r="19" spans="1:10" ht="15.75" x14ac:dyDescent="0.2">
      <c r="A19" s="883"/>
      <c r="B19" s="857"/>
      <c r="C19" s="857"/>
      <c r="D19" s="858"/>
      <c r="E19" s="851"/>
      <c r="F19" s="855"/>
      <c r="G19" s="851"/>
      <c r="H19" s="851"/>
      <c r="I19" s="851"/>
      <c r="J19" s="851"/>
    </row>
    <row r="20" spans="1:10" ht="15.75" x14ac:dyDescent="0.2">
      <c r="A20" s="883"/>
      <c r="B20" s="857"/>
      <c r="C20" s="857"/>
      <c r="D20" s="858"/>
      <c r="E20" s="851"/>
      <c r="F20" s="855"/>
      <c r="G20" s="851"/>
      <c r="H20" s="851"/>
      <c r="I20" s="851"/>
      <c r="J20" s="851"/>
    </row>
    <row r="21" spans="1:10" ht="15.75" x14ac:dyDescent="0.2">
      <c r="A21" s="883"/>
      <c r="B21" s="857"/>
      <c r="C21" s="857"/>
      <c r="D21" s="858"/>
      <c r="E21" s="851"/>
      <c r="F21" s="855"/>
      <c r="G21" s="851"/>
      <c r="H21" s="851"/>
      <c r="I21" s="851"/>
      <c r="J21" s="851"/>
    </row>
    <row r="22" spans="1:10" ht="15.75" x14ac:dyDescent="0.2">
      <c r="A22" s="858"/>
      <c r="B22" s="857"/>
      <c r="C22" s="857"/>
      <c r="D22" s="858"/>
      <c r="E22" s="851"/>
      <c r="F22" s="855"/>
      <c r="G22" s="851"/>
      <c r="H22" s="851"/>
      <c r="I22" s="851"/>
      <c r="J22" s="851"/>
    </row>
    <row r="23" spans="1:10" ht="15.75" x14ac:dyDescent="0.2">
      <c r="A23" s="858"/>
      <c r="B23" s="857"/>
      <c r="C23" s="857"/>
      <c r="D23" s="857"/>
      <c r="E23" s="851"/>
      <c r="F23" s="851"/>
      <c r="G23" s="851"/>
      <c r="H23" s="851"/>
      <c r="I23" s="851"/>
      <c r="J23" s="851"/>
    </row>
    <row r="24" spans="1:10" ht="15.75" x14ac:dyDescent="0.2">
      <c r="A24" s="858"/>
      <c r="B24" s="888"/>
      <c r="C24" s="888" t="s">
        <v>1044</v>
      </c>
      <c r="D24" s="857"/>
      <c r="E24" s="851"/>
      <c r="F24" s="851"/>
      <c r="G24" s="851"/>
      <c r="H24" s="851"/>
      <c r="I24" s="851"/>
      <c r="J24" s="851"/>
    </row>
    <row r="25" spans="1:10" ht="15.75" x14ac:dyDescent="0.2">
      <c r="A25" s="858"/>
      <c r="B25" s="888"/>
      <c r="C25" s="888"/>
      <c r="D25" s="857"/>
      <c r="E25" s="851"/>
      <c r="F25" s="851"/>
      <c r="G25" s="851"/>
      <c r="H25" s="851"/>
      <c r="I25" s="851"/>
      <c r="J25" s="851"/>
    </row>
    <row r="26" spans="1:10" ht="15.75" x14ac:dyDescent="0.2">
      <c r="A26" s="858"/>
      <c r="B26" s="857" t="s">
        <v>1045</v>
      </c>
      <c r="C26" s="888"/>
      <c r="D26" s="857"/>
      <c r="E26" s="851"/>
      <c r="F26" s="851"/>
      <c r="G26" s="851"/>
      <c r="H26" s="851"/>
      <c r="I26" s="851"/>
      <c r="J26" s="851"/>
    </row>
    <row r="27" spans="1:10" ht="15.75" x14ac:dyDescent="0.2">
      <c r="A27" s="858"/>
      <c r="B27" s="857"/>
      <c r="C27" s="888"/>
      <c r="D27" s="857"/>
      <c r="E27" s="851"/>
      <c r="F27" s="851"/>
      <c r="G27" s="851"/>
      <c r="H27" s="851"/>
      <c r="I27" s="851"/>
      <c r="J27" s="851"/>
    </row>
    <row r="28" spans="1:10" ht="15.75" x14ac:dyDescent="0.2">
      <c r="A28" s="858"/>
      <c r="B28" s="857"/>
      <c r="C28" s="857"/>
      <c r="D28" s="857"/>
      <c r="E28" s="851"/>
      <c r="F28" s="851"/>
      <c r="G28" s="851"/>
      <c r="H28" s="851"/>
      <c r="I28" s="851"/>
      <c r="J28" s="851"/>
    </row>
    <row r="29" spans="1:10" ht="15.75" x14ac:dyDescent="0.2">
      <c r="A29" s="858"/>
      <c r="B29" s="857"/>
      <c r="C29" s="857" t="str">
        <f>CONCATENATE(J1-4, " Tax Levy (Less Levy for other Governmental Units)")</f>
        <v>2016 Tax Levy (Less Levy for other Governmental Units)</v>
      </c>
      <c r="D29" s="858"/>
      <c r="E29" s="851"/>
      <c r="F29" s="851"/>
      <c r="G29" s="851"/>
      <c r="H29" s="841"/>
      <c r="I29" s="851"/>
      <c r="J29" s="851"/>
    </row>
    <row r="30" spans="1:10" ht="15.75" x14ac:dyDescent="0.2">
      <c r="A30" s="858"/>
      <c r="B30" s="857"/>
      <c r="C30" s="857" t="str">
        <f>CONCATENATE(J1-3, " Tax Levy (Less Levy for other Governmental Units)")</f>
        <v>2017 Tax Levy (Less Levy for other Governmental Units)</v>
      </c>
      <c r="D30" s="858"/>
      <c r="E30" s="851"/>
      <c r="F30" s="851"/>
      <c r="G30" s="851"/>
      <c r="H30" s="841"/>
      <c r="I30" s="851"/>
      <c r="J30" s="851" t="str">
        <f>IF(H30&lt;H29,"Decline","None")</f>
        <v>None</v>
      </c>
    </row>
    <row r="31" spans="1:10" ht="15.75" x14ac:dyDescent="0.2">
      <c r="A31" s="858"/>
      <c r="B31" s="857"/>
      <c r="C31" s="857" t="str">
        <f>CONCATENATE(J1-2, " Tax Levy (Less Levy for other Governmental Units)")</f>
        <v>2018 Tax Levy (Less Levy for other Governmental Units)</v>
      </c>
      <c r="D31" s="858"/>
      <c r="E31" s="851"/>
      <c r="F31" s="851"/>
      <c r="G31" s="851"/>
      <c r="H31" s="841"/>
      <c r="I31" s="851"/>
      <c r="J31" s="851" t="str">
        <f>IF(H31&lt;H30,"Decline","None")</f>
        <v>None</v>
      </c>
    </row>
    <row r="32" spans="1:10" ht="15.75" x14ac:dyDescent="0.2">
      <c r="A32" s="858"/>
      <c r="B32" s="857"/>
      <c r="C32" s="857" t="str">
        <f>CONCATENATE(J1-1, " Tax Levy (Less Levy for other Governmental Units)")</f>
        <v>2019 Tax Levy (Less Levy for other Governmental Units)</v>
      </c>
      <c r="D32" s="858"/>
      <c r="E32" s="851"/>
      <c r="F32" s="851"/>
      <c r="G32" s="851"/>
      <c r="H32" s="841"/>
      <c r="I32" s="851"/>
      <c r="J32" s="851" t="str">
        <f>IF(H32&lt;H31,"Decline","None")</f>
        <v>None</v>
      </c>
    </row>
    <row r="33" spans="1:10" ht="15.75" x14ac:dyDescent="0.2">
      <c r="A33" s="858"/>
      <c r="B33" s="857"/>
      <c r="C33" s="857"/>
      <c r="D33" s="858"/>
      <c r="E33" s="851"/>
      <c r="F33" s="851"/>
      <c r="G33" s="851"/>
      <c r="H33" s="851"/>
      <c r="I33" s="851"/>
      <c r="J33" s="851"/>
    </row>
    <row r="34" spans="1:10" ht="15.75" x14ac:dyDescent="0.2">
      <c r="A34" s="858"/>
      <c r="B34" s="857"/>
      <c r="C34" s="863" t="s">
        <v>1046</v>
      </c>
      <c r="D34" s="858"/>
      <c r="E34" s="851"/>
      <c r="F34" s="851"/>
      <c r="G34" s="851"/>
      <c r="H34" s="851" t="e">
        <f>AVERAGE(H30:H32)</f>
        <v>#DIV/0!</v>
      </c>
      <c r="I34" s="851"/>
      <c r="J34" s="851"/>
    </row>
    <row r="35" spans="1:10" ht="15.75" x14ac:dyDescent="0.2">
      <c r="A35" s="858"/>
      <c r="B35" s="857"/>
      <c r="C35" s="863" t="str">
        <f>CONCATENATE("CPI Adjustment of ",  inputPrYr!C10)</f>
        <v>CPI Adjustment of 0.025</v>
      </c>
      <c r="D35" s="858"/>
      <c r="E35" s="851"/>
      <c r="F35" s="851"/>
      <c r="G35" s="851"/>
      <c r="H35" s="851" t="e">
        <f>H34*inputPrYr!C10</f>
        <v>#DIV/0!</v>
      </c>
      <c r="I35" s="851"/>
      <c r="J35" s="851"/>
    </row>
    <row r="36" spans="1:10" ht="15.75" x14ac:dyDescent="0.2">
      <c r="A36" s="858"/>
      <c r="B36" s="857"/>
      <c r="C36" s="857" t="s">
        <v>1047</v>
      </c>
      <c r="D36" s="858"/>
      <c r="E36" s="851"/>
      <c r="F36" s="851"/>
      <c r="G36" s="851"/>
      <c r="H36" s="851" t="e">
        <f>SUM(H34:H35)</f>
        <v>#DIV/0!</v>
      </c>
      <c r="I36" s="851"/>
      <c r="J36" s="851"/>
    </row>
    <row r="37" spans="1:10" ht="15.75" x14ac:dyDescent="0.2">
      <c r="A37" s="858"/>
      <c r="B37" s="857"/>
      <c r="C37" s="857"/>
      <c r="D37" s="858"/>
      <c r="E37" s="851"/>
      <c r="F37" s="851"/>
      <c r="G37" s="851"/>
      <c r="H37" s="851"/>
      <c r="I37" s="851"/>
      <c r="J37" s="851"/>
    </row>
    <row r="38" spans="1:10" ht="15.75" x14ac:dyDescent="0.2">
      <c r="A38" s="858"/>
      <c r="B38" s="857"/>
      <c r="C38" s="857" t="str">
        <f>CONCATENATE(J1, " Total Tax Levy (Less Levy for Other Governmental Units)")</f>
        <v>2020 Total Tax Levy (Less Levy for Other Governmental Units)</v>
      </c>
      <c r="D38" s="858"/>
      <c r="E38" s="851"/>
      <c r="F38" s="851"/>
      <c r="G38" s="851"/>
      <c r="H38" s="841"/>
      <c r="I38" s="851"/>
      <c r="J38" s="851"/>
    </row>
    <row r="39" spans="1:10" ht="15.75" x14ac:dyDescent="0.2">
      <c r="A39" s="858"/>
      <c r="B39" s="858"/>
      <c r="C39" s="857"/>
      <c r="D39" s="858"/>
      <c r="E39" s="851"/>
      <c r="F39" s="851"/>
      <c r="G39" s="851"/>
      <c r="H39" s="851"/>
      <c r="I39" s="851"/>
      <c r="J39" s="851"/>
    </row>
    <row r="40" spans="1:10" ht="15.75" x14ac:dyDescent="0.2">
      <c r="A40" s="858"/>
      <c r="B40" s="857"/>
      <c r="C40" s="891" t="s">
        <v>1048</v>
      </c>
      <c r="D40" s="891"/>
      <c r="E40" s="893"/>
      <c r="F40" s="892"/>
      <c r="G40" s="893"/>
      <c r="H40" s="896" t="e">
        <f>IF(H36&gt;H38,"Yes","No")</f>
        <v>#DIV/0!</v>
      </c>
      <c r="I40" s="851"/>
      <c r="J40" s="851"/>
    </row>
    <row r="41" spans="1:10" ht="15.75" x14ac:dyDescent="0.2">
      <c r="A41" s="857"/>
      <c r="B41" s="857"/>
      <c r="C41" s="857"/>
      <c r="D41" s="858"/>
      <c r="E41" s="851"/>
      <c r="F41" s="851"/>
      <c r="G41" s="851"/>
      <c r="H41" s="851"/>
      <c r="I41" s="851"/>
      <c r="J41" s="851"/>
    </row>
    <row r="42" spans="1:10" ht="15.75" x14ac:dyDescent="0.2">
      <c r="A42" s="858"/>
      <c r="B42" s="857"/>
      <c r="C42" s="857"/>
      <c r="D42" s="857" t="s">
        <v>1056</v>
      </c>
      <c r="E42" s="851"/>
      <c r="F42" s="851"/>
      <c r="G42" s="851"/>
      <c r="H42" s="851"/>
      <c r="I42" s="851"/>
      <c r="J42" s="851"/>
    </row>
    <row r="43" spans="1:10" ht="15.75" x14ac:dyDescent="0.2">
      <c r="A43" s="858"/>
      <c r="B43" s="858"/>
      <c r="C43" s="857"/>
      <c r="D43" s="857"/>
      <c r="E43" s="851"/>
      <c r="F43" s="851"/>
      <c r="G43" s="851"/>
      <c r="H43" s="851"/>
      <c r="I43" s="851"/>
      <c r="J43" s="851"/>
    </row>
    <row r="44" spans="1:10" ht="15.75" x14ac:dyDescent="0.2">
      <c r="A44" s="858"/>
      <c r="B44" s="857"/>
      <c r="C44" s="888" t="s">
        <v>1049</v>
      </c>
      <c r="D44" s="857"/>
      <c r="E44" s="851"/>
      <c r="F44" s="851"/>
      <c r="G44" s="851"/>
      <c r="H44" s="851"/>
      <c r="I44" s="855"/>
      <c r="J44" s="851"/>
    </row>
    <row r="45" spans="1:10" ht="15.75" x14ac:dyDescent="0.2">
      <c r="A45" s="858"/>
      <c r="B45" s="858"/>
      <c r="C45" s="857"/>
      <c r="D45" s="857"/>
      <c r="E45" s="851"/>
      <c r="F45" s="851"/>
      <c r="G45" s="851"/>
      <c r="H45" s="851"/>
      <c r="I45" s="855"/>
      <c r="J45" s="851"/>
    </row>
    <row r="46" spans="1:10" ht="15.75" x14ac:dyDescent="0.2">
      <c r="A46" s="858"/>
      <c r="B46" s="857"/>
      <c r="C46" s="857" t="s">
        <v>1050</v>
      </c>
      <c r="D46" s="857"/>
      <c r="E46" s="851"/>
      <c r="F46" s="851"/>
      <c r="G46" s="851"/>
      <c r="H46" s="841"/>
      <c r="I46" s="855"/>
      <c r="J46" s="851"/>
    </row>
    <row r="47" spans="1:10" ht="15.75" x14ac:dyDescent="0.2">
      <c r="A47" s="858"/>
      <c r="B47" s="857"/>
      <c r="C47" s="857"/>
      <c r="D47" s="857"/>
      <c r="E47" s="851"/>
      <c r="F47" s="851"/>
      <c r="G47" s="851"/>
      <c r="H47" s="851"/>
      <c r="I47" s="855"/>
      <c r="J47" s="851"/>
    </row>
    <row r="48" spans="1:10" ht="15.75" x14ac:dyDescent="0.2">
      <c r="A48" s="858"/>
      <c r="B48" s="858"/>
      <c r="C48" s="857"/>
      <c r="D48" s="857"/>
      <c r="E48" s="851"/>
      <c r="F48" s="851"/>
      <c r="G48" s="851"/>
      <c r="H48" s="851"/>
      <c r="I48" s="855"/>
      <c r="J48" s="851"/>
    </row>
    <row r="49" spans="1:10" ht="15.75" x14ac:dyDescent="0.2">
      <c r="A49" s="858"/>
      <c r="B49" s="857"/>
      <c r="C49" s="857" t="str">
        <f>CONCATENATE(J1, " Tax Levy (Less Levy for other Governmental Units)")</f>
        <v>2020 Tax Levy (Less Levy for other Governmental Units)</v>
      </c>
      <c r="D49" s="858"/>
      <c r="E49" s="851"/>
      <c r="F49" s="851"/>
      <c r="G49" s="851"/>
      <c r="H49" s="908"/>
      <c r="I49" s="857"/>
      <c r="J49" s="857"/>
    </row>
    <row r="50" spans="1:10" ht="15.75" x14ac:dyDescent="0.2">
      <c r="A50" s="858"/>
      <c r="B50" s="858"/>
      <c r="C50" s="857" t="str">
        <f>CONCATENATE(J1-1, " Tax Levy (Less Levy for other Governmental Units)")</f>
        <v>2019 Tax Levy (Less Levy for other Governmental Units)</v>
      </c>
      <c r="D50" s="858"/>
      <c r="E50" s="851"/>
      <c r="F50" s="851"/>
      <c r="G50" s="851"/>
      <c r="H50" s="908"/>
      <c r="I50" s="857"/>
      <c r="J50" s="857"/>
    </row>
    <row r="51" spans="1:10" ht="15.75" x14ac:dyDescent="0.2">
      <c r="A51" s="858"/>
      <c r="B51" s="857"/>
      <c r="C51" s="857" t="s">
        <v>1051</v>
      </c>
      <c r="D51" s="857"/>
      <c r="E51" s="857"/>
      <c r="F51" s="857"/>
      <c r="G51" s="857"/>
      <c r="H51" s="855">
        <f>H49-H50</f>
        <v>0</v>
      </c>
      <c r="I51" s="857"/>
      <c r="J51" s="851"/>
    </row>
    <row r="52" spans="1:10" ht="15.75" x14ac:dyDescent="0.2">
      <c r="A52" s="858"/>
      <c r="B52" s="858"/>
      <c r="C52" s="857"/>
      <c r="D52" s="857"/>
      <c r="E52" s="857"/>
      <c r="F52" s="857"/>
      <c r="G52" s="857"/>
      <c r="H52" s="858"/>
      <c r="I52" s="857"/>
      <c r="J52" s="851"/>
    </row>
    <row r="53" spans="1:10" ht="15.75" x14ac:dyDescent="0.2">
      <c r="A53" s="858"/>
      <c r="B53" s="857"/>
      <c r="C53" s="857"/>
      <c r="D53" s="857"/>
      <c r="E53" s="857"/>
      <c r="F53" s="857"/>
      <c r="G53" s="857"/>
      <c r="H53" s="857"/>
      <c r="I53" s="857"/>
      <c r="J53" s="851"/>
    </row>
    <row r="54" spans="1:10" ht="15.75" x14ac:dyDescent="0.2">
      <c r="A54" s="857"/>
      <c r="B54" s="857"/>
      <c r="C54" s="857" t="s">
        <v>1052</v>
      </c>
      <c r="D54" s="857"/>
      <c r="E54" s="857"/>
      <c r="F54" s="857"/>
      <c r="G54" s="857"/>
      <c r="H54" s="851"/>
      <c r="I54" s="857"/>
      <c r="J54" s="851">
        <f>Comp1!J42</f>
        <v>1658</v>
      </c>
    </row>
    <row r="55" spans="1:10" ht="15.75" x14ac:dyDescent="0.2">
      <c r="A55" s="858"/>
      <c r="B55" s="857"/>
      <c r="C55" s="857" t="str">
        <f>CONCATENATE(J1, " Mill Rate (Less Mills for other Governmental Units)")</f>
        <v>2020 Mill Rate (Less Mills for other Governmental Units)</v>
      </c>
      <c r="D55" s="857"/>
      <c r="E55" s="857"/>
      <c r="F55" s="857"/>
      <c r="G55" s="857"/>
      <c r="H55" s="908"/>
      <c r="I55" s="857"/>
      <c r="J55" s="864"/>
    </row>
    <row r="56" spans="1:10" ht="15.75" x14ac:dyDescent="0.2">
      <c r="A56" s="858"/>
      <c r="B56" s="857"/>
      <c r="C56" s="857"/>
      <c r="D56" s="857"/>
      <c r="E56" s="857"/>
      <c r="F56" s="857"/>
      <c r="G56" s="857"/>
      <c r="H56" s="857"/>
      <c r="I56" s="857"/>
      <c r="J56" s="851"/>
    </row>
    <row r="57" spans="1:10" ht="15.75" x14ac:dyDescent="0.2">
      <c r="A57" s="858"/>
      <c r="B57" s="857"/>
      <c r="C57" s="857" t="str">
        <f>CONCATENATE("Loss of Assessed Valuation Multiplied by ", J1, " Mill Rate")</f>
        <v>Loss of Assessed Valuation Multiplied by 2020 Mill Rate</v>
      </c>
      <c r="D57" s="857"/>
      <c r="E57" s="857"/>
      <c r="F57" s="857"/>
      <c r="G57" s="857"/>
      <c r="H57" s="857"/>
      <c r="I57" s="857"/>
      <c r="J57" s="852">
        <f>(H46/1000)*H55</f>
        <v>0</v>
      </c>
    </row>
    <row r="58" spans="1:10" ht="15.75" x14ac:dyDescent="0.2">
      <c r="A58" s="897"/>
      <c r="B58" s="866"/>
      <c r="C58" s="866" t="s">
        <v>1053</v>
      </c>
      <c r="D58" s="866"/>
      <c r="E58" s="866"/>
      <c r="F58" s="866"/>
      <c r="G58" s="866"/>
      <c r="H58" s="866"/>
      <c r="I58" s="866"/>
      <c r="J58" s="869">
        <f>SUM(J54:J57)</f>
        <v>1658</v>
      </c>
    </row>
    <row r="59" spans="1:10" ht="15.75" x14ac:dyDescent="0.2">
      <c r="A59" s="865"/>
      <c r="B59" s="866"/>
      <c r="C59" s="866"/>
      <c r="D59" s="866"/>
      <c r="E59" s="866"/>
      <c r="F59" s="866"/>
      <c r="G59" s="866"/>
      <c r="H59" s="866"/>
      <c r="I59" s="866"/>
      <c r="J59" s="867"/>
    </row>
    <row r="60" spans="1:10" ht="15.75" x14ac:dyDescent="0.2">
      <c r="A60" s="865"/>
      <c r="B60" s="866"/>
      <c r="C60" s="866"/>
      <c r="D60" s="866"/>
      <c r="E60" s="866"/>
      <c r="F60" s="866"/>
      <c r="G60" s="866"/>
      <c r="H60" s="866"/>
      <c r="I60" s="866"/>
      <c r="J60" s="867"/>
    </row>
    <row r="61" spans="1:10" ht="15.75" x14ac:dyDescent="0.2">
      <c r="A61" s="865"/>
      <c r="B61" s="866"/>
      <c r="C61" s="898" t="s">
        <v>1054</v>
      </c>
      <c r="D61" s="898"/>
      <c r="E61" s="898"/>
      <c r="F61" s="866"/>
      <c r="G61" s="866"/>
      <c r="H61" s="866"/>
      <c r="I61" s="868"/>
      <c r="J61" s="899" t="str">
        <f>IF(H51&lt;=J58,"Yes","No")</f>
        <v>Yes</v>
      </c>
    </row>
    <row r="62" spans="1:10" ht="15.75" x14ac:dyDescent="0.2">
      <c r="A62" s="897"/>
      <c r="B62" s="866"/>
      <c r="C62" s="866"/>
      <c r="D62" s="866"/>
      <c r="E62" s="866"/>
      <c r="F62" s="866"/>
      <c r="G62" s="866"/>
      <c r="H62" s="866"/>
      <c r="I62" s="866"/>
      <c r="J62" s="869"/>
    </row>
    <row r="63" spans="1:10" ht="15.75" x14ac:dyDescent="0.2">
      <c r="A63" s="897"/>
      <c r="B63" s="866"/>
      <c r="C63" s="866"/>
      <c r="D63" s="866"/>
      <c r="E63" s="866"/>
      <c r="F63" s="866"/>
      <c r="G63" s="866"/>
      <c r="H63" s="866"/>
      <c r="I63" s="866"/>
      <c r="J63" s="869"/>
    </row>
    <row r="64" spans="1:10" ht="18.75" x14ac:dyDescent="0.2">
      <c r="A64" s="900"/>
      <c r="B64" s="898"/>
      <c r="C64" s="898"/>
      <c r="D64" s="873"/>
      <c r="E64" s="873"/>
      <c r="F64" s="873"/>
      <c r="G64" s="873"/>
      <c r="H64" s="873"/>
      <c r="I64" s="868"/>
      <c r="J64" s="899"/>
    </row>
    <row r="65" spans="1:10" ht="18.75" x14ac:dyDescent="0.2">
      <c r="A65" s="875"/>
      <c r="B65" s="874"/>
      <c r="C65" s="875"/>
      <c r="D65" s="875"/>
      <c r="E65" s="875"/>
      <c r="F65" s="875"/>
      <c r="G65" s="875"/>
      <c r="H65" s="875"/>
      <c r="I65" s="876"/>
      <c r="J65" s="869"/>
    </row>
    <row r="66" spans="1:10" ht="18.75" x14ac:dyDescent="0.2">
      <c r="A66" s="835"/>
      <c r="B66" s="834"/>
      <c r="C66" s="835"/>
      <c r="D66" s="835"/>
      <c r="E66" s="835"/>
      <c r="F66" s="835"/>
      <c r="G66" s="835"/>
      <c r="H66" s="835"/>
      <c r="I66" s="836"/>
      <c r="J66" s="833"/>
    </row>
    <row r="67" spans="1:10" ht="15.75" x14ac:dyDescent="0.2">
      <c r="A67" s="943"/>
      <c r="B67" s="943"/>
      <c r="C67" s="943"/>
      <c r="D67" s="943"/>
      <c r="E67" s="943"/>
      <c r="F67" s="943"/>
      <c r="G67" s="943"/>
      <c r="H67" s="943"/>
      <c r="I67" s="943"/>
      <c r="J67" s="943"/>
    </row>
    <row r="68" spans="1:10" ht="15.75" x14ac:dyDescent="0.2">
      <c r="A68" s="838"/>
      <c r="B68" s="838"/>
      <c r="C68" s="838"/>
      <c r="D68" s="838"/>
      <c r="E68" s="838"/>
      <c r="F68" s="837"/>
      <c r="G68" s="838"/>
      <c r="H68" s="838"/>
      <c r="I68" s="838"/>
      <c r="J68" s="838"/>
    </row>
    <row r="69" spans="1:10" ht="15.75" x14ac:dyDescent="0.2">
      <c r="A69" s="944"/>
      <c r="B69" s="944"/>
      <c r="C69" s="944"/>
      <c r="D69" s="944"/>
      <c r="E69" s="944"/>
      <c r="F69" s="944"/>
      <c r="G69" s="944"/>
      <c r="H69" s="944"/>
      <c r="I69" s="944"/>
      <c r="J69" s="944"/>
    </row>
    <row r="70" spans="1:10" x14ac:dyDescent="0.2">
      <c r="A70" s="840"/>
      <c r="B70" s="840"/>
      <c r="C70" s="840"/>
      <c r="D70" s="840"/>
      <c r="E70" s="840"/>
      <c r="F70" s="840"/>
      <c r="G70" s="840"/>
      <c r="H70" s="840"/>
      <c r="I70" s="840"/>
      <c r="J70" s="840"/>
    </row>
  </sheetData>
  <mergeCells count="4">
    <mergeCell ref="E4:G4"/>
    <mergeCell ref="A11:J11"/>
    <mergeCell ref="A67:J67"/>
    <mergeCell ref="A69:J69"/>
  </mergeCells>
  <pageMargins left="0.7" right="0.7" top="0.75" bottom="0.75" header="0.3" footer="0.3"/>
  <pageSetup scale="68"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5" ma:contentTypeDescription="Create a new document." ma:contentTypeScope="" ma:versionID="f65cf4c426069482c0b6b078f7fc405b">
  <xsd:schema xmlns:xsd="http://www.w3.org/2001/XMLSchema" xmlns:xs="http://www.w3.org/2001/XMLSchema" xmlns:p="http://schemas.microsoft.com/office/2006/metadata/properties" xmlns:ns2="1895758b-fcac-4748-aa0a-5720d2d7d486" targetNamespace="http://schemas.microsoft.com/office/2006/metadata/properties" ma:root="true" ma:fieldsID="2a18d949ea3a3b4bc39022365f5ecb7f" ns2:_="">
    <xsd:import namespace="1895758b-fcac-4748-aa0a-5720d2d7d4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AB633-AA1A-46F7-A760-A82D4214964D}"/>
</file>

<file path=customXml/itemProps2.xml><?xml version="1.0" encoding="utf-8"?>
<ds:datastoreItem xmlns:ds="http://schemas.openxmlformats.org/officeDocument/2006/customXml" ds:itemID="{F1BF5B59-27A3-4480-8291-4095CEC94FA2}"/>
</file>

<file path=customXml/itemProps3.xml><?xml version="1.0" encoding="utf-8"?>
<ds:datastoreItem xmlns:ds="http://schemas.openxmlformats.org/officeDocument/2006/customXml" ds:itemID="{8DE8C212-A624-4EFA-AA1D-B170341B15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13</vt:i4>
      </vt:variant>
    </vt:vector>
  </HeadingPairs>
  <TitlesOfParts>
    <vt:vector size="49" baseType="lpstr">
      <vt:lpstr>Instructions</vt:lpstr>
      <vt:lpstr>inputPrYr</vt:lpstr>
      <vt:lpstr>inputOth</vt:lpstr>
      <vt:lpstr>inputBudSum</vt:lpstr>
      <vt:lpstr>CPA Summary</vt:lpstr>
      <vt:lpstr>cert</vt:lpstr>
      <vt:lpstr>Comp1</vt:lpstr>
      <vt:lpstr>Comp2</vt:lpstr>
      <vt:lpstr>Comp3</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Tourism-Water</vt:lpstr>
      <vt:lpstr>Sewer</vt:lpstr>
      <vt:lpstr>Sinnolevy14</vt:lpstr>
      <vt:lpstr>nonbud</vt:lpstr>
      <vt:lpstr>NonBudFunds</vt:lpstr>
      <vt:lpstr>summ</vt:lpstr>
      <vt:lpstr>Nhood</vt:lpstr>
      <vt:lpstr>Tab A</vt:lpstr>
      <vt:lpstr>Tab B</vt:lpstr>
      <vt:lpstr>Tab C</vt:lpstr>
      <vt:lpstr>Tab D</vt:lpstr>
      <vt:lpstr>Tab E</vt:lpstr>
      <vt:lpstr>Mill Rate Computation</vt:lpstr>
      <vt:lpstr>Helpful Links</vt:lpstr>
      <vt:lpstr>Legend</vt:lpstr>
      <vt:lpstr>cert!Print_Area</vt:lpstr>
      <vt:lpstr>Comp1!Print_Area</vt:lpstr>
      <vt:lpstr>Comp3!Print_Area</vt:lpstr>
      <vt:lpstr>'CPA Summary'!Print_Area</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Stacy Jaramillo</cp:lastModifiedBy>
  <cp:lastPrinted>2019-07-17T14:42:56Z</cp:lastPrinted>
  <dcterms:created xsi:type="dcterms:W3CDTF">1998-12-22T16:13:18Z</dcterms:created>
  <dcterms:modified xsi:type="dcterms:W3CDTF">2019-09-24T19:39:44Z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