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drawings/drawing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sharedStrings.xml" ContentType="application/vnd.openxmlformats-officedocument.spreadsheetml.sharedStrings+xml"/>
  <Override PartName="/xl/worksheets/sheet22.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24226"/>
  <mc:AlternateContent xmlns:mc="http://schemas.openxmlformats.org/markup-compatibility/2006">
    <mc:Choice Requires="x15">
      <x15ac:absPath xmlns:x15ac="http://schemas.microsoft.com/office/spreadsheetml/2010/11/ac" url="D:\Audits\"/>
    </mc:Choice>
  </mc:AlternateContent>
  <xr:revisionPtr revIDLastSave="0" documentId="10_ncr:100000_{6C4E223C-3F92-4ACA-B40F-9FE20FAE983B}" xr6:coauthVersionLast="31" xr6:coauthVersionMax="43" xr10:uidLastSave="{00000000-0000-0000-0000-000000000000}"/>
  <bookViews>
    <workbookView xWindow="-120" yWindow="-120" windowWidth="30960" windowHeight="16920" tabRatio="909" activeTab="5" xr2:uid="{00000000-000D-0000-FFFF-FFFF00000000}"/>
  </bookViews>
  <sheets>
    <sheet name="Instructions" sheetId="1" r:id="rId1"/>
    <sheet name="inputPrYr" sheetId="2" r:id="rId2"/>
    <sheet name="inputOth" sheetId="29" r:id="rId3"/>
    <sheet name="inputBudSum" sheetId="49" r:id="rId4"/>
    <sheet name="CPA Summary" sheetId="54" state="hidden" r:id="rId5"/>
    <sheet name="CERT-SIGNED" sheetId="57" r:id="rId6"/>
    <sheet name="CERT" sheetId="3" r:id="rId7"/>
    <sheet name="Comp1" sheetId="24" r:id="rId8"/>
    <sheet name="Comp2" sheetId="55" r:id="rId9"/>
    <sheet name="Comp3" sheetId="56" r:id="rId10"/>
    <sheet name="MVALLOC" sheetId="5" r:id="rId11"/>
    <sheet name="TRANSFERS" sheetId="27" r:id="rId12"/>
    <sheet name="TransferStatutes" sheetId="37" state="hidden" r:id="rId13"/>
    <sheet name="DEBT" sheetId="22" r:id="rId14"/>
    <sheet name="LP FORM" sheetId="23" r:id="rId15"/>
    <sheet name="Library Grant " sheetId="48" state="hidden" r:id="rId16"/>
    <sheet name="GEN" sheetId="7" r:id="rId17"/>
    <sheet name="DebtSvs-Library" sheetId="28" state="hidden" r:id="rId18"/>
    <sheet name="SP-SS" sheetId="15" r:id="rId19"/>
    <sheet name="SAN-SEW" sheetId="16" r:id="rId20"/>
    <sheet name="WW" sheetId="31" r:id="rId21"/>
    <sheet name="NONBUDA" sheetId="30" r:id="rId22"/>
    <sheet name="NONBUDB" sheetId="35" r:id="rId23"/>
    <sheet name="NonBudFunds" sheetId="43" state="hidden" r:id="rId24"/>
    <sheet name="SUMM" sheetId="21" r:id="rId25"/>
    <sheet name="AFFIDAVIT" sheetId="58" r:id="rId26"/>
    <sheet name="nhood" sheetId="36" r:id="rId27"/>
    <sheet name="Tab A" sheetId="38" r:id="rId28"/>
    <sheet name="Tab B" sheetId="39" r:id="rId29"/>
    <sheet name="Tab C" sheetId="40" r:id="rId30"/>
    <sheet name="Tab D" sheetId="41" r:id="rId31"/>
    <sheet name="Tab E" sheetId="42" r:id="rId32"/>
    <sheet name="Mill Rate Computation" sheetId="45" r:id="rId33"/>
    <sheet name="Helpful Links" sheetId="46" r:id="rId34"/>
    <sheet name="Legend" sheetId="25" r:id="rId35"/>
  </sheets>
  <definedNames>
    <definedName name="_xlnm.Print_Area" localSheetId="7">Comp1!$A$1:$J$54</definedName>
    <definedName name="_xlnm.Print_Area" localSheetId="17">'DebtSvs-Library'!$B$1:$E$87</definedName>
    <definedName name="_xlnm.Print_Area" localSheetId="16">GEN!$B$1:$E$65</definedName>
    <definedName name="_xlnm.Print_Area" localSheetId="1">inputPrYr!$A$1:$E$123</definedName>
    <definedName name="_xlnm.Print_Area" localSheetId="0">Instructions!$A$1:$A$102</definedName>
    <definedName name="_xlnm.Print_Area" localSheetId="15">'Library Grant '!$A$1:$J$40</definedName>
    <definedName name="_xlnm.Print_Area" localSheetId="14">'LP FORM'!$B$1:$I$38</definedName>
    <definedName name="_xlnm.Print_Area" localSheetId="32">'Mill Rate Computation'!#REF!</definedName>
    <definedName name="_xlnm.Print_Area" localSheetId="24">SUMM!$A$2:$H$45</definedName>
  </definedNames>
  <calcPr calcId="179017"/>
</workbook>
</file>

<file path=xl/calcChain.xml><?xml version="1.0" encoding="utf-8"?>
<calcChain xmlns="http://schemas.openxmlformats.org/spreadsheetml/2006/main">
  <c r="A1" i="35" l="1"/>
  <c r="A1" i="30"/>
  <c r="C50" i="7" l="1"/>
  <c r="C33" i="31" l="1"/>
  <c r="C32" i="31"/>
  <c r="C28" i="31"/>
  <c r="C27" i="31"/>
  <c r="C8" i="31"/>
  <c r="C12" i="31"/>
  <c r="C8" i="16"/>
  <c r="C36" i="16" l="1"/>
  <c r="C43" i="31" l="1"/>
  <c r="D55" i="16"/>
  <c r="D28" i="16"/>
  <c r="C55" i="16"/>
  <c r="C28" i="16"/>
  <c r="D25" i="15"/>
  <c r="D51" i="15"/>
  <c r="C51" i="15"/>
  <c r="C25" i="15"/>
  <c r="D26" i="3"/>
  <c r="D25" i="3"/>
  <c r="D24" i="3"/>
  <c r="D23" i="3"/>
  <c r="D22" i="3"/>
  <c r="D21" i="3"/>
  <c r="B33" i="16" l="1"/>
  <c r="B5" i="16"/>
  <c r="B30" i="15"/>
  <c r="B5" i="15"/>
  <c r="E8" i="29"/>
  <c r="A8" i="29" l="1"/>
  <c r="J16" i="55"/>
  <c r="C35" i="56"/>
  <c r="J1" i="56"/>
  <c r="C49" i="56"/>
  <c r="C1" i="56"/>
  <c r="J57" i="56"/>
  <c r="H51" i="56"/>
  <c r="H34" i="56"/>
  <c r="J32" i="56"/>
  <c r="J31" i="56"/>
  <c r="J30" i="56"/>
  <c r="J13" i="56"/>
  <c r="E43" i="55"/>
  <c r="G43" i="55" s="1"/>
  <c r="J44" i="55" s="1"/>
  <c r="E37" i="55"/>
  <c r="G37" i="55"/>
  <c r="J38" i="55" s="1"/>
  <c r="E31" i="55"/>
  <c r="G31" i="55"/>
  <c r="J32" i="55"/>
  <c r="J7" i="55"/>
  <c r="K1" i="55"/>
  <c r="B38" i="55"/>
  <c r="C1" i="55"/>
  <c r="J40" i="24"/>
  <c r="E34" i="24"/>
  <c r="G27" i="24"/>
  <c r="G25" i="24"/>
  <c r="E22" i="24"/>
  <c r="E21" i="24"/>
  <c r="E20" i="24"/>
  <c r="E16" i="24"/>
  <c r="E15" i="24"/>
  <c r="G12" i="24"/>
  <c r="J1" i="24"/>
  <c r="B12" i="24" s="1"/>
  <c r="C1" i="24"/>
  <c r="E18" i="36"/>
  <c r="E17" i="36"/>
  <c r="E16" i="36"/>
  <c r="E15" i="36"/>
  <c r="E14" i="36"/>
  <c r="E13" i="36"/>
  <c r="E12" i="36"/>
  <c r="E11" i="36"/>
  <c r="E10" i="36"/>
  <c r="E9" i="36"/>
  <c r="E8" i="36"/>
  <c r="E59" i="28"/>
  <c r="E7" i="36"/>
  <c r="E20" i="28" s="1"/>
  <c r="E6" i="36"/>
  <c r="E25" i="7" s="1"/>
  <c r="H26" i="5"/>
  <c r="G25" i="5"/>
  <c r="G32" i="5" s="1"/>
  <c r="G24" i="2"/>
  <c r="D50" i="28" s="1"/>
  <c r="D53" i="2"/>
  <c r="J24" i="28"/>
  <c r="J23" i="28"/>
  <c r="J64" i="28"/>
  <c r="J22" i="28"/>
  <c r="J148" i="45"/>
  <c r="H134" i="45"/>
  <c r="C137" i="45" s="1"/>
  <c r="J137" i="45"/>
  <c r="H120" i="45"/>
  <c r="C123" i="45" s="1"/>
  <c r="H114" i="45"/>
  <c r="F117" i="45"/>
  <c r="H117" i="45"/>
  <c r="F123" i="45" s="1"/>
  <c r="J123" i="45" s="1"/>
  <c r="H100" i="45"/>
  <c r="C103" i="45"/>
  <c r="H94" i="45"/>
  <c r="F97" i="45" s="1"/>
  <c r="H97" i="45" s="1"/>
  <c r="F103" i="45" s="1"/>
  <c r="J103" i="45" s="1"/>
  <c r="H80" i="45"/>
  <c r="C83" i="45" s="1"/>
  <c r="H74" i="45"/>
  <c r="F77" i="45"/>
  <c r="H77" i="45"/>
  <c r="F83" i="45" s="1"/>
  <c r="H48" i="45"/>
  <c r="F50" i="45"/>
  <c r="J50" i="45"/>
  <c r="H41" i="45"/>
  <c r="B28" i="45"/>
  <c r="H28" i="45"/>
  <c r="H25" i="45"/>
  <c r="C25" i="45"/>
  <c r="G35" i="2"/>
  <c r="G34" i="2"/>
  <c r="G33" i="2"/>
  <c r="G32" i="2"/>
  <c r="G31" i="2"/>
  <c r="G30" i="2"/>
  <c r="G29" i="2"/>
  <c r="G28" i="2"/>
  <c r="G27" i="2"/>
  <c r="G26" i="2"/>
  <c r="G23" i="2"/>
  <c r="D8" i="28" s="1"/>
  <c r="D23" i="28" s="1"/>
  <c r="D22" i="28" s="1"/>
  <c r="G22" i="2"/>
  <c r="D9" i="7" s="1"/>
  <c r="D28" i="7" s="1"/>
  <c r="D27" i="7" s="1"/>
  <c r="A6" i="21"/>
  <c r="A8" i="21"/>
  <c r="B43" i="21"/>
  <c r="A42" i="21"/>
  <c r="G20" i="49"/>
  <c r="G22" i="49"/>
  <c r="G21" i="49"/>
  <c r="G19" i="49"/>
  <c r="G23" i="49"/>
  <c r="D19" i="3"/>
  <c r="B19" i="3"/>
  <c r="B19" i="48"/>
  <c r="B18" i="48"/>
  <c r="B17" i="48"/>
  <c r="B16" i="48"/>
  <c r="B15" i="48"/>
  <c r="E19" i="48"/>
  <c r="E18" i="48"/>
  <c r="E17" i="48"/>
  <c r="E16" i="48"/>
  <c r="G16" i="48"/>
  <c r="G14" i="48"/>
  <c r="E14" i="48"/>
  <c r="B89" i="48" s="1"/>
  <c r="B8" i="48"/>
  <c r="B7" i="48"/>
  <c r="B5" i="48"/>
  <c r="E32" i="16"/>
  <c r="D32" i="16"/>
  <c r="C32" i="16"/>
  <c r="E46" i="28"/>
  <c r="D46" i="28"/>
  <c r="C46" i="28"/>
  <c r="D80" i="28"/>
  <c r="E80" i="28" s="1"/>
  <c r="D41" i="28"/>
  <c r="E41" i="28" s="1"/>
  <c r="D76" i="28"/>
  <c r="I2" i="5"/>
  <c r="B6" i="5" s="1"/>
  <c r="D5" i="5"/>
  <c r="B71" i="2"/>
  <c r="B8" i="36"/>
  <c r="B47" i="28"/>
  <c r="C9" i="5"/>
  <c r="B9" i="5"/>
  <c r="A24" i="29"/>
  <c r="C76" i="28"/>
  <c r="C97" i="28" s="1"/>
  <c r="B78" i="28" s="1"/>
  <c r="A21" i="21"/>
  <c r="B18" i="36"/>
  <c r="B17" i="36"/>
  <c r="B16" i="36"/>
  <c r="B15" i="36"/>
  <c r="B14" i="36"/>
  <c r="B13" i="36"/>
  <c r="B12" i="36"/>
  <c r="B11" i="36"/>
  <c r="B10" i="36"/>
  <c r="B9" i="36"/>
  <c r="D38" i="21"/>
  <c r="D37" i="21"/>
  <c r="D36" i="21"/>
  <c r="D35" i="21"/>
  <c r="B38" i="21"/>
  <c r="B37" i="21"/>
  <c r="B36" i="21"/>
  <c r="B35" i="21"/>
  <c r="B30" i="21"/>
  <c r="B32" i="21"/>
  <c r="D32" i="21"/>
  <c r="E27" i="48" s="1"/>
  <c r="F32" i="21"/>
  <c r="G27" i="48" s="1"/>
  <c r="C19" i="5"/>
  <c r="C18" i="5"/>
  <c r="C17" i="5"/>
  <c r="C16" i="5"/>
  <c r="C15" i="5"/>
  <c r="C14" i="5"/>
  <c r="C13" i="5"/>
  <c r="C12" i="5"/>
  <c r="C11" i="5"/>
  <c r="C10" i="5"/>
  <c r="B19" i="5"/>
  <c r="B18" i="5"/>
  <c r="B17" i="5"/>
  <c r="B16" i="5"/>
  <c r="B15" i="5"/>
  <c r="B14" i="5"/>
  <c r="B13" i="5"/>
  <c r="B12" i="5"/>
  <c r="B11" i="5"/>
  <c r="B10" i="5"/>
  <c r="C31" i="3"/>
  <c r="C30" i="3"/>
  <c r="C29" i="3"/>
  <c r="C28" i="3"/>
  <c r="C27" i="3"/>
  <c r="C26" i="3"/>
  <c r="C25" i="3"/>
  <c r="C24" i="3"/>
  <c r="B31" i="3"/>
  <c r="B30" i="3"/>
  <c r="B29" i="3"/>
  <c r="B28" i="3"/>
  <c r="B27" i="3"/>
  <c r="A34" i="29"/>
  <c r="A33" i="29"/>
  <c r="A32" i="29"/>
  <c r="A31" i="29"/>
  <c r="A30" i="29"/>
  <c r="A29" i="29"/>
  <c r="A28" i="29"/>
  <c r="A27" i="29"/>
  <c r="A26" i="29"/>
  <c r="A25" i="29"/>
  <c r="B81" i="2"/>
  <c r="B80" i="2"/>
  <c r="B79" i="2"/>
  <c r="B78" i="2"/>
  <c r="B77" i="2"/>
  <c r="B76" i="2"/>
  <c r="B75" i="2"/>
  <c r="B74" i="2"/>
  <c r="B73" i="2"/>
  <c r="B72" i="2"/>
  <c r="D35" i="29"/>
  <c r="C37" i="28"/>
  <c r="C94" i="28" s="1"/>
  <c r="B5" i="28"/>
  <c r="A23" i="29"/>
  <c r="A22" i="29"/>
  <c r="D82" i="2"/>
  <c r="D54" i="7"/>
  <c r="C54" i="7"/>
  <c r="D58" i="7"/>
  <c r="C28" i="7"/>
  <c r="D37" i="28"/>
  <c r="D94" i="28"/>
  <c r="E1" i="28"/>
  <c r="B1" i="28"/>
  <c r="D74" i="28"/>
  <c r="D73" i="28" s="1"/>
  <c r="D97" i="28"/>
  <c r="C74" i="28"/>
  <c r="C62" i="28"/>
  <c r="C63" i="28"/>
  <c r="C75" i="28" s="1"/>
  <c r="D35" i="28"/>
  <c r="D34" i="28"/>
  <c r="C35" i="28"/>
  <c r="C23" i="28"/>
  <c r="A34" i="39"/>
  <c r="A8" i="42"/>
  <c r="A46" i="41"/>
  <c r="A41" i="41"/>
  <c r="A6" i="41"/>
  <c r="A38" i="40"/>
  <c r="A33" i="40"/>
  <c r="A19" i="40"/>
  <c r="A6" i="40"/>
  <c r="A33" i="39"/>
  <c r="A6" i="39"/>
  <c r="A77" i="38"/>
  <c r="A74" i="38"/>
  <c r="A33" i="38"/>
  <c r="A28" i="38"/>
  <c r="A25" i="38"/>
  <c r="A16" i="38"/>
  <c r="A6" i="38"/>
  <c r="D22" i="36"/>
  <c r="D24" i="36" s="1"/>
  <c r="E36" i="2"/>
  <c r="D30" i="21" s="1"/>
  <c r="A85" i="2"/>
  <c r="A84" i="2"/>
  <c r="D67" i="2"/>
  <c r="C8" i="5"/>
  <c r="C7" i="5"/>
  <c r="F1" i="36"/>
  <c r="A22" i="36" s="1"/>
  <c r="A68" i="2"/>
  <c r="E52" i="7"/>
  <c r="E1" i="7"/>
  <c r="C41" i="31"/>
  <c r="C44" i="31" s="1"/>
  <c r="D41" i="31"/>
  <c r="E41" i="31"/>
  <c r="E26" i="3" s="1"/>
  <c r="D43" i="31"/>
  <c r="C23" i="15"/>
  <c r="B17" i="21" s="1"/>
  <c r="D23" i="15"/>
  <c r="D26" i="15" s="1"/>
  <c r="E23" i="15"/>
  <c r="E1" i="15"/>
  <c r="B20" i="15" s="1"/>
  <c r="C49" i="15"/>
  <c r="B18" i="21" s="1"/>
  <c r="D49" i="15"/>
  <c r="E49" i="15"/>
  <c r="C26" i="16"/>
  <c r="B19" i="21" s="1"/>
  <c r="D26" i="16"/>
  <c r="D19" i="21" s="1"/>
  <c r="E26" i="16"/>
  <c r="E1" i="16"/>
  <c r="B28" i="16" s="1"/>
  <c r="E53" i="16"/>
  <c r="F20" i="21" s="1"/>
  <c r="C53" i="16"/>
  <c r="B20" i="21" s="1"/>
  <c r="D53" i="16"/>
  <c r="E1" i="31"/>
  <c r="E5" i="31" s="1"/>
  <c r="B70" i="2"/>
  <c r="A53" i="2"/>
  <c r="D20" i="2"/>
  <c r="J24" i="35"/>
  <c r="H24" i="35"/>
  <c r="F24" i="35"/>
  <c r="D24" i="35"/>
  <c r="D15" i="35"/>
  <c r="D16" i="35" s="1"/>
  <c r="B24" i="35"/>
  <c r="B15" i="35"/>
  <c r="B16" i="35" s="1"/>
  <c r="B25" i="35" s="1"/>
  <c r="B26" i="35" s="1"/>
  <c r="J24" i="30"/>
  <c r="J15" i="30"/>
  <c r="J16" i="30" s="1"/>
  <c r="H24" i="30"/>
  <c r="H15" i="30"/>
  <c r="H16" i="30" s="1"/>
  <c r="H25" i="30" s="1"/>
  <c r="H26" i="30" s="1"/>
  <c r="F24" i="30"/>
  <c r="F15" i="30"/>
  <c r="F16" i="30" s="1"/>
  <c r="D24" i="30"/>
  <c r="D15" i="30"/>
  <c r="D16" i="30" s="1"/>
  <c r="B24" i="30"/>
  <c r="B15" i="30"/>
  <c r="E20" i="2"/>
  <c r="G21" i="2"/>
  <c r="K1" i="35"/>
  <c r="F2" i="35" s="1"/>
  <c r="K1" i="30"/>
  <c r="F2" i="30" s="1"/>
  <c r="E1" i="29"/>
  <c r="A6" i="29" s="1"/>
  <c r="D37" i="3"/>
  <c r="D22" i="5"/>
  <c r="D7" i="5" s="1"/>
  <c r="E11" i="7" s="1"/>
  <c r="E23" i="5"/>
  <c r="F24" i="5"/>
  <c r="E16" i="7"/>
  <c r="D7" i="36"/>
  <c r="E35" i="28"/>
  <c r="F38" i="28" s="1"/>
  <c r="D8" i="36"/>
  <c r="E74" i="28"/>
  <c r="F80" i="28" s="1"/>
  <c r="C16" i="21"/>
  <c r="B7" i="36"/>
  <c r="D26" i="36"/>
  <c r="D28" i="36" s="1"/>
  <c r="A1" i="36"/>
  <c r="E42" i="16"/>
  <c r="E41" i="16" s="1"/>
  <c r="D42" i="16"/>
  <c r="D41" i="16" s="1"/>
  <c r="C42" i="16"/>
  <c r="C43" i="16" s="1"/>
  <c r="E16" i="31"/>
  <c r="E15" i="31" s="1"/>
  <c r="D16" i="31"/>
  <c r="D15" i="31" s="1"/>
  <c r="C16" i="31"/>
  <c r="C15" i="31" s="1"/>
  <c r="E15" i="16"/>
  <c r="E14" i="16" s="1"/>
  <c r="D15" i="16"/>
  <c r="D14" i="16" s="1"/>
  <c r="C15" i="16"/>
  <c r="C16" i="16" s="1"/>
  <c r="E13" i="15"/>
  <c r="E12" i="15" s="1"/>
  <c r="D13" i="15"/>
  <c r="D12" i="15" s="1"/>
  <c r="C13" i="15"/>
  <c r="C12" i="15" s="1"/>
  <c r="E39" i="15"/>
  <c r="E38" i="15" s="1"/>
  <c r="D39" i="15"/>
  <c r="D38" i="15" s="1"/>
  <c r="C39" i="15"/>
  <c r="C38" i="15" s="1"/>
  <c r="A64" i="29"/>
  <c r="C5" i="35"/>
  <c r="E5" i="35"/>
  <c r="G5" i="35"/>
  <c r="I5" i="35"/>
  <c r="A5" i="35"/>
  <c r="C5" i="30"/>
  <c r="E5" i="30"/>
  <c r="G5" i="30"/>
  <c r="I5" i="30"/>
  <c r="A5" i="30"/>
  <c r="E16" i="21"/>
  <c r="G61" i="7" s="1"/>
  <c r="E29" i="48"/>
  <c r="G1" i="3"/>
  <c r="C50" i="3" s="1"/>
  <c r="B33" i="3"/>
  <c r="B32" i="3"/>
  <c r="A26" i="21"/>
  <c r="A25" i="21"/>
  <c r="M1" i="22"/>
  <c r="J6" i="22" s="1"/>
  <c r="D87" i="2"/>
  <c r="E87" i="2"/>
  <c r="A18" i="2"/>
  <c r="G42" i="22"/>
  <c r="G32" i="22"/>
  <c r="G20" i="22"/>
  <c r="F35" i="21"/>
  <c r="B1" i="22"/>
  <c r="A36" i="2"/>
  <c r="E26" i="27"/>
  <c r="E28" i="27" s="1"/>
  <c r="F28" i="21" s="1"/>
  <c r="D26" i="27"/>
  <c r="D28" i="27" s="1"/>
  <c r="D28" i="21" s="1"/>
  <c r="C26" i="27"/>
  <c r="C28" i="27" s="1"/>
  <c r="B28" i="21" s="1"/>
  <c r="A24" i="21"/>
  <c r="A23" i="21"/>
  <c r="A22" i="21"/>
  <c r="A20" i="21"/>
  <c r="A19" i="21"/>
  <c r="A18" i="21"/>
  <c r="A17" i="21"/>
  <c r="A16" i="21"/>
  <c r="E29" i="15"/>
  <c r="D29" i="15"/>
  <c r="C29" i="15"/>
  <c r="B6" i="7"/>
  <c r="B5" i="31"/>
  <c r="B1" i="31"/>
  <c r="D33" i="3"/>
  <c r="D32" i="3"/>
  <c r="C21" i="3"/>
  <c r="B21" i="3"/>
  <c r="B3" i="3"/>
  <c r="H1" i="21"/>
  <c r="J30" i="21" s="1"/>
  <c r="A1" i="29"/>
  <c r="B8" i="5"/>
  <c r="B7" i="5"/>
  <c r="B1" i="5"/>
  <c r="A1" i="27"/>
  <c r="F1" i="27"/>
  <c r="E7" i="27"/>
  <c r="M20" i="22"/>
  <c r="M43" i="22" s="1"/>
  <c r="M32" i="22"/>
  <c r="M42" i="22"/>
  <c r="L20" i="22"/>
  <c r="L32" i="22"/>
  <c r="L42" i="22"/>
  <c r="K20" i="22"/>
  <c r="K43" i="22"/>
  <c r="K32" i="22"/>
  <c r="K42" i="22"/>
  <c r="J20" i="22"/>
  <c r="J32" i="22"/>
  <c r="J42" i="22"/>
  <c r="I1" i="23"/>
  <c r="K7" i="35"/>
  <c r="F15" i="35"/>
  <c r="F16" i="35"/>
  <c r="H15" i="35"/>
  <c r="H16" i="35"/>
  <c r="H25" i="35" s="1"/>
  <c r="H26" i="35" s="1"/>
  <c r="J15" i="35"/>
  <c r="J16" i="35"/>
  <c r="J25" i="35" s="1"/>
  <c r="J26" i="35" s="1"/>
  <c r="K7" i="30"/>
  <c r="B69" i="2"/>
  <c r="D68" i="2"/>
  <c r="D36" i="3"/>
  <c r="B5" i="3"/>
  <c r="B1" i="7"/>
  <c r="B1" i="23"/>
  <c r="I28" i="23"/>
  <c r="H28" i="23"/>
  <c r="G28" i="23"/>
  <c r="F38" i="21" s="1"/>
  <c r="B1" i="15"/>
  <c r="B1" i="16"/>
  <c r="A5" i="21"/>
  <c r="G18" i="49"/>
  <c r="D7" i="49"/>
  <c r="J65" i="28"/>
  <c r="J66" i="28"/>
  <c r="C19" i="36"/>
  <c r="D9" i="36"/>
  <c r="D11" i="36"/>
  <c r="D13" i="36"/>
  <c r="D15" i="36"/>
  <c r="D17" i="36"/>
  <c r="D6" i="36"/>
  <c r="D19" i="36" s="1"/>
  <c r="D16" i="36"/>
  <c r="D10" i="36"/>
  <c r="D12" i="36"/>
  <c r="D18" i="36"/>
  <c r="D14" i="36"/>
  <c r="M38" i="21"/>
  <c r="J45" i="7"/>
  <c r="J46" i="7"/>
  <c r="J44" i="7"/>
  <c r="E22" i="15"/>
  <c r="J35" i="21"/>
  <c r="D19" i="5"/>
  <c r="H12" i="5"/>
  <c r="H15" i="5"/>
  <c r="H10" i="5"/>
  <c r="H16" i="5"/>
  <c r="H14" i="5"/>
  <c r="D17" i="5"/>
  <c r="D16" i="5"/>
  <c r="H33" i="5"/>
  <c r="H8" i="5"/>
  <c r="E14" i="28" s="1"/>
  <c r="H19" i="5"/>
  <c r="D14" i="5"/>
  <c r="E11" i="5"/>
  <c r="E19" i="5"/>
  <c r="E16" i="5"/>
  <c r="E17" i="5"/>
  <c r="E12" i="5"/>
  <c r="E7" i="5" s="1"/>
  <c r="E12" i="7" s="1"/>
  <c r="E13" i="5"/>
  <c r="E18" i="5"/>
  <c r="E10" i="5"/>
  <c r="E15" i="5"/>
  <c r="E14" i="5"/>
  <c r="D10" i="5"/>
  <c r="D11" i="5"/>
  <c r="H18" i="5"/>
  <c r="H13" i="5"/>
  <c r="H11" i="5"/>
  <c r="F31" i="5"/>
  <c r="F8" i="5"/>
  <c r="E12" i="28" s="1"/>
  <c r="D15" i="5"/>
  <c r="D18" i="5"/>
  <c r="H17" i="5"/>
  <c r="D13" i="5"/>
  <c r="D12" i="5"/>
  <c r="F16" i="5"/>
  <c r="F13" i="5"/>
  <c r="F11" i="5"/>
  <c r="F14" i="5"/>
  <c r="F19" i="5"/>
  <c r="F18" i="5"/>
  <c r="F17" i="5"/>
  <c r="F12" i="5"/>
  <c r="F15" i="5"/>
  <c r="F10" i="5"/>
  <c r="G19" i="5"/>
  <c r="G16" i="5"/>
  <c r="G13" i="5"/>
  <c r="G11" i="5"/>
  <c r="G15" i="5"/>
  <c r="G12" i="5"/>
  <c r="G18" i="5"/>
  <c r="G17" i="5"/>
  <c r="G10" i="5"/>
  <c r="G14" i="5"/>
  <c r="D34" i="21"/>
  <c r="C5" i="28"/>
  <c r="C47" i="28" s="1"/>
  <c r="B13" i="21"/>
  <c r="J27" i="21"/>
  <c r="A20" i="29"/>
  <c r="F34" i="21"/>
  <c r="F13" i="21"/>
  <c r="A10" i="21"/>
  <c r="G87" i="28"/>
  <c r="G65" i="28"/>
  <c r="H71" i="28"/>
  <c r="C61" i="28"/>
  <c r="G33" i="28"/>
  <c r="C34" i="28"/>
  <c r="E34" i="28"/>
  <c r="E78" i="28"/>
  <c r="M37" i="21"/>
  <c r="J86" i="28"/>
  <c r="J44" i="28"/>
  <c r="J66" i="7"/>
  <c r="C14" i="16"/>
  <c r="E73" i="28"/>
  <c r="D48" i="28"/>
  <c r="C98" i="28"/>
  <c r="E37" i="28"/>
  <c r="E39" i="28"/>
  <c r="G81" i="28"/>
  <c r="F36" i="21"/>
  <c r="D5" i="15"/>
  <c r="D30" i="15" s="1"/>
  <c r="L43" i="22"/>
  <c r="F12" i="3"/>
  <c r="G37" i="3"/>
  <c r="B9" i="3"/>
  <c r="B8" i="3"/>
  <c r="E10" i="3"/>
  <c r="D39" i="21"/>
  <c r="H9" i="23"/>
  <c r="B55" i="16"/>
  <c r="C5" i="16"/>
  <c r="C33" i="16" s="1"/>
  <c r="D5" i="16"/>
  <c r="D33" i="16" s="1"/>
  <c r="E5" i="16"/>
  <c r="E33" i="16" s="1"/>
  <c r="B43" i="31"/>
  <c r="C5" i="31"/>
  <c r="B38" i="31"/>
  <c r="D5" i="31"/>
  <c r="B32" i="28"/>
  <c r="G86" i="28"/>
  <c r="E5" i="28"/>
  <c r="E47" i="28"/>
  <c r="G68" i="28"/>
  <c r="C81" i="28"/>
  <c r="C42" i="28"/>
  <c r="H39" i="28"/>
  <c r="H41" i="28"/>
  <c r="H81" i="28"/>
  <c r="H30" i="28"/>
  <c r="H72" i="28"/>
  <c r="H76" i="28"/>
  <c r="D5" i="28"/>
  <c r="D47" i="28" s="1"/>
  <c r="B76" i="28"/>
  <c r="H34" i="28"/>
  <c r="G45" i="28"/>
  <c r="H82" i="28"/>
  <c r="H73" i="28"/>
  <c r="H28" i="28"/>
  <c r="H80" i="28"/>
  <c r="H38" i="28"/>
  <c r="G23" i="28"/>
  <c r="H70" i="28"/>
  <c r="H31" i="28"/>
  <c r="G19" i="28"/>
  <c r="H29" i="28"/>
  <c r="G26" i="28"/>
  <c r="B37" i="28"/>
  <c r="H75" i="28"/>
  <c r="H33" i="28"/>
  <c r="H83" i="28"/>
  <c r="H40" i="28"/>
  <c r="G44" i="28"/>
  <c r="G61" i="28"/>
  <c r="B51" i="15"/>
  <c r="E5" i="15"/>
  <c r="E30" i="15" s="1"/>
  <c r="B46" i="48"/>
  <c r="B78" i="48"/>
  <c r="B84" i="48"/>
  <c r="B91" i="48"/>
  <c r="L6" i="22"/>
  <c r="E8" i="5"/>
  <c r="H9" i="5"/>
  <c r="E56" i="28" s="1"/>
  <c r="C38" i="56"/>
  <c r="H35" i="56"/>
  <c r="H36" i="56"/>
  <c r="H40" i="56"/>
  <c r="C50" i="56"/>
  <c r="C29" i="56"/>
  <c r="C30" i="56"/>
  <c r="C55" i="56"/>
  <c r="C57" i="56"/>
  <c r="B8" i="56"/>
  <c r="C31" i="56"/>
  <c r="B9" i="56"/>
  <c r="B10" i="56"/>
  <c r="C32" i="56"/>
  <c r="A4" i="55"/>
  <c r="B18" i="55"/>
  <c r="B32" i="55"/>
  <c r="B41" i="55"/>
  <c r="B6" i="55"/>
  <c r="B21" i="55"/>
  <c r="B42" i="55"/>
  <c r="B24" i="55"/>
  <c r="B35" i="55"/>
  <c r="B7" i="55"/>
  <c r="B26" i="55"/>
  <c r="B36" i="55"/>
  <c r="B29" i="55"/>
  <c r="B44" i="55"/>
  <c r="B30" i="55"/>
  <c r="B11" i="55"/>
  <c r="F9" i="5"/>
  <c r="E54" i="28" s="1"/>
  <c r="G19" i="48" s="1"/>
  <c r="A3" i="24"/>
  <c r="B7" i="24"/>
  <c r="A57" i="29"/>
  <c r="G7" i="22"/>
  <c r="D8" i="5"/>
  <c r="E10" i="28" s="1"/>
  <c r="E9" i="5"/>
  <c r="E53" i="28" s="1"/>
  <c r="G18" i="48" s="1"/>
  <c r="A54" i="29"/>
  <c r="A15" i="29"/>
  <c r="G9" i="5"/>
  <c r="E55" i="28" s="1"/>
  <c r="G8" i="5"/>
  <c r="E13" i="28" s="1"/>
  <c r="B39" i="28"/>
  <c r="E11" i="28"/>
  <c r="J29" i="21"/>
  <c r="D13" i="21"/>
  <c r="D9" i="5"/>
  <c r="E52" i="28" s="1"/>
  <c r="G17" i="48" s="1"/>
  <c r="B5" i="24"/>
  <c r="B6" i="24"/>
  <c r="C16" i="24"/>
  <c r="A10" i="24"/>
  <c r="B25" i="24"/>
  <c r="B14" i="24"/>
  <c r="B40" i="24"/>
  <c r="B19" i="24"/>
  <c r="C15" i="24"/>
  <c r="B34" i="24"/>
  <c r="G43" i="22"/>
  <c r="F37" i="21"/>
  <c r="D5" i="36"/>
  <c r="B5" i="36"/>
  <c r="A37" i="29"/>
  <c r="B62" i="29"/>
  <c r="C62" i="29"/>
  <c r="A14" i="29"/>
  <c r="A39" i="29"/>
  <c r="A49" i="29"/>
  <c r="A7" i="29"/>
  <c r="A9" i="29"/>
  <c r="A55" i="29"/>
  <c r="A56" i="29"/>
  <c r="G75" i="28"/>
  <c r="C73" i="28"/>
  <c r="J83" i="45"/>
  <c r="C24" i="28"/>
  <c r="C36" i="28" s="1"/>
  <c r="C22" i="28"/>
  <c r="H55" i="7"/>
  <c r="H60" i="7"/>
  <c r="H63" i="7"/>
  <c r="B14" i="3"/>
  <c r="A61" i="29"/>
  <c r="A17" i="29"/>
  <c r="D25" i="35" l="1"/>
  <c r="D26" i="35" s="1"/>
  <c r="K16" i="35"/>
  <c r="K15" i="35"/>
  <c r="F25" i="35"/>
  <c r="F26" i="35" s="1"/>
  <c r="D25" i="30"/>
  <c r="D26" i="30" s="1"/>
  <c r="D44" i="31"/>
  <c r="B23" i="16"/>
  <c r="B50" i="16"/>
  <c r="C41" i="16"/>
  <c r="C56" i="16"/>
  <c r="E52" i="16"/>
  <c r="D52" i="16"/>
  <c r="D20" i="21"/>
  <c r="E24" i="3"/>
  <c r="F19" i="21"/>
  <c r="B46" i="15"/>
  <c r="C52" i="15"/>
  <c r="C48" i="15"/>
  <c r="B25" i="15"/>
  <c r="F18" i="21"/>
  <c r="E23" i="3"/>
  <c r="D48" i="15"/>
  <c r="D18" i="21"/>
  <c r="F17" i="21"/>
  <c r="E22" i="3"/>
  <c r="D22" i="15"/>
  <c r="D17" i="21"/>
  <c r="J20" i="21"/>
  <c r="J23" i="21"/>
  <c r="G14" i="21"/>
  <c r="J38" i="21"/>
  <c r="J22" i="21"/>
  <c r="J36" i="21"/>
  <c r="B34" i="21"/>
  <c r="B39" i="21"/>
  <c r="E28" i="48"/>
  <c r="D21" i="21"/>
  <c r="D40" i="31"/>
  <c r="F21" i="21"/>
  <c r="E43" i="31"/>
  <c r="E40" i="31"/>
  <c r="C40" i="31"/>
  <c r="B21" i="21"/>
  <c r="C17" i="31"/>
  <c r="C42" i="31" s="1"/>
  <c r="E25" i="16"/>
  <c r="E28" i="16"/>
  <c r="D29" i="16"/>
  <c r="D25" i="16"/>
  <c r="C25" i="16"/>
  <c r="C29" i="16"/>
  <c r="C27" i="16"/>
  <c r="D6" i="16" s="1"/>
  <c r="D16" i="16" s="1"/>
  <c r="D27" i="16" s="1"/>
  <c r="D56" i="16"/>
  <c r="E55" i="16"/>
  <c r="E25" i="3"/>
  <c r="C52" i="16"/>
  <c r="C54" i="16"/>
  <c r="C57" i="16" s="1"/>
  <c r="E25" i="15"/>
  <c r="E48" i="15"/>
  <c r="E51" i="15"/>
  <c r="C14" i="15"/>
  <c r="C24" i="15" s="1"/>
  <c r="D6" i="15" s="1"/>
  <c r="D14" i="15" s="1"/>
  <c r="D24" i="15" s="1"/>
  <c r="E6" i="15" s="1"/>
  <c r="E14" i="15" s="1"/>
  <c r="E24" i="15" s="1"/>
  <c r="E26" i="15" s="1"/>
  <c r="K24" i="30"/>
  <c r="B25" i="21" s="1"/>
  <c r="F25" i="30"/>
  <c r="F26" i="30" s="1"/>
  <c r="J25" i="30"/>
  <c r="J26" i="30" s="1"/>
  <c r="K24" i="35"/>
  <c r="B26" i="21" s="1"/>
  <c r="D52" i="15"/>
  <c r="G45" i="7"/>
  <c r="H53" i="7"/>
  <c r="H50" i="7"/>
  <c r="H52" i="7"/>
  <c r="H51" i="7"/>
  <c r="D6" i="7"/>
  <c r="B54" i="7"/>
  <c r="B49" i="7"/>
  <c r="E6" i="7"/>
  <c r="G67" i="7"/>
  <c r="G48" i="7"/>
  <c r="G66" i="7"/>
  <c r="H61" i="7"/>
  <c r="H56" i="7"/>
  <c r="C6" i="7"/>
  <c r="C59" i="7"/>
  <c r="G41" i="7"/>
  <c r="H62" i="7"/>
  <c r="C27" i="21"/>
  <c r="H7" i="5"/>
  <c r="E15" i="7" s="1"/>
  <c r="G7" i="5"/>
  <c r="F7" i="5"/>
  <c r="E13" i="7" s="1"/>
  <c r="G17" i="24"/>
  <c r="E15" i="48"/>
  <c r="E22" i="48" s="1"/>
  <c r="D62" i="28"/>
  <c r="E62" i="28"/>
  <c r="G71" i="28" s="1"/>
  <c r="E23" i="28"/>
  <c r="G29" i="28" s="1"/>
  <c r="J5" i="24"/>
  <c r="J8" i="24" s="1"/>
  <c r="J42" i="24" s="1"/>
  <c r="J54" i="56" s="1"/>
  <c r="J58" i="56" s="1"/>
  <c r="J61" i="56" s="1"/>
  <c r="C20" i="5"/>
  <c r="D29" i="5"/>
  <c r="E30" i="5"/>
  <c r="E21" i="3"/>
  <c r="E54" i="7"/>
  <c r="E51" i="7"/>
  <c r="F61" i="7"/>
  <c r="F16" i="21"/>
  <c r="E56" i="7"/>
  <c r="C95" i="28"/>
  <c r="D6" i="28"/>
  <c r="D24" i="28" s="1"/>
  <c r="D36" i="28" s="1"/>
  <c r="C52" i="7"/>
  <c r="E19" i="36"/>
  <c r="A32" i="36"/>
  <c r="B3" i="36"/>
  <c r="E20" i="5"/>
  <c r="G39" i="28"/>
  <c r="E27" i="21"/>
  <c r="K25" i="35"/>
  <c r="C5" i="36"/>
  <c r="F20" i="5"/>
  <c r="H20" i="5"/>
  <c r="E5" i="36"/>
  <c r="D20" i="5"/>
  <c r="D52" i="7"/>
  <c r="G9" i="23"/>
  <c r="I9" i="23"/>
  <c r="F39" i="21"/>
  <c r="C7" i="27"/>
  <c r="D7" i="27"/>
  <c r="B31" i="27" s="1"/>
  <c r="C22" i="15"/>
  <c r="E76" i="28"/>
  <c r="C6" i="5"/>
  <c r="C29" i="7"/>
  <c r="C27" i="7"/>
  <c r="G23" i="24"/>
  <c r="G32" i="24" s="1"/>
  <c r="G36" i="24" s="1"/>
  <c r="J38" i="24" s="1"/>
  <c r="J45" i="24" s="1"/>
  <c r="C5" i="15"/>
  <c r="C30" i="15" s="1"/>
  <c r="B47" i="48"/>
  <c r="C26" i="15"/>
  <c r="C40" i="15"/>
  <c r="C50" i="15" s="1"/>
  <c r="J43" i="22"/>
  <c r="K15" i="30"/>
  <c r="K26" i="30" s="1"/>
  <c r="B16" i="30"/>
  <c r="D6" i="31" l="1"/>
  <c r="D17" i="31" s="1"/>
  <c r="D42" i="31" s="1"/>
  <c r="C45" i="31"/>
  <c r="E6" i="16"/>
  <c r="E16" i="16" s="1"/>
  <c r="E27" i="16" s="1"/>
  <c r="E29" i="16" s="1"/>
  <c r="D34" i="16"/>
  <c r="D43" i="16" s="1"/>
  <c r="D54" i="16" s="1"/>
  <c r="D57" i="16" s="1"/>
  <c r="K26" i="35"/>
  <c r="E14" i="7"/>
  <c r="E28" i="7" s="1"/>
  <c r="G51" i="7" s="1"/>
  <c r="G20" i="5"/>
  <c r="D61" i="28"/>
  <c r="D63" i="28"/>
  <c r="D75" i="28" s="1"/>
  <c r="C53" i="15"/>
  <c r="D31" i="15"/>
  <c r="D40" i="15" s="1"/>
  <c r="D50" i="15" s="1"/>
  <c r="D95" i="28"/>
  <c r="G28" i="28"/>
  <c r="E6" i="28"/>
  <c r="E24" i="28" s="1"/>
  <c r="F27" i="21"/>
  <c r="F29" i="21" s="1"/>
  <c r="E34" i="3"/>
  <c r="K16" i="30"/>
  <c r="B25" i="30"/>
  <c r="C87" i="7"/>
  <c r="C51" i="7"/>
  <c r="B16" i="21"/>
  <c r="B27" i="21" s="1"/>
  <c r="B29" i="21" s="1"/>
  <c r="G55" i="7"/>
  <c r="C53" i="7"/>
  <c r="D51" i="7"/>
  <c r="D87" i="7"/>
  <c r="D16" i="21"/>
  <c r="D27" i="21" s="1"/>
  <c r="D29" i="21" s="1"/>
  <c r="G63" i="7"/>
  <c r="G83" i="28"/>
  <c r="G41" i="28"/>
  <c r="M22" i="21"/>
  <c r="M30" i="21" s="1"/>
  <c r="B40" i="28"/>
  <c r="E6" i="31" l="1"/>
  <c r="E17" i="31" s="1"/>
  <c r="E42" i="31" s="1"/>
  <c r="E44" i="31" s="1"/>
  <c r="D45" i="31"/>
  <c r="E34" i="16"/>
  <c r="E43" i="16" s="1"/>
  <c r="E54" i="16" s="1"/>
  <c r="E56" i="16" s="1"/>
  <c r="B56" i="7"/>
  <c r="D98" i="28"/>
  <c r="B79" i="28" s="1"/>
  <c r="G70" i="28"/>
  <c r="E48" i="28"/>
  <c r="E63" i="28" s="1"/>
  <c r="C88" i="7"/>
  <c r="D7" i="7"/>
  <c r="D29" i="7" s="1"/>
  <c r="E31" i="15"/>
  <c r="E40" i="15" s="1"/>
  <c r="E50" i="15" s="1"/>
  <c r="E52" i="15" s="1"/>
  <c r="D53" i="15"/>
  <c r="K25" i="30"/>
  <c r="B26" i="30"/>
  <c r="E40" i="28"/>
  <c r="E42" i="28" s="1"/>
  <c r="E22" i="28" s="1"/>
  <c r="E79" i="28" l="1"/>
  <c r="E81" i="28" s="1"/>
  <c r="E61" i="28" s="1"/>
  <c r="D53" i="7"/>
  <c r="G50" i="7" s="1"/>
  <c r="G38" i="28"/>
  <c r="J6" i="55"/>
  <c r="J8" i="55" s="1"/>
  <c r="J48" i="55" s="1"/>
  <c r="J18" i="56" s="1"/>
  <c r="F39" i="3" s="1"/>
  <c r="G30" i="28"/>
  <c r="G15" i="48" l="1"/>
  <c r="G22" i="48" s="1"/>
  <c r="G72" i="28"/>
  <c r="K30" i="28"/>
  <c r="G31" i="28"/>
  <c r="G34" i="28" s="1"/>
  <c r="D88" i="7"/>
  <c r="B57" i="7" s="1"/>
  <c r="E7" i="7"/>
  <c r="E29" i="7" s="1"/>
  <c r="K72" i="28" l="1"/>
  <c r="G73" i="28"/>
  <c r="G76" i="28" s="1"/>
  <c r="G29" i="48"/>
  <c r="E30" i="48" s="1"/>
  <c r="D31" i="48" s="1"/>
  <c r="G80" i="28"/>
  <c r="D24" i="48"/>
  <c r="F33" i="48" s="1"/>
  <c r="F84" i="28" s="1"/>
  <c r="E23" i="48"/>
  <c r="E57" i="7"/>
  <c r="E58" i="7" l="1"/>
  <c r="E59" i="7" l="1"/>
  <c r="G16" i="21" s="1"/>
  <c r="G27" i="21" s="1"/>
  <c r="M29" i="21" s="1"/>
  <c r="M31" i="21" s="1"/>
  <c r="G52" i="7" l="1"/>
  <c r="G53" i="7" s="1"/>
  <c r="G56" i="7" s="1"/>
  <c r="F21" i="3"/>
  <c r="E27" i="7"/>
  <c r="H16" i="21"/>
  <c r="G60" i="7" s="1"/>
  <c r="J67" i="7"/>
  <c r="J45" i="28"/>
  <c r="J87" i="28"/>
  <c r="M25" i="21"/>
  <c r="J25" i="21" s="1"/>
  <c r="M24" i="21"/>
  <c r="J24" i="21" s="1"/>
  <c r="F34" i="3" l="1"/>
  <c r="F40" i="3" s="1"/>
  <c r="G21" i="3"/>
  <c r="G34" i="3" s="1"/>
  <c r="K52" i="7"/>
  <c r="H27" i="21"/>
  <c r="M35" i="21" s="1"/>
  <c r="G82" i="28" l="1"/>
  <c r="G62" i="7"/>
  <c r="G40"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tc={74236671-DA07-479F-8D03-8E09F5EBAE57}</author>
  </authors>
  <commentList>
    <comment ref="C40" authorId="0" shapeId="0" xr:uid="{74236671-DA07-479F-8D03-8E09F5EBAE57}">
      <text>
        <r>
          <rPr>
            <sz val="12"/>
            <rFont val="Courier"/>
          </rPr>
          <t>[Threaded comment]
Your version of Excel allows you to read this threaded comment; however, any edits to it will get removed if the file is opened in a newer version of Excel. Learn more: https://go.microsoft.com/fwlink/?linkid=870924
Comment:
    25K for sweeper down payment</t>
        </r>
      </text>
    </comment>
  </commentList>
</comments>
</file>

<file path=xl/sharedStrings.xml><?xml version="1.0" encoding="utf-8"?>
<sst xmlns="http://schemas.openxmlformats.org/spreadsheetml/2006/main" count="1661" uniqueCount="1129">
  <si>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</si>
  <si>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</si>
  <si>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</si>
  <si>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</si>
  <si>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</si>
  <si>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</si>
  <si>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</si>
  <si>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</si>
  <si>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</si>
  <si>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</si>
  <si>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</si>
  <si>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</si>
  <si>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</si>
  <si>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</si>
  <si>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</si>
  <si>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</si>
  <si>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</si>
  <si>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</si>
  <si>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</si>
  <si>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</si>
  <si>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</si>
  <si>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Motor Vehicle Factor</t>
  </si>
  <si>
    <t>Recreational Vehicle Factor</t>
  </si>
  <si>
    <t>Adopted Budget</t>
  </si>
  <si>
    <t>Ad Valorem Tax</t>
  </si>
  <si>
    <t>Delinquent Tax</t>
  </si>
  <si>
    <t>Motor Vehicle Tax</t>
  </si>
  <si>
    <t>Recreational Vehicle Tax</t>
  </si>
  <si>
    <t>Local Alcoholic Liquor</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</si>
  <si>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</si>
  <si>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</si>
  <si>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</si>
  <si>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</si>
  <si>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</si>
  <si>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</si>
  <si>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</si>
  <si>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</si>
  <si>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</si>
  <si>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</si>
  <si>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</si>
  <si>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</si>
  <si>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</si>
  <si>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</si>
  <si>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</si>
  <si>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</si>
  <si>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</si>
  <si>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</si>
  <si>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</si>
  <si>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</si>
  <si>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</si>
  <si>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</si>
  <si>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</si>
  <si>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</si>
  <si>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</si>
  <si>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</si>
  <si>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</si>
  <si>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</si>
  <si>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</si>
  <si>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</si>
  <si>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</si>
  <si>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</si>
  <si>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</si>
  <si>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</si>
  <si>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</si>
  <si>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</si>
  <si>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</si>
  <si>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</si>
  <si>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</si>
  <si>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</si>
  <si>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</si>
  <si>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</si>
  <si>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</si>
  <si>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</si>
  <si>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</si>
  <si>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</si>
  <si>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</si>
  <si>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</si>
  <si>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</si>
  <si>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</si>
  <si>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</si>
  <si>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</si>
  <si>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Computer Spreadsheet Preparation</t>
  </si>
  <si>
    <t>CERTIFICATE</t>
  </si>
  <si>
    <t>STATEMENT OF CONDITIONAL LEASE-PURCHASE AND CERTIFICATE OF PARTICIPATION*</t>
  </si>
  <si>
    <t>NOTICE OF BUDGET HEARING</t>
  </si>
  <si>
    <t>BUDGET SUMMARY</t>
  </si>
  <si>
    <t>FUND PAGE FOR FUNDS WITH A TAX LEVY</t>
  </si>
  <si>
    <t>FUND PAGE FOR FUNDS WITH NO TAX LEVY</t>
  </si>
  <si>
    <t>STATEMENT OF INDEBTEDNESS</t>
  </si>
  <si>
    <t>16/20M Veh</t>
  </si>
  <si>
    <t>MVT</t>
  </si>
  <si>
    <t>RVT</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</si>
  <si>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</si>
  <si>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</si>
  <si>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</si>
  <si>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</si>
  <si>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</si>
  <si>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</si>
  <si>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</si>
  <si>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</si>
  <si>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</si>
  <si>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</si>
  <si>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</si>
  <si>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</si>
  <si>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</si>
  <si>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</si>
  <si>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</si>
  <si>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</si>
  <si>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</si>
  <si>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</si>
  <si>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</si>
  <si>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</si>
  <si>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</si>
  <si>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</si>
  <si>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</si>
  <si>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</si>
  <si>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</si>
  <si>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</si>
  <si>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Balance On</t>
  </si>
  <si>
    <t xml:space="preserve">  3.</t>
  </si>
  <si>
    <t xml:space="preserve">  Real Estate</t>
  </si>
  <si>
    <t xml:space="preserve">  State Assessed</t>
  </si>
  <si>
    <t xml:space="preserve">  New Improvements</t>
  </si>
  <si>
    <t>14.</t>
  </si>
  <si>
    <t>15.</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</si>
  <si>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</si>
  <si>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</si>
  <si>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</si>
  <si>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</si>
  <si>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</si>
  <si>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</si>
  <si>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</si>
  <si>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</si>
  <si>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</si>
  <si>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Current</t>
  </si>
  <si>
    <t>Proposed</t>
  </si>
  <si>
    <t>Address:</t>
  </si>
  <si>
    <t>Territory Added: (Current Year Only)</t>
  </si>
  <si>
    <t>Neighborhood Revitalization</t>
  </si>
  <si>
    <t>16\20 M Vehicle Tax</t>
  </si>
  <si>
    <t>LAVTR</t>
  </si>
  <si>
    <t>City and County Revenue Sharing</t>
  </si>
  <si>
    <t xml:space="preserve">   </t>
  </si>
  <si>
    <t>10-113</t>
  </si>
  <si>
    <t>Other (non-tax levy) fund names:</t>
  </si>
  <si>
    <t xml:space="preserve">  G.O. Bonds</t>
  </si>
  <si>
    <t xml:space="preserve">  Revenue Bonds</t>
  </si>
  <si>
    <t xml:space="preserve">  Other</t>
  </si>
  <si>
    <t xml:space="preserve">  Lease Purchase Principal</t>
  </si>
  <si>
    <t>Cash Balance Dec 31</t>
  </si>
  <si>
    <t xml:space="preserve">Unencumbered </t>
  </si>
  <si>
    <t>Amount of</t>
  </si>
  <si>
    <t>Valorem Tax</t>
  </si>
  <si>
    <t>NON-BUDGETED FUNDS (A)</t>
  </si>
  <si>
    <t>NON-BUDGETED FUNDS (B)</t>
  </si>
  <si>
    <t>14. Added to instruction line 9c about the miscellaneous receipt for the proposed year takes into account the ad valorem taxes for the 10% Rule.</t>
  </si>
  <si>
    <t>15. Added to instruction line 6 for using chartered ordinance number in place of statute reference.</t>
  </si>
  <si>
    <t>12. Changed instruction line 9a to reflect General Fund Detail (GenDetail) is linked to the General Fund (general) and that detail 'Page Total' amounts should agree to 'Sub-Total' on the General Fund page.</t>
  </si>
  <si>
    <t>9. Added instruction line 2b to explain how to delete delinquency rate from tax levy fund pages.</t>
  </si>
  <si>
    <t>13. Added instruction lines 9j to 9l for additional edits for budget authority.</t>
  </si>
  <si>
    <t>Non-Budgeted (B)</t>
  </si>
  <si>
    <t>(1) Fund Name:</t>
  </si>
  <si>
    <t>(2) Fund Name:</t>
  </si>
  <si>
    <t>(3) Fund Name:</t>
  </si>
  <si>
    <t>(4) Fund Name:</t>
  </si>
  <si>
    <t>(5) Fund Name:</t>
  </si>
  <si>
    <t>Beginning Amount</t>
  </si>
  <si>
    <t xml:space="preserve">of </t>
  </si>
  <si>
    <t>Outstanding</t>
  </si>
  <si>
    <t>Retirement</t>
  </si>
  <si>
    <t xml:space="preserve">Total Other </t>
  </si>
  <si>
    <t>Transfers</t>
  </si>
  <si>
    <t>Amount for</t>
  </si>
  <si>
    <t>Authorized by</t>
  </si>
  <si>
    <t>From:</t>
  </si>
  <si>
    <t>To:</t>
  </si>
  <si>
    <t xml:space="preserve"> Statute</t>
  </si>
  <si>
    <t>Adjusted Totals</t>
  </si>
  <si>
    <t>Budgeted Funds</t>
  </si>
  <si>
    <t>City Official Title:</t>
  </si>
  <si>
    <t>Estimate</t>
  </si>
  <si>
    <t>Non-Budgeted Funds-A</t>
  </si>
  <si>
    <t>Non-Budgeted Funds-B</t>
  </si>
  <si>
    <r>
      <t>**</t>
    </r>
    <r>
      <rPr>
        <b/>
        <u/>
        <sz val="12"/>
        <rFont val="Times New Roman"/>
        <family val="1"/>
      </rPr>
      <t>Note</t>
    </r>
    <r>
      <rPr>
        <sz val="12"/>
        <rFont val="Times New Roman"/>
        <family val="1"/>
      </rPr>
      <t>: The delinquency rate can be up to 5% more than the actual delinquency rate from the previous year.</t>
    </r>
  </si>
  <si>
    <t>Single Non Tax Levy:</t>
  </si>
  <si>
    <t>Non-Budgeted (A):</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</si>
  <si>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</si>
  <si>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</si>
  <si>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</si>
  <si>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</si>
  <si>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</si>
  <si>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</si>
  <si>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</si>
  <si>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</si>
  <si>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</si>
  <si>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</si>
  <si>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</si>
  <si>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All dollar amounts should be rounded to whole dollars (do not record cents).</t>
  </si>
  <si>
    <t>The blue areas indicated where the information comes from to complete the section input.</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</si>
  <si>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</si>
  <si>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</si>
  <si>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</si>
  <si>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</si>
  <si>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</si>
  <si>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</si>
  <si>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Fund name for all other funds with a tax levy:</t>
  </si>
  <si>
    <t xml:space="preserve">The input for the following comes directly from </t>
  </si>
  <si>
    <t>Budget Summary</t>
  </si>
  <si>
    <t xml:space="preserve">Data can be entered into the green shaded area of the budget worksheets.  </t>
  </si>
  <si>
    <t>**</t>
  </si>
  <si>
    <t>**Note: These two block figures should agree.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</si>
  <si>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</si>
  <si>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</si>
  <si>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</si>
  <si>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</si>
  <si>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</si>
  <si>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</si>
  <si>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</si>
  <si>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Outstanding Indebtedness, January 1:</t>
  </si>
  <si>
    <t>From the League of Municipalities' Budget Tips (Special City and County Highway Fund):</t>
  </si>
  <si>
    <t>Attest: _____________________,</t>
  </si>
  <si>
    <t>7. Added four single pages for no tax levy fund page.</t>
  </si>
  <si>
    <t>Funds</t>
  </si>
  <si>
    <t>Budget Authority</t>
  </si>
  <si>
    <t xml:space="preserve">expenditure amounts should reflect the amended </t>
  </si>
  <si>
    <t>expenditure amounts.</t>
  </si>
  <si>
    <t>Miscellaneous</t>
  </si>
  <si>
    <t>Neighborhood Revitalization Rebate</t>
  </si>
  <si>
    <t xml:space="preserve">There are five (5) budget workbooks for cities: city.xls, city1.xls, city2.xls, city3.xls or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</si>
  <si>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Red areas are for notes or indicate a problem area that will need possible corrective action taken.</t>
  </si>
  <si>
    <t>To print the spreadsheets, you can either print one sheet at a time or all of the sheets at once.</t>
  </si>
  <si>
    <t xml:space="preserve">Submitting the Budget </t>
  </si>
  <si>
    <t xml:space="preserve">The worksheets are named (see the tab) in each budget workbook.  We will identify the worksheet by referencing the tab in parentheses (i.e. General Fund reference would be (general)). </t>
  </si>
  <si>
    <r>
      <t xml:space="preserve">Budgets are required to be sent to the County Clerk by </t>
    </r>
    <r>
      <rPr>
        <b/>
        <sz val="12"/>
        <rFont val="Times New Roman"/>
        <family val="1"/>
      </rPr>
      <t>August 25</t>
    </r>
    <r>
      <rPr>
        <sz val="12"/>
        <rFont val="Times New Roman"/>
        <family val="1"/>
      </rPr>
      <t xml:space="preserve"> of each year. </t>
    </r>
  </si>
  <si>
    <t>Cash Balance Jan 1</t>
  </si>
  <si>
    <t>***If you are merely leasing/renting with no intent to purchase, do not list--such transactions are not lease-purchases.</t>
  </si>
  <si>
    <t>22. Added note on non-budgeted fund pages to ensure the amounts agree.</t>
  </si>
  <si>
    <t>21. Added four single no levy fund pages and 2 non-budgeted pages.</t>
  </si>
  <si>
    <t>23. Added to instructions about non-appropriated funds limit of 5%.</t>
  </si>
  <si>
    <t>24. Added warning "Exceeds 5%" on all fund pages for the non-appropriated balance.</t>
  </si>
  <si>
    <t>25. Added Neighborhood Revitalization table with and added links to all tax levy fund pages.</t>
  </si>
  <si>
    <t>26. Added to the instructions about neighborhood revitalization.</t>
  </si>
  <si>
    <t>27. Added Slider to the Vehicle Allocation table and linked to fund pages.</t>
  </si>
  <si>
    <t>28. Added to all budgeted fund pages the budget authority for the actual year, budget violation, and cash violation.</t>
  </si>
  <si>
    <t>29. Added instruction on the addition for item 29.</t>
  </si>
  <si>
    <t>30. Added miscellaneous category to receipt/expenditure on all fund pages and set up violation statement.</t>
  </si>
  <si>
    <t>31. Added instruction on the miscellaneous on how to clear the statement.</t>
  </si>
  <si>
    <t>32. Added block on the certificate page for page number of neighborhood revit.</t>
  </si>
  <si>
    <t>33. Change Certificate page total for mil rate from 0 to blank.</t>
  </si>
  <si>
    <t>35. Added 'excluding oil, gas, and mobile homes' to lines 8 and 14 on Clerks budget info on tab inputoth.</t>
  </si>
  <si>
    <t>34. Expanded on the preparation of budget note 11 for instructions for the Notice of Budget Hearing.</t>
  </si>
  <si>
    <t>The following were changed to this spreadsheet on 5/08/2008</t>
  </si>
  <si>
    <r>
      <t>1. On both the Non-Budgeted Funds forms changed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</si>
  <si>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</si>
  <si>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4. The page revision dates were changed.</t>
  </si>
  <si>
    <t>3. Instruction page #9a change from 'shown be shown' to read 'should be shown'.</t>
  </si>
  <si>
    <t>The following were changed to this spreadsheet on 6/16/08</t>
  </si>
  <si>
    <t>1. On 'inputPrYr'  tax levy column 'D' total on line 71 change to add line 59 - 70 versus 59-64.</t>
  </si>
  <si>
    <t>Debt Service</t>
  </si>
  <si>
    <r>
      <t>3a. Made the total expenditures block for the actual and current year to turn '</t>
    </r>
    <r>
      <rPr>
        <sz val="12"/>
        <color indexed="10"/>
        <rFont val="Times New Roman"/>
        <family val="1"/>
      </rPr>
      <t>Red</t>
    </r>
    <r>
      <rPr>
        <sz val="12"/>
        <rFont val="Times New Roman"/>
        <family val="1"/>
      </rPr>
      <t>' if violation occurs.</t>
    </r>
  </si>
  <si>
    <t>2a.  Enter the Computation of Delinquency information. Please note that K.S.A. 79-2930 states that such allowance shall not exceed by more than 5% the percentage of delinquency for the preceding tax year.  Such allowance is not mandatory, but may be used if the municipality wishes. If used, the delinquency rate will be applied to all tax levy fund pages.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</si>
  <si>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</si>
  <si>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</si>
  <si>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</si>
  <si>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</si>
  <si>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</si>
  <si>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</si>
  <si>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abbrivated the non-appropriated, total expenditures/non-appropriated, and delinquency computation rate.</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</si>
  <si>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</si>
  <si>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</si>
  <si>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7a. Added 4a to explain about no-fund warrants and temporary notes can be added to the debt service on the Computation to Determine Levy Limit.</t>
  </si>
  <si>
    <t>7b. Added 9d to explain more about the debt service fund page can included for debts.</t>
  </si>
  <si>
    <t>10. Changed the Bond &amp; Interest tab (B&amp;I) to Debt Service tab (DebtService).</t>
  </si>
  <si>
    <t>11. Changed the revised date on all pages changed.</t>
  </si>
  <si>
    <t>The following were changed to this spreadsheet on 8/14/08</t>
  </si>
  <si>
    <t>6. Neighborhood Revitalization (nhood) made the estimate rebate round the figures to whole dollars.</t>
  </si>
  <si>
    <t>8. Added to the instruction page lines 10a - 10c to provide a little more insight for the Neighborhood Revitalization rebate.</t>
  </si>
  <si>
    <t>The following were changed to this spreadsheet on 7/01/08</t>
  </si>
  <si>
    <t>1. Added instructions to 9f for the NonBudA and NonBudB tabs explaining about negative cash balance.</t>
  </si>
  <si>
    <t>2. Changed the formula for unencumbered cash balances for NonBudA and NonBudB to show a negative balance.</t>
  </si>
  <si>
    <t>3. Added box under unencumbered cash balance for NonBudA and NonBudB to reflect a negative ending cash balance.</t>
  </si>
  <si>
    <t>4. Changed foot note to reflect the changes maded on 7/1/08 to the above tabs.</t>
  </si>
  <si>
    <t xml:space="preserve">Ad Valorem Tax </t>
  </si>
  <si>
    <t>11. Added Neighborhood Revitalization, LAVTR, City and County Revenue Sharing, and Slider to the input page and to the General Fund page. And added NR to all tax levy fund pages.</t>
  </si>
  <si>
    <t xml:space="preserve">General Instructions </t>
  </si>
  <si>
    <t>Fund Names:</t>
  </si>
  <si>
    <t>Statute</t>
  </si>
  <si>
    <t>General</t>
  </si>
  <si>
    <t>Total</t>
  </si>
  <si>
    <t>Motor Vehicle Tax Estimate</t>
  </si>
  <si>
    <t>Recreational Vehicle Tax Estimate</t>
  </si>
  <si>
    <t>certify that: (1) the hearing mentioned in the attached publication was held;</t>
  </si>
  <si>
    <t>The following were changed to this spreadsheet on 2/23/09</t>
  </si>
  <si>
    <t>1. Instruction under Submitting of Budget ….required electronic submission.</t>
  </si>
  <si>
    <t>2. Input other tab line 57 change from Budget Summary to Budget Certificate.</t>
  </si>
  <si>
    <t>1. Mvalloc tab, change table reference for each cell from 'D' to 'E'</t>
  </si>
  <si>
    <t xml:space="preserve">2. Levy page 9 tab, merged cells c17, e17, c52, and e52 </t>
  </si>
  <si>
    <t>3. Levy page 10 tab, merged cells, c17, e17, c53, and e53</t>
  </si>
  <si>
    <t>4. Summ tab, changed Less: Transfer cell D26 to 28 and E26 to 28</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</si>
  <si>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</si>
  <si>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</si>
  <si>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</si>
  <si>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</si>
  <si>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</si>
  <si>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</si>
  <si>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</si>
  <si>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</si>
  <si>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</si>
  <si>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</si>
  <si>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</si>
  <si>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</si>
  <si>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</si>
  <si>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</si>
  <si>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</si>
  <si>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</si>
  <si>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</si>
  <si>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</si>
  <si>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</si>
  <si>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Valuation Factor:</t>
  </si>
  <si>
    <t>Neighborhood Revitalization Subj to Rebate:</t>
  </si>
  <si>
    <t>Neighborhood Revitalization factor:</t>
  </si>
  <si>
    <t>Non-Budgeted Funds - Cities</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</si>
  <si>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</si>
  <si>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</si>
  <si>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</si>
  <si>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</si>
  <si>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</si>
  <si>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</si>
  <si>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</si>
  <si>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</si>
  <si>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</si>
  <si>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</si>
  <si>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</si>
  <si>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</si>
  <si>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</si>
  <si>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</si>
  <si>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</si>
  <si>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</si>
  <si>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</si>
  <si>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</si>
  <si>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</si>
  <si>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</si>
  <si>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</si>
  <si>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</si>
  <si>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</si>
  <si>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</si>
  <si>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</si>
  <si>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</si>
  <si>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</si>
  <si>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</si>
  <si>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</si>
  <si>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</si>
  <si>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</si>
  <si>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</si>
  <si>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</si>
  <si>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</si>
  <si>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</si>
  <si>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</si>
  <si>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</si>
  <si>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</si>
  <si>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</si>
  <si>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</si>
  <si>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</si>
  <si>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</si>
  <si>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</si>
  <si>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</si>
  <si>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</si>
  <si>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</si>
  <si>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</si>
  <si>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</si>
  <si>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</si>
  <si>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</si>
  <si>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</si>
  <si>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</si>
  <si>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</si>
  <si>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</si>
  <si>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</si>
  <si>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</si>
  <si>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</si>
  <si>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</si>
  <si>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</si>
  <si>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</si>
  <si>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</si>
  <si>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</si>
  <si>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</si>
  <si>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</si>
  <si>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</si>
  <si>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</si>
  <si>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</si>
  <si>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</si>
  <si>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</si>
  <si>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</si>
  <si>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</si>
  <si>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</si>
  <si>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</si>
  <si>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</si>
  <si>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</si>
  <si>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</si>
  <si>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</si>
  <si>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</si>
  <si>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</si>
  <si>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</si>
  <si>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</si>
  <si>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</si>
  <si>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</si>
  <si>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</si>
  <si>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</si>
  <si>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</si>
  <si>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</si>
  <si>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</si>
  <si>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</si>
  <si>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</si>
  <si>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</si>
  <si>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</si>
  <si>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</si>
  <si>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</si>
  <si>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</si>
  <si>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</si>
  <si>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</si>
  <si>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</si>
  <si>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</si>
  <si>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</si>
  <si>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</si>
  <si>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</si>
  <si>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</si>
  <si>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</si>
  <si>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</si>
  <si>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</si>
  <si>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</si>
  <si>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</si>
  <si>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</si>
  <si>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</si>
  <si>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</si>
  <si>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</si>
  <si>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</si>
  <si>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</si>
  <si>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</si>
  <si>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</si>
  <si>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</si>
  <si>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</si>
  <si>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</si>
  <si>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</si>
  <si>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</si>
  <si>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</si>
  <si>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</si>
  <si>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</si>
  <si>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</si>
  <si>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</si>
  <si>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</si>
  <si>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</si>
  <si>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</si>
  <si>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</si>
  <si>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</si>
  <si>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</si>
  <si>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</si>
  <si>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</si>
  <si>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</si>
  <si>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</si>
  <si>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</si>
  <si>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</si>
  <si>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</si>
  <si>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</si>
  <si>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</si>
  <si>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</si>
  <si>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</si>
  <si>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</si>
  <si>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</si>
  <si>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</si>
  <si>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</si>
  <si>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</si>
  <si>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</si>
  <si>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</si>
  <si>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</si>
  <si>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</si>
  <si>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</si>
  <si>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</si>
  <si>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</si>
  <si>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</si>
  <si>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</si>
  <si>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</si>
  <si>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</si>
  <si>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</si>
  <si>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</si>
  <si>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</si>
  <si>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</si>
  <si>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</si>
  <si>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</si>
  <si>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</si>
  <si>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</si>
  <si>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</si>
  <si>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</si>
  <si>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</si>
  <si>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</si>
  <si>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</si>
  <si>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</si>
  <si>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</si>
  <si>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</si>
  <si>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</si>
  <si>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</si>
  <si>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</si>
  <si>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</si>
  <si>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</si>
  <si>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</si>
  <si>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</si>
  <si>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</si>
  <si>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</si>
  <si>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</si>
  <si>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</si>
  <si>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</si>
  <si>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</si>
  <si>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</si>
  <si>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</si>
  <si>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</si>
  <si>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</si>
  <si>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</si>
  <si>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</si>
  <si>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</si>
  <si>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</si>
  <si>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</si>
  <si>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</si>
  <si>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</si>
  <si>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</si>
  <si>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</si>
  <si>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</si>
  <si>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</si>
  <si>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</si>
  <si>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</si>
  <si>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</si>
  <si>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</si>
  <si>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</si>
  <si>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</si>
  <si>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</si>
  <si>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</si>
  <si>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</si>
  <si>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</si>
  <si>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</si>
  <si>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</si>
  <si>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</si>
  <si>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</si>
  <si>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</si>
  <si>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</si>
  <si>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</si>
  <si>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</si>
  <si>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</si>
  <si>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</si>
  <si>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</si>
  <si>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</si>
  <si>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1. Instruction tab, added step 3 for 'inputBudSum'</t>
  </si>
  <si>
    <t>2. Added tab 'inputBudSum'</t>
  </si>
  <si>
    <t>3. Changed Budget Summary replacing the green areas for date/time/location so info comes from inputBudSum tab</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</si>
  <si>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</si>
  <si>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</si>
  <si>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</si>
  <si>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7. The Schedule of Transfer (transfers) is compiled from the individual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</si>
  <si>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</si>
  <si>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at the end of the lease period.  Principal Balance Due for the actual year is linked to the Budget Summary.</t>
    </r>
    <r>
      <rPr>
        <b/>
        <sz val="12"/>
        <rFont val="Times New Roman"/>
        <family val="1"/>
      </rPr>
      <t xml:space="preserve"> If the city does not have any leases, then enter 'None' on the first line.</t>
    </r>
  </si>
  <si>
    <t>hearing and answering objections of taxpayers relating to the proposed use of all funds and the amount of ad valorem tax.</t>
  </si>
  <si>
    <t>the Neighborhood Revitalization Rebate table.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</si>
  <si>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</si>
  <si>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</si>
  <si>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*Note:</t>
  </si>
  <si>
    <t>Expenditure</t>
  </si>
  <si>
    <t xml:space="preserve">Fund Transferred </t>
  </si>
  <si>
    <t>Receipt</t>
  </si>
  <si>
    <t>Fund Transferred</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</si>
  <si>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</si>
  <si>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</si>
  <si>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</si>
  <si>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</si>
  <si>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</si>
  <si>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Non-Appropriated Balance</t>
  </si>
  <si>
    <t>Total Expenditure/Non-Appr Balance</t>
  </si>
  <si>
    <t>Delinquent Comp Rate:</t>
  </si>
  <si>
    <t>Does miscellaneous exceed 10% of Total Exp</t>
  </si>
  <si>
    <t>Does miscellanous exceed 10% of Total Exp</t>
  </si>
  <si>
    <t>Official Title:</t>
  </si>
  <si>
    <t>for Expenditures</t>
  </si>
  <si>
    <t>Desired Carryover Amount:</t>
  </si>
  <si>
    <t>Estimated Mill Rate Impact:</t>
  </si>
  <si>
    <t>City Clerk, City Treasurer, Mayor</t>
  </si>
  <si>
    <t>1. All pages removed the revision date</t>
  </si>
  <si>
    <t>2. All tax levy fund pages reduced the columns and revised the bottom of pages for see tabs</t>
  </si>
  <si>
    <t>3. Instruction tab added lines 4c (cert-rec), 11b (fund-rec), 14(project carryover), 14a (Desired Carryover), and 15 (protection)</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</si>
  <si>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</si>
  <si>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</si>
  <si>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</si>
  <si>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</si>
  <si>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</si>
  <si>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</si>
  <si>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</si>
  <si>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</si>
  <si>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</si>
  <si>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</si>
  <si>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</si>
  <si>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</si>
  <si>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</si>
  <si>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</si>
  <si>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</si>
  <si>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</si>
  <si>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</si>
  <si>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</si>
  <si>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</si>
  <si>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</si>
  <si>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</si>
  <si>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</si>
  <si>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</si>
  <si>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</si>
  <si>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</si>
  <si>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</si>
  <si>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</si>
  <si>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</si>
  <si>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</si>
  <si>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</si>
  <si>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</si>
  <si>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</si>
  <si>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</si>
  <si>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</si>
  <si>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</si>
  <si>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</si>
  <si>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</si>
  <si>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</si>
  <si>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</si>
  <si>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</si>
  <si>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</si>
  <si>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</si>
  <si>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</si>
  <si>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</si>
  <si>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</si>
  <si>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</si>
  <si>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</si>
  <si>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</si>
  <si>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</si>
  <si>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</si>
  <si>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</si>
  <si>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</si>
  <si>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</si>
  <si>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</si>
  <si>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</si>
  <si>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</si>
  <si>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</si>
  <si>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</si>
  <si>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</si>
  <si>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</si>
  <si>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</si>
  <si>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</si>
  <si>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</si>
  <si>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</si>
  <si>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</si>
  <si>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</si>
  <si>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</si>
  <si>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</si>
  <si>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</si>
  <si>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</si>
  <si>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</si>
  <si>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</si>
  <si>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</si>
  <si>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</si>
  <si>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</si>
  <si>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</si>
  <si>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</si>
  <si>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</si>
  <si>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</si>
  <si>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</si>
  <si>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</si>
  <si>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</si>
  <si>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</si>
  <si>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</si>
  <si>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</si>
  <si>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</si>
  <si>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</si>
  <si>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</si>
  <si>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</si>
  <si>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</si>
  <si>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</si>
  <si>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</si>
  <si>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</si>
  <si>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</si>
  <si>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</si>
  <si>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</si>
  <si>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</si>
  <si>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</si>
  <si>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</si>
  <si>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</si>
  <si>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</si>
  <si>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</si>
  <si>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</si>
  <si>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and not the fund page. </t>
    </r>
    <r>
      <rPr>
        <b/>
        <sz val="12"/>
        <rFont val="Times New Roman"/>
        <family val="1"/>
      </rPr>
      <t/>
    </r>
  </si>
  <si>
    <t xml:space="preserve">2. The information entered into the Input Other (inputOth) worksheet is obtained from the County Clerk, County Treasurer, League of Municipalities "Budget Tips", and the budget from two years ago (the year for actual column of current budget).  After the information has been entered, please verify the data is correct. </t>
  </si>
  <si>
    <t>Change in Ad Valorem Tax Revenue:</t>
  </si>
  <si>
    <t>What Mill Rate Would Be Desired?</t>
  </si>
  <si>
    <t>2012 Ad Valorem Tax:</t>
  </si>
  <si>
    <t>Local Sales Tax</t>
  </si>
  <si>
    <t>Franchise Tax</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</si>
  <si>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</si>
  <si>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</si>
  <si>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</si>
  <si>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</si>
  <si>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</si>
  <si>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</si>
  <si>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</si>
  <si>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</si>
  <si>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</si>
  <si>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</si>
  <si>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</si>
  <si>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the Recreation fund</t>
  </si>
  <si>
    <t>15. DebtService tab added table for 'Projected Carryover'</t>
  </si>
  <si>
    <t>16. DebtService tab redefine print que and hid comp for see tabs</t>
  </si>
  <si>
    <t>17. Levy page9 to page13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</si>
  <si>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</si>
  <si>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</si>
  <si>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</si>
  <si>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</si>
  <si>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</si>
  <si>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</si>
  <si>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</si>
  <si>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</si>
  <si>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</si>
  <si>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</si>
  <si>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the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</si>
  <si>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</si>
  <si>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</si>
  <si>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</si>
  <si>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</si>
  <si>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</si>
  <si>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</si>
  <si>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</si>
  <si>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</si>
  <si>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</si>
  <si>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</si>
  <si>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</si>
  <si>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1. Summ tab changed proposed year expenditure column to 'Budget Authority for Expenditures'</t>
  </si>
  <si>
    <t xml:space="preserve">1. Changed all tax levy fund pages Budget Authority for actual year as off by 1 </t>
  </si>
  <si>
    <t>1. Tab levy page 11 cell D69 formatting change reference C71 to D71</t>
  </si>
  <si>
    <t>1. Tab mvalloc changed cells C7, D7, and E7 reference to C,D,E19 from 18</t>
  </si>
  <si>
    <t>2. All tax levy fund pages corrected the link between mvalloc tab and vehicle allocation cells</t>
  </si>
  <si>
    <t>12-1220</t>
  </si>
  <si>
    <t>Library</t>
  </si>
  <si>
    <t xml:space="preserve">Amounts used in lieu of </t>
  </si>
  <si>
    <t>________________________    ___________________________</t>
  </si>
  <si>
    <t>Allocation of MVT, RVT, and 16/20M Vehicle Tax</t>
  </si>
  <si>
    <t xml:space="preserve">Prior Year </t>
  </si>
  <si>
    <t>Current Year</t>
  </si>
  <si>
    <t>Proposed Budget</t>
  </si>
  <si>
    <t xml:space="preserve">Current Year </t>
  </si>
  <si>
    <t xml:space="preserve">Proposed Budget </t>
  </si>
  <si>
    <t>Expenditures Must Be Changed by:</t>
  </si>
  <si>
    <t>Delinquency % used in this budget will be shown on all fund pages with a tax levy**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</si>
  <si>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</si>
  <si>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</si>
  <si>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</si>
  <si>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</si>
  <si>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</si>
  <si>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</si>
  <si>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</si>
  <si>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</si>
  <si>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</si>
  <si>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</si>
  <si>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</si>
  <si>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</si>
  <si>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</si>
  <si>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</si>
  <si>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</si>
  <si>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</si>
  <si>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</si>
  <si>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</si>
  <si>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</si>
  <si>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</si>
  <si>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</si>
  <si>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</si>
  <si>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</si>
  <si>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</si>
  <si>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</si>
  <si>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</si>
  <si>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</si>
  <si>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</si>
  <si>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</si>
  <si>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</si>
  <si>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</si>
  <si>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</si>
  <si>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</si>
  <si>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</si>
  <si>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</si>
  <si>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</si>
  <si>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</si>
  <si>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</si>
  <si>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</si>
  <si>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</si>
  <si>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</si>
  <si>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</si>
  <si>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</si>
  <si>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</si>
  <si>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</si>
  <si>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</si>
  <si>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</si>
  <si>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</si>
  <si>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</si>
  <si>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</si>
  <si>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</si>
  <si>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</si>
  <si>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 xml:space="preserve">Type of </t>
  </si>
  <si>
    <t xml:space="preserve"> Debt</t>
  </si>
  <si>
    <t>Mill Rate Comparison</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</si>
  <si>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</si>
  <si>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</si>
  <si>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</si>
  <si>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</si>
  <si>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</si>
  <si>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</si>
  <si>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</si>
  <si>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</si>
  <si>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</si>
  <si>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</si>
  <si>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</si>
  <si>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</si>
  <si>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</si>
  <si>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</si>
  <si>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</si>
  <si>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</si>
  <si>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</si>
  <si>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</si>
  <si>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</si>
  <si>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</si>
  <si>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</si>
  <si>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</si>
  <si>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</si>
  <si>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</si>
  <si>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</si>
  <si>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</si>
  <si>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</si>
  <si>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</si>
  <si>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</si>
  <si>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</si>
  <si>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</si>
  <si>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</si>
  <si>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</si>
  <si>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</si>
  <si>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</si>
  <si>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</si>
  <si>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</si>
  <si>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</si>
  <si>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</si>
  <si>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</si>
  <si>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</si>
  <si>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</si>
  <si>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</si>
  <si>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</si>
  <si>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</si>
  <si>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</si>
  <si>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</si>
  <si>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</si>
  <si>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</si>
  <si>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</si>
  <si>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</si>
  <si>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</si>
  <si>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</si>
  <si>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</si>
  <si>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Certificate tab added a place for the email address of the assisted by</t>
  </si>
  <si>
    <t>35. General tab, made page number 7 if no library or page number 8 if has library</t>
  </si>
  <si>
    <t>This spreadsheet has General Fund, General Fund detail page, Debt Service, Library, 10 Tax Levy Funds, Special Highway, 7 No Tax Levy Funds, 4 Single No Tax Levy Funds, 2 Non-Budgeted pages which each page holds five non-budgeted funds.</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</si>
  <si>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</si>
  <si>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</si>
  <si>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</si>
  <si>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</si>
  <si>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</si>
  <si>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</si>
  <si>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</si>
  <si>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</si>
  <si>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</si>
  <si>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</si>
  <si>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</si>
  <si>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</si>
  <si>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</si>
  <si>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</si>
  <si>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</si>
  <si>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</si>
  <si>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</si>
  <si>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</si>
  <si>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</si>
  <si>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</si>
  <si>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</si>
  <si>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</si>
  <si>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</si>
  <si>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</si>
  <si>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</si>
  <si>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</si>
  <si>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</si>
  <si>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</si>
  <si>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11a. General Fund page and General Fund Detail page number are linked.   If the municipality has a Library Fund, the Library Grant page becomes number 7 and the General Fund page would be numbered 8, otherwise the General would be 7.</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</si>
  <si>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</si>
  <si>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</si>
  <si>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</si>
  <si>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</si>
  <si>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</si>
  <si>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</si>
  <si>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</si>
  <si>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</si>
  <si>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1. Instruction tab, added #4c for new table on Certificate page</t>
  </si>
  <si>
    <t xml:space="preserve">2. Fund page 9, corrected line E36 for forumla </t>
  </si>
  <si>
    <t>1. Library Grant tab, updated State Library e-mail contact address</t>
  </si>
  <si>
    <t>1. Corrected addition computation in column D, inputPrYr tab</t>
  </si>
  <si>
    <t>1.  Added "ordinance required?  yes/no" message to area adjacent to each tax levy fund</t>
  </si>
  <si>
    <t>1.  Corrected formula in cell e28 of Library Grant tab</t>
  </si>
  <si>
    <t>1.  Instruction tab narrative modification</t>
  </si>
  <si>
    <t>1.  "Budget Authority Amount" cell added to budget year column of all funds.</t>
  </si>
  <si>
    <t>Increase in personal property (5a minus 5b)</t>
  </si>
  <si>
    <t>Real estate</t>
  </si>
  <si>
    <t>State assessed</t>
  </si>
  <si>
    <t>New improvements</t>
  </si>
  <si>
    <t>Total adjustment (sum of 6a, 6b, and 6c)</t>
  </si>
  <si>
    <t>16.</t>
  </si>
  <si>
    <t>17.</t>
  </si>
  <si>
    <t>18.</t>
  </si>
  <si>
    <t>The following changes were made to this workbook on 5/7/14</t>
  </si>
  <si>
    <t>1.  Several changes to workbook associated with 2014 HB 2047.</t>
  </si>
  <si>
    <t>The following changes were made to this workbook on 4/3/14</t>
  </si>
  <si>
    <t>The following changes were made to this workbook on 3/21/13</t>
  </si>
  <si>
    <t>The following changes were made to this workbook on 1/31/13</t>
  </si>
  <si>
    <t>The following changes were made to this workbook on 10/8/12</t>
  </si>
  <si>
    <t>The following changes were made to this workbook on 4/10/12</t>
  </si>
  <si>
    <t>The following changes were made to this workbook on 2/22/12</t>
  </si>
  <si>
    <t>The following changes were made to this workbook on 1/31/12</t>
  </si>
  <si>
    <t>The following changes were made to this workbook on 8/16/11</t>
  </si>
  <si>
    <t>The following changes were made to this workbook on 6/17/11</t>
  </si>
  <si>
    <t>The following changes were made to this workbook on 5/26/11</t>
  </si>
  <si>
    <t>The following changes were made to this workbook on 4/29/11</t>
  </si>
  <si>
    <t>The following changes were made to this workbook on 4/19/11</t>
  </si>
  <si>
    <t>The following changes were made to this workbook on 8/22/10</t>
  </si>
  <si>
    <t>The following changes were made to this workbook on 1/05/10</t>
  </si>
  <si>
    <t>The following changes were made to this workbook on 12/28/09</t>
  </si>
  <si>
    <t>The following changes were made to this workbook on 12/08/09</t>
  </si>
  <si>
    <t>The following changes were made to this workbook on 10/2/09</t>
  </si>
  <si>
    <t>The following changes were made to this workbook on 7/16/09</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</si>
  <si>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</si>
  <si>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city wants to include the debt service levy for temporary notes and no-fund warrants (shown on fund page(s) other than the debt service fund page and not automatically linked to the computation to determine limit page) lines 2 and 14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</si>
  <si>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</si>
  <si>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The following changes were made to this workbook on 7/9/14</t>
  </si>
  <si>
    <t>1.  Correction to formula in cell j44 of the computation tab worksheet.</t>
  </si>
  <si>
    <t>1.  Update of State Library contact name on library grant tab.</t>
  </si>
  <si>
    <t>The following changes were made to this workbook on 8/7/14</t>
  </si>
  <si>
    <t>City1 Budget Workbook Instructions</t>
  </si>
  <si>
    <t>Input Sheet for City1 Budget Workbook</t>
  </si>
  <si>
    <t>Enter city name ("City of _____"):</t>
  </si>
  <si>
    <t>Enter county name followed by "County":</t>
  </si>
  <si>
    <t>Enter year being budgeted (YYYY):</t>
  </si>
  <si>
    <t xml:space="preserve">Enter the following information from the sources shown.  This information will flow throughout the budget worksheets to the appropriate locations. </t>
  </si>
  <si>
    <t>Note:  All amounts are to be entered as whole numbers only.</t>
  </si>
  <si>
    <r>
      <rPr>
        <sz val="12"/>
        <color indexed="10"/>
        <rFont val="Times New Roman"/>
        <family val="1"/>
      </rPr>
      <t>Note:</t>
    </r>
    <r>
      <rPr>
        <sz val="12"/>
        <rFont val="Times New Roman"/>
        <family val="1"/>
      </rPr>
      <t xml:space="preserve">  the tool below may be used to create a more realistic estimate of ad valorem taxes to be received in the current year.  Input an estimated delinquency percentage in the green box. This </t>
    </r>
    <r>
      <rPr>
        <sz val="12"/>
        <color indexed="10"/>
        <rFont val="Times New Roman"/>
        <family val="1"/>
      </rPr>
      <t>is not mandatory</t>
    </r>
    <r>
      <rPr>
        <sz val="12"/>
        <rFont val="Times New Roman"/>
        <family val="1"/>
      </rPr>
      <t xml:space="preserve"> and may be left blank.            </t>
    </r>
  </si>
  <si>
    <t>How to Compute the Value of One Mill, and the Impact of Tax Dollars and Assessed Valuation on Mill Rates</t>
  </si>
  <si>
    <t>Commercial Vehicle Tax Estimate</t>
  </si>
  <si>
    <t>Watercraft Tax Estimate</t>
  </si>
  <si>
    <t xml:space="preserve">Ad Valorem Levy </t>
  </si>
  <si>
    <t>County Treas Recreational Vehicle Estimate</t>
  </si>
  <si>
    <t>County Treas 16/20M Vehicle Estimate</t>
  </si>
  <si>
    <t>County Treas Commercial Vehicle Tax Estimate</t>
  </si>
  <si>
    <t>County Treas Watercraft Tax Estimate</t>
  </si>
  <si>
    <t>Commercial Vehicle Factor</t>
  </si>
  <si>
    <t>Watercraft Factor</t>
  </si>
  <si>
    <t>Comm Veh</t>
  </si>
  <si>
    <t>Watercraft</t>
  </si>
  <si>
    <t>Commercial Vehicle Tax</t>
  </si>
  <si>
    <t>Watercraft Tax</t>
  </si>
  <si>
    <t>1.  Various workbook changes associated with commercial vehicle and watercraft tax estimates.</t>
  </si>
  <si>
    <t>The following changes were made to this workbook on 9/23/14</t>
  </si>
  <si>
    <t xml:space="preserve">Allocation of MV, RV, 16/20M, Commercial Vehicle, and Watercraft Tax Estimates </t>
  </si>
  <si>
    <t>The following changes were made to this workbook on 1/21/15</t>
  </si>
  <si>
    <t>2.  Corrected formula in cell d24 of library grant tab.</t>
  </si>
  <si>
    <t>1.  Inserted 2014 CPI percentage on computation tab.</t>
  </si>
  <si>
    <t>1.  Added edits related to adoption of a resolution</t>
  </si>
  <si>
    <t>2.  Added a sample resolution tab</t>
  </si>
  <si>
    <t>3.  Added a third notice of vote option</t>
  </si>
  <si>
    <t>4.  Added to each fund a "cash forward" expenditure line item</t>
  </si>
  <si>
    <t>5.  Added a total tax levy comparison tool adjacent to each tax levy fund</t>
  </si>
  <si>
    <t>The following changes were made to this workbook on 8/31/2015</t>
  </si>
  <si>
    <t>6.  On tax levy funds NR estimate shown as a negative receipt</t>
  </si>
  <si>
    <t>The following changes were made to this workbook on 1/27/2016</t>
  </si>
  <si>
    <t>1.  Inserted 2015 CPI percentage on computation tab.</t>
  </si>
  <si>
    <t>The following changes were made to this workbook on 4/7/2017</t>
  </si>
  <si>
    <t xml:space="preserve">2.  Disabled the Computation tab - Counties and Cities will need to use the HB 2088 Template for the 2018 budgets.  </t>
  </si>
  <si>
    <t xml:space="preserve">1.  Update the Instruction tab with Rico's name and telephone number.  Updated ARMUNIS address.  </t>
  </si>
  <si>
    <t xml:space="preserve">CPA Summary </t>
  </si>
  <si>
    <t xml:space="preserve">megan.schulz@ks.gov </t>
  </si>
  <si>
    <t>CPA Summary</t>
  </si>
  <si>
    <t xml:space="preserve">CPI Percentage - 5 Year Average </t>
  </si>
  <si>
    <t xml:space="preserve">CPI Percentage - Preceding Year </t>
  </si>
  <si>
    <t>Does the City Need to Hold and Election?</t>
  </si>
  <si>
    <t>Expiration of Property Tax Abatement</t>
  </si>
  <si>
    <t>Net tax levy</t>
  </si>
  <si>
    <t xml:space="preserve">Expiration of property tax abatements </t>
  </si>
  <si>
    <t>Expiration of TIF, Rural Housing, and NR Districts</t>
  </si>
  <si>
    <t>(Incremental assessed value over base)</t>
  </si>
  <si>
    <t>Total valuation adjustment (sum of 4, 5c, 6d, 7, 8 &amp; 9)</t>
  </si>
  <si>
    <t>Percentage adjustment factor  - Line 10 / (Line 11 - Line 10))</t>
  </si>
  <si>
    <t>Percentage adjustment increase (12 times 3)</t>
  </si>
  <si>
    <t>Consumer Price Index adjustment (Line 3 times Line 14)</t>
  </si>
  <si>
    <t>Total Percentage Adjustments</t>
  </si>
  <si>
    <t>Increase property tax revenues spent on debt service</t>
  </si>
  <si>
    <t>(Obligations must have been incurred prior to July 1, 2016)</t>
  </si>
  <si>
    <t>(Do not include amounts already reported in debt service levy)</t>
  </si>
  <si>
    <t>Property tax revenues spent for public building commission and lease payments in the 2018 budget:</t>
  </si>
  <si>
    <t>Increase property tax revenues spent on public building commission and lease payments</t>
  </si>
  <si>
    <t>19.</t>
  </si>
  <si>
    <t>20.</t>
  </si>
  <si>
    <t>21.</t>
  </si>
  <si>
    <t>Property tax revenues spent on Federal or State mandates (effective after June 30, 2015)</t>
  </si>
  <si>
    <t>22.</t>
  </si>
  <si>
    <t>23.</t>
  </si>
  <si>
    <t xml:space="preserve">CPI adjustment </t>
  </si>
  <si>
    <t>(Do not include building construction or remodeling costs)</t>
  </si>
  <si>
    <t>24.</t>
  </si>
  <si>
    <t>25.</t>
  </si>
  <si>
    <t>26.</t>
  </si>
  <si>
    <t>Total Revenue Adjustments</t>
  </si>
  <si>
    <t>Levies on Behalf of Another Political or Governmental Subdivision</t>
  </si>
  <si>
    <t>27.</t>
  </si>
  <si>
    <t>28.</t>
  </si>
  <si>
    <t xml:space="preserve">Total Levies on Behalf of Another Political or Governmental Subdivision </t>
  </si>
  <si>
    <t xml:space="preserve">Total Computed Tax Levy </t>
  </si>
  <si>
    <t>Other Tests - Property Tax Decline</t>
  </si>
  <si>
    <t>Note - In order to use the test, there must be a decline in tax revenues in at least one of the years listed below.</t>
  </si>
  <si>
    <t>Average Tax Levy (last three years)</t>
  </si>
  <si>
    <t>Average Tax Levy Adjusted by CPI</t>
  </si>
  <si>
    <t>Exemption from Election Requirement</t>
  </si>
  <si>
    <t>"</t>
  </si>
  <si>
    <t xml:space="preserve">Other Tests - Lost Valuation Test </t>
  </si>
  <si>
    <t>Assessed Valuation Loss</t>
  </si>
  <si>
    <t xml:space="preserve">Change in Levy </t>
  </si>
  <si>
    <t xml:space="preserve">CPI Adjustment </t>
  </si>
  <si>
    <t xml:space="preserve">Total Adjustment for Loss of Assessed Valuation </t>
  </si>
  <si>
    <t>Exemption from Election Requirment</t>
  </si>
  <si>
    <t>The following changes were made to this workbook during April 2018</t>
  </si>
  <si>
    <t>1.  Added CPA Summary Tab</t>
  </si>
  <si>
    <t xml:space="preserve">2.  Added CPA Summary Box to Certification Page and all Fund Pages </t>
  </si>
  <si>
    <t xml:space="preserve">3. Added CPI Percentages on Input Prior Year Tab </t>
  </si>
  <si>
    <t>4. Added Computed Tax Levy Amount on Certification Page and Edit if Election is Required</t>
  </si>
  <si>
    <t>5.  Removed Computation Tab and Inserted Comp1, Comp2, and Comp3 Tabs and Inserted Various Links</t>
  </si>
  <si>
    <t>6.  Changed Megan Schulz email address on Library Grant Tab</t>
  </si>
  <si>
    <t xml:space="preserve">7.  Removed Public Notice Options Tabs 1, 2, and 3 </t>
  </si>
  <si>
    <t xml:space="preserve">8.  Removed Resolution Tab   </t>
  </si>
  <si>
    <t>Tax Lid Limit (from Computation Tab)</t>
  </si>
  <si>
    <t xml:space="preserve">Please read these instructions carefully.  If after reviewing the instructions you still have questions, contact Municipal Services at 785-296-6033 or 785-296-8083; or via email to armunis@ks.gov. </t>
  </si>
  <si>
    <t>4b. The certificate page has a statement "Notice of the vote to adopt required . . . ?" which will either show "yes" or "no."  This statement compares the certificate page total ad valorem tax amount to the amount on line 18 of the computation to determine limit page. If a "yes" appears a notice of the vote to adopt the budget will need to be published in the official county newspaper and a copy of such publication must be attached to the budget.  No action is required if a "no" appears.</t>
  </si>
  <si>
    <t xml:space="preserve">CPA Summary for Assumptions </t>
  </si>
  <si>
    <t>30.</t>
  </si>
  <si>
    <t>Levy for Dissolved Taxing Entity (Only Use the First Year After Dissolved)</t>
  </si>
  <si>
    <t>1.  Updated Municipal Services' contact information on the Instruction tab</t>
  </si>
  <si>
    <t xml:space="preserve">2.  Entered 2020 for the budget year and the applicable CPI percentages on the InputPrYr tab </t>
  </si>
  <si>
    <t>3.  Highlighted tab (pages) in blue if the page is to be printed and submitted as part of the budget</t>
  </si>
  <si>
    <t>4.  Added Remodeling and Rennovation to the New Improvements line on the InputOther tab</t>
  </si>
  <si>
    <t>5.  Added Remodeling and Rennovation to the New Improvements line on the Comp1 tab</t>
  </si>
  <si>
    <t>6.  Added Levy for Dissolved Taxing Entity on the Comp3 tab</t>
  </si>
  <si>
    <t>The following changes were made to this workbook during May 2019</t>
  </si>
  <si>
    <t>LP FOR</t>
  </si>
  <si>
    <r>
      <t>Adjustments</t>
    </r>
    <r>
      <rPr>
        <b/>
        <sz val="12"/>
        <color indexed="10"/>
        <rFont val="Calibri"/>
        <family val="2"/>
        <scheme val="minor"/>
      </rPr>
      <t>*</t>
    </r>
  </si>
  <si>
    <t>UNIFIED GREELEY COUNTY - MUNICIPAL SERVICE DISTRICT</t>
  </si>
  <si>
    <t>GREELEY COUNTY</t>
  </si>
  <si>
    <t xml:space="preserve">      NONE</t>
  </si>
  <si>
    <t>2014 PEERLESS PUG MILL</t>
  </si>
  <si>
    <t>2015 RAVO STREET SWEEPER</t>
  </si>
  <si>
    <t>Special Street Construction</t>
  </si>
  <si>
    <t>Special Parks &amp; Recreation</t>
  </si>
  <si>
    <t>Sanitation</t>
  </si>
  <si>
    <t>Sewer</t>
  </si>
  <si>
    <t>Waterworks</t>
  </si>
  <si>
    <t>Capital Improvements</t>
  </si>
  <si>
    <t>Municipal Equipment Reserve</t>
  </si>
  <si>
    <t>Special Street Machinery</t>
  </si>
  <si>
    <t>Waterworks Reserve</t>
  </si>
  <si>
    <t>Sanitation Reserve</t>
  </si>
  <si>
    <t>Sewer Reserve</t>
  </si>
  <si>
    <t>GINA B. BOND</t>
  </si>
  <si>
    <t>CITY CLERK</t>
  </si>
  <si>
    <t>GREELEY COUNTY COURTHOUSE</t>
  </si>
  <si>
    <t>CITY HALL</t>
  </si>
  <si>
    <t>Antique Tax</t>
  </si>
  <si>
    <t>Licenses &amp; Permits</t>
  </si>
  <si>
    <t>Fines &amp; Forfeitures</t>
  </si>
  <si>
    <t>Land Earnings</t>
  </si>
  <si>
    <t>Reimbursed Expenditures</t>
  </si>
  <si>
    <t xml:space="preserve">  GENERAL OPERATIONS</t>
  </si>
  <si>
    <t>Personal Services</t>
  </si>
  <si>
    <t>Contractual</t>
  </si>
  <si>
    <t>Commodities</t>
  </si>
  <si>
    <t>Capital Outlay</t>
  </si>
  <si>
    <t xml:space="preserve">  STREET &amp; ALLEY</t>
  </si>
  <si>
    <t xml:space="preserve">  EMPLOYEE BENEFITS</t>
  </si>
  <si>
    <t xml:space="preserve">  LAW ENFORCEMENT</t>
  </si>
  <si>
    <t xml:space="preserve">  STREET LIGHTING</t>
  </si>
  <si>
    <t xml:space="preserve">  PARK IMPROVEMENTS</t>
  </si>
  <si>
    <t xml:space="preserve">  ECONOMIC DEVELOPMENT</t>
  </si>
  <si>
    <t>Transfer to Capital Improvement Fund</t>
  </si>
  <si>
    <t>Transfer to Municipal Equipment Reserve Fund</t>
  </si>
  <si>
    <t>State of Kansas Gasoline Tax</t>
  </si>
  <si>
    <t xml:space="preserve">  Personal Services</t>
  </si>
  <si>
    <t xml:space="preserve">  Local Alcoholic Liquor Tax</t>
  </si>
  <si>
    <t xml:space="preserve">  Reimbursements</t>
  </si>
  <si>
    <t xml:space="preserve">  Supplies</t>
  </si>
  <si>
    <t xml:space="preserve">  Equipment</t>
  </si>
  <si>
    <t xml:space="preserve">  Repairs</t>
  </si>
  <si>
    <t xml:space="preserve">  Sanitation Charges</t>
  </si>
  <si>
    <t xml:space="preserve">  Interest</t>
  </si>
  <si>
    <t xml:space="preserve">  Connection Fees</t>
  </si>
  <si>
    <t xml:space="preserve">  Late Penalties</t>
  </si>
  <si>
    <t xml:space="preserve">  Transfer to Reserve</t>
  </si>
  <si>
    <t xml:space="preserve">  Sewer Charges</t>
  </si>
  <si>
    <t xml:space="preserve">  Water Sales</t>
  </si>
  <si>
    <t xml:space="preserve">  Penalties</t>
  </si>
  <si>
    <t xml:space="preserve">  Land Earnings</t>
  </si>
  <si>
    <t xml:space="preserve">   PRODUCTION:</t>
  </si>
  <si>
    <t xml:space="preserve">     Personal Services</t>
  </si>
  <si>
    <t xml:space="preserve">     Contractual</t>
  </si>
  <si>
    <t xml:space="preserve">     Commodities</t>
  </si>
  <si>
    <t xml:space="preserve">   TRANSMISSION:</t>
  </si>
  <si>
    <t xml:space="preserve">     Automotive</t>
  </si>
  <si>
    <t xml:space="preserve">    GENERAL/ADMINISTRATIVE:</t>
  </si>
  <si>
    <t xml:space="preserve">   OTHER:</t>
  </si>
  <si>
    <t xml:space="preserve">     Capital Outlay</t>
  </si>
  <si>
    <t xml:space="preserve">     Transfer to Reserve</t>
  </si>
  <si>
    <t>General Fund</t>
  </si>
  <si>
    <t>Waterworks Fund</t>
  </si>
  <si>
    <t>Sanitation Fund</t>
  </si>
  <si>
    <t>Sewer Fund</t>
  </si>
  <si>
    <t>12-1,118</t>
  </si>
  <si>
    <t>12-1,117</t>
  </si>
  <si>
    <t>12-825d</t>
  </si>
  <si>
    <t>Transfer (SEW Fund)</t>
  </si>
  <si>
    <t>Transfer (SAN Fund)</t>
  </si>
  <si>
    <t>Transfer (WW Fund)</t>
  </si>
  <si>
    <t>Transfer (GEN Fund)</t>
  </si>
  <si>
    <t>xxxxxxxxxxxxxxxxxxx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</si>
</sst>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 numFmtId="180" formatCode="#,##0.000_);[Red]\(#,##0.000\)"/>
    <numFmt numFmtId="181" formatCode="0.0000"/>
  </numFmts>
  <fonts count="81" x14ac:knownFonts="1">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u/>
      <sz val="12"/>
      <color indexed="12"/>
      <name val="Courier"/>
      <family val="3"/>
    </font>
    <font>
      <sz val="8"/>
      <name val="Courier"/>
      <family val="3"/>
    </font>
    <font>
      <b/>
      <u/>
      <sz val="12"/>
      <name val="Times New Roman"/>
      <family val="1"/>
    </font>
    <font>
      <sz val="8"/>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sz val="12"/>
      <color indexed="10"/>
      <name val="Courier"/>
      <family val="3"/>
    </font>
    <font>
      <i/>
      <sz val="12"/>
      <name val="Times New Roman"/>
      <family val="1"/>
    </font>
    <font>
      <b/>
      <sz val="11"/>
      <name val="Times New Roman"/>
      <family val="1"/>
    </font>
    <font>
      <sz val="12"/>
      <color indexed="8"/>
      <name val="Times New Roman"/>
      <family val="1"/>
    </font>
    <font>
      <b/>
      <sz val="12"/>
      <color indexed="8"/>
      <name val="Times New Roman"/>
      <family val="1"/>
    </font>
    <font>
      <b/>
      <sz val="11"/>
      <color indexed="8"/>
      <name val="Times New Roman"/>
      <family val="1"/>
    </font>
    <font>
      <sz val="11"/>
      <color indexed="8"/>
      <name val="Times New Roman"/>
      <family val="1"/>
    </font>
    <font>
      <b/>
      <sz val="14"/>
      <name val="Times New Roman"/>
      <family val="1"/>
    </font>
    <font>
      <sz val="12"/>
      <name val="Courier New"/>
      <family val="3"/>
    </font>
    <font>
      <b/>
      <sz val="12"/>
      <name val="Courier"/>
      <family val="3"/>
    </font>
    <font>
      <i/>
      <sz val="12"/>
      <name val="Courier"/>
      <family val="3"/>
    </font>
    <font>
      <i/>
      <u/>
      <sz val="12"/>
      <name val="Courier"/>
      <family val="3"/>
    </font>
    <font>
      <sz val="12"/>
      <name val="Courier New"/>
      <family val="3"/>
    </font>
    <font>
      <u/>
      <sz val="12"/>
      <color indexed="12"/>
      <name val="Courier New"/>
      <family val="3"/>
    </font>
    <font>
      <sz val="10"/>
      <name val="Times New Roman"/>
      <family val="1"/>
    </font>
    <font>
      <b/>
      <u/>
      <sz val="10"/>
      <name val="Times New Roman"/>
      <family val="1"/>
    </font>
    <font>
      <b/>
      <sz val="10"/>
      <name val="Times New Roman"/>
      <family val="1"/>
    </font>
    <font>
      <sz val="8"/>
      <color indexed="10"/>
      <name val="Times New Roman"/>
      <family val="1"/>
    </font>
    <font>
      <b/>
      <u/>
      <sz val="8"/>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u/>
      <sz val="12"/>
      <color indexed="10"/>
      <name val="Times New Roman"/>
      <family val="1"/>
    </font>
    <font>
      <sz val="10"/>
      <color indexed="10"/>
      <name val="Times New Roman"/>
      <family val="1"/>
    </font>
    <font>
      <sz val="11"/>
      <color theme="1"/>
      <name val="Calibri"/>
      <family val="2"/>
      <scheme val="minor"/>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b/>
      <u/>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sz val="10"/>
      <color rgb="FFFF0000"/>
      <name val="Times New Roman"/>
      <family val="1"/>
    </font>
    <font>
      <sz val="12"/>
      <name val="Calibri"/>
      <family val="2"/>
      <scheme val="minor"/>
    </font>
    <font>
      <b/>
      <sz val="12"/>
      <name val="Calibri"/>
      <family val="2"/>
      <scheme val="minor"/>
    </font>
    <font>
      <b/>
      <u/>
      <sz val="12"/>
      <name val="Calibri"/>
      <family val="2"/>
      <scheme val="minor"/>
    </font>
    <font>
      <sz val="12"/>
      <color indexed="10"/>
      <name val="Calibri"/>
      <family val="2"/>
      <scheme val="minor"/>
    </font>
    <font>
      <sz val="9"/>
      <name val="Calibri"/>
      <family val="2"/>
      <scheme val="minor"/>
    </font>
    <font>
      <b/>
      <sz val="12"/>
      <color rgb="FFFF0000"/>
      <name val="Calibri"/>
      <family val="2"/>
      <scheme val="minor"/>
    </font>
    <font>
      <b/>
      <sz val="12"/>
      <color indexed="10"/>
      <name val="Calibri"/>
      <family val="2"/>
      <scheme val="minor"/>
    </font>
    <font>
      <u/>
      <sz val="12"/>
      <color rgb="FFFF0000"/>
      <name val="Calibri"/>
      <family val="2"/>
      <scheme val="minor"/>
    </font>
    <font>
      <sz val="11"/>
      <name val="Calibri"/>
      <family val="2"/>
      <scheme val="minor"/>
    </font>
    <font>
      <b/>
      <u/>
      <sz val="10"/>
      <name val="Calibri"/>
      <family val="2"/>
      <scheme val="minor"/>
    </font>
    <font>
      <sz val="10"/>
      <name val="Calibri"/>
      <family val="2"/>
      <scheme val="minor"/>
    </font>
    <font>
      <b/>
      <sz val="10"/>
      <name val="Calibri"/>
      <family val="2"/>
      <scheme val="minor"/>
    </font>
    <font>
      <sz val="10"/>
      <color rgb="FFFF0000"/>
      <name val="Calibri"/>
      <family val="2"/>
      <scheme val="minor"/>
    </font>
    <font>
      <sz val="8"/>
      <color indexed="10"/>
      <name val="Calibri"/>
      <family val="2"/>
      <scheme val="minor"/>
    </font>
    <font>
      <b/>
      <u/>
      <sz val="12"/>
      <color indexed="10"/>
      <name val="Calibri"/>
      <family val="2"/>
      <scheme val="minor"/>
    </font>
    <font>
      <b/>
      <sz val="10"/>
      <color rgb="FFFF0000"/>
      <name val="Calibri"/>
      <family val="2"/>
      <scheme val="minor"/>
    </font>
    <font>
      <i/>
      <sz val="12"/>
      <name val="Calibri"/>
      <family val="2"/>
      <scheme val="minor"/>
    </font>
    <font>
      <sz val="8"/>
      <name val="Calibri"/>
      <family val="2"/>
      <scheme val="minor"/>
    </font>
    <font>
      <b/>
      <sz val="8"/>
      <name val="Calibri"/>
      <family val="2"/>
      <scheme val="minor"/>
    </font>
    <font>
      <b/>
      <u/>
      <sz val="8"/>
      <color indexed="10"/>
      <name val="Calibri"/>
      <family val="2"/>
      <scheme val="minor"/>
    </font>
    <font>
      <sz val="9"/>
      <color rgb="FFFF0000"/>
      <name val="Calibri"/>
      <family val="2"/>
      <scheme val="minor"/>
    </font>
    <font>
      <u/>
      <sz val="12"/>
      <name val="Calibri"/>
      <family val="2"/>
      <scheme val="minor"/>
    </font>
    <font>
      <i/>
      <sz val="11"/>
      <name val="Calibri"/>
      <family val="2"/>
      <scheme val="minor"/>
    </font>
    <font>
      <b/>
      <i/>
      <sz val="11"/>
      <name val="Calibri"/>
      <family val="2"/>
    </font>
    <font>
      <sz val="11"/>
      <name val="Calibri"/>
      <family val="2"/>
    </font>
    <font>
      <sz val="14"/>
      <name val="Calibri"/>
      <family val="2"/>
      <scheme val="minor"/>
    </font>
  </fonts>
  <fills count="20">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11"/>
      </patternFill>
    </fill>
    <fill>
      <patternFill patternType="solid">
        <fgColor indexed="43"/>
        <bgColor indexed="64"/>
      </patternFill>
    </fill>
    <fill>
      <patternFill patternType="solid">
        <fgColor indexed="13"/>
        <bgColor indexed="64"/>
      </patternFill>
    </fill>
    <fill>
      <patternFill patternType="solid">
        <fgColor indexed="34"/>
        <bgColor indexed="64"/>
      </patternFill>
    </fill>
    <fill>
      <patternFill patternType="solid">
        <fgColor indexed="41"/>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s>
  <cellStyleXfs count="515">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 fillId="0" borderId="0"/>
    <xf numFmtId="0" fontId="24" fillId="0" borderId="0"/>
    <xf numFmtId="0" fontId="2"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 fillId="0" borderId="0"/>
    <xf numFmtId="0" fontId="24" fillId="0" borderId="0"/>
    <xf numFmtId="0" fontId="2"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cellStyleXfs>
  <cellXfs count="1162">
    <xf numFmtId="0" fontId="0" fillId="0" borderId="0" xfId="0"/>
    <xf numFmtId="0" fontId="4" fillId="0" borderId="0" xfId="0" applyFont="1"/>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5" fillId="0" borderId="0" xfId="0" applyFont="1" applyFill="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37" fontId="10"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0" fontId="4" fillId="3" borderId="0" xfId="0" applyFont="1" applyFill="1" applyAlignment="1" applyProtection="1">
      <alignment horizontal="centerContinuous" vertical="center"/>
    </xf>
    <xf numFmtId="37" fontId="12" fillId="3" borderId="0" xfId="0" applyNumberFormat="1" applyFont="1" applyFill="1" applyAlignment="1" applyProtection="1">
      <alignment horizontal="center"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6" borderId="2" xfId="0" applyFont="1" applyFill="1" applyBorder="1" applyAlignment="1" applyProtection="1">
      <alignment horizontal="center" vertical="center"/>
      <protection locked="0"/>
    </xf>
    <xf numFmtId="0" fontId="5" fillId="4" borderId="2"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0" fontId="4" fillId="6" borderId="3" xfId="0" applyFont="1" applyFill="1" applyBorder="1" applyAlignment="1" applyProtection="1">
      <alignment horizontal="center" vertical="center"/>
      <protection locked="0"/>
    </xf>
    <xf numFmtId="37" fontId="4" fillId="4" borderId="3" xfId="0" applyNumberFormat="1" applyFont="1" applyFill="1" applyBorder="1" applyAlignment="1" applyProtection="1">
      <alignment horizontal="center" vertical="center" wrapText="1"/>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2" borderId="1" xfId="0" applyNumberFormat="1" applyFont="1" applyFill="1" applyBorder="1" applyAlignment="1" applyProtection="1">
      <alignment vertical="center"/>
      <protection locked="0"/>
    </xf>
    <xf numFmtId="3" fontId="4" fillId="7" borderId="1"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171" fontId="4" fillId="3" borderId="0" xfId="0" applyNumberFormat="1" applyFont="1" applyFill="1" applyBorder="1" applyAlignment="1" applyProtection="1">
      <alignment vertical="center"/>
    </xf>
    <xf numFmtId="0" fontId="4" fillId="7" borderId="1" xfId="0" applyFont="1" applyFill="1" applyBorder="1" applyAlignment="1" applyProtection="1">
      <alignment vertical="center"/>
      <protection locked="0"/>
    </xf>
    <xf numFmtId="37" fontId="4" fillId="3" borderId="4" xfId="0" applyNumberFormat="1" applyFont="1" applyFill="1" applyBorder="1" applyAlignment="1" applyProtection="1">
      <alignment horizontal="left" vertical="center"/>
    </xf>
    <xf numFmtId="0" fontId="4" fillId="3" borderId="4" xfId="0" applyFont="1" applyFill="1" applyBorder="1" applyAlignment="1" applyProtection="1">
      <alignment vertical="center"/>
    </xf>
    <xf numFmtId="3" fontId="4" fillId="3" borderId="5" xfId="0" applyNumberFormat="1" applyFont="1" applyFill="1" applyBorder="1" applyAlignment="1" applyProtection="1">
      <alignment vertical="center"/>
    </xf>
    <xf numFmtId="3" fontId="4" fillId="8" borderId="1"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164" fontId="4" fillId="3" borderId="1" xfId="0" applyNumberFormat="1" applyFont="1" applyFill="1" applyBorder="1" applyAlignment="1" applyProtection="1">
      <alignmen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3" borderId="3" xfId="0" applyFont="1" applyFill="1" applyBorder="1" applyAlignment="1" applyProtection="1">
      <alignment vertical="center"/>
    </xf>
    <xf numFmtId="171" fontId="4" fillId="7" borderId="1" xfId="0" applyNumberFormat="1" applyFont="1" applyFill="1" applyBorder="1" applyAlignment="1" applyProtection="1">
      <alignment vertical="center"/>
      <protection locked="0"/>
    </xf>
    <xf numFmtId="171" fontId="4" fillId="8" borderId="1" xfId="0" applyNumberFormat="1" applyFont="1" applyFill="1" applyBorder="1" applyAlignment="1" applyProtection="1">
      <alignment vertical="center"/>
    </xf>
    <xf numFmtId="0" fontId="4" fillId="3" borderId="7" xfId="0" applyFont="1" applyFill="1" applyBorder="1" applyAlignment="1" applyProtection="1">
      <alignment vertical="center"/>
    </xf>
    <xf numFmtId="0" fontId="4" fillId="6" borderId="5" xfId="0" applyFont="1" applyFill="1" applyBorder="1" applyAlignment="1" applyProtection="1">
      <alignment vertical="center"/>
    </xf>
    <xf numFmtId="0" fontId="4" fillId="3" borderId="5"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0" xfId="0" applyFont="1" applyFill="1" applyAlignment="1" applyProtection="1">
      <alignment vertical="center"/>
      <protection locked="0"/>
    </xf>
    <xf numFmtId="0" fontId="4" fillId="3" borderId="4" xfId="0" applyFont="1" applyFill="1" applyBorder="1" applyAlignment="1" applyProtection="1">
      <alignment horizontal="center" vertical="center"/>
    </xf>
    <xf numFmtId="0" fontId="4" fillId="3" borderId="4"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8"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5" xfId="0" applyNumberFormat="1" applyFont="1" applyFill="1" applyBorder="1" applyAlignment="1" applyProtection="1">
      <alignment horizontal="left" vertical="center"/>
    </xf>
    <xf numFmtId="37" fontId="4" fillId="2" borderId="1" xfId="0" applyNumberFormat="1" applyFont="1" applyFill="1" applyBorder="1" applyAlignment="1" applyProtection="1">
      <alignment vertical="center"/>
      <protection locked="0"/>
    </xf>
    <xf numFmtId="37" fontId="3" fillId="3" borderId="5" xfId="0" applyNumberFormat="1" applyFont="1" applyFill="1" applyBorder="1" applyAlignment="1" applyProtection="1">
      <alignment horizontal="left" vertical="center"/>
    </xf>
    <xf numFmtId="0" fontId="0" fillId="3" borderId="0" xfId="0" applyFill="1" applyAlignment="1" applyProtection="1">
      <alignment vertical="center"/>
    </xf>
    <xf numFmtId="0" fontId="10" fillId="3" borderId="0" xfId="0" applyFont="1" applyFill="1" applyBorder="1" applyAlignment="1" applyProtection="1">
      <alignment horizontal="center" vertical="center"/>
    </xf>
    <xf numFmtId="0" fontId="4" fillId="3" borderId="9" xfId="0" applyFont="1" applyFill="1" applyBorder="1" applyAlignment="1" applyProtection="1">
      <alignment vertical="center"/>
    </xf>
    <xf numFmtId="0" fontId="0" fillId="3" borderId="7" xfId="0" applyFill="1" applyBorder="1" applyAlignment="1" applyProtection="1">
      <alignment vertical="center"/>
    </xf>
    <xf numFmtId="0" fontId="0" fillId="3" borderId="4" xfId="0"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8" xfId="0" applyNumberFormat="1" applyFont="1" applyFill="1" applyBorder="1" applyAlignment="1" applyProtection="1">
      <alignment vertical="center"/>
    </xf>
    <xf numFmtId="37" fontId="4" fillId="5" borderId="0" xfId="0" applyNumberFormat="1" applyFont="1" applyFill="1" applyBorder="1" applyAlignment="1" applyProtection="1">
      <alignment horizontal="left"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vertical="center"/>
      <protection locked="0"/>
    </xf>
    <xf numFmtId="0" fontId="4" fillId="3" borderId="4" xfId="0" applyFont="1" applyFill="1" applyBorder="1" applyAlignment="1">
      <alignment vertical="center"/>
    </xf>
    <xf numFmtId="0" fontId="0" fillId="3" borderId="4" xfId="0" applyFill="1" applyBorder="1" applyAlignment="1">
      <alignment vertical="center"/>
    </xf>
    <xf numFmtId="0" fontId="0" fillId="3" borderId="7" xfId="0" applyFill="1" applyBorder="1" applyAlignment="1">
      <alignment vertical="center"/>
    </xf>
    <xf numFmtId="0" fontId="4" fillId="3" borderId="5" xfId="0" applyFont="1" applyFill="1" applyBorder="1" applyAlignment="1">
      <alignment vertical="center"/>
    </xf>
    <xf numFmtId="0" fontId="0" fillId="3" borderId="5" xfId="0" applyFill="1" applyBorder="1" applyAlignment="1">
      <alignment vertical="center"/>
    </xf>
    <xf numFmtId="0" fontId="0" fillId="3" borderId="8" xfId="0" applyFill="1" applyBorder="1" applyAlignment="1">
      <alignment vertical="center"/>
    </xf>
    <xf numFmtId="0" fontId="0" fillId="5" borderId="0" xfId="0" applyFill="1" applyAlignment="1">
      <alignment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14" fillId="3" borderId="0" xfId="0" applyFont="1" applyFill="1" applyAlignment="1">
      <alignment vertical="center"/>
    </xf>
    <xf numFmtId="0" fontId="16" fillId="3" borderId="0" xfId="0" applyFont="1" applyFill="1" applyAlignment="1">
      <alignment vertical="center"/>
    </xf>
    <xf numFmtId="37" fontId="4" fillId="3" borderId="1"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2" xfId="0" applyNumberFormat="1" applyFont="1" applyFill="1" applyBorder="1" applyAlignment="1" applyProtection="1">
      <alignment horizontal="center" vertical="center"/>
    </xf>
    <xf numFmtId="37" fontId="4" fillId="3" borderId="10" xfId="0" applyNumberFormat="1" applyFont="1" applyFill="1" applyBorder="1" applyAlignment="1" applyProtection="1">
      <alignment horizontal="left" vertical="center"/>
    </xf>
    <xf numFmtId="0" fontId="4" fillId="3" borderId="1" xfId="0"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7" fontId="4" fillId="3" borderId="0" xfId="0" applyNumberFormat="1" applyFont="1" applyFill="1" applyAlignment="1" applyProtection="1">
      <alignment horizontal="right" vertical="center"/>
    </xf>
    <xf numFmtId="0" fontId="4" fillId="3" borderId="0" xfId="0" applyFont="1" applyFill="1" applyAlignment="1" applyProtection="1">
      <alignment horizontal="left" vertical="center"/>
    </xf>
    <xf numFmtId="37" fontId="4" fillId="3" borderId="0" xfId="0" applyNumberFormat="1" applyFont="1" applyFill="1" applyAlignment="1" applyProtection="1">
      <alignment vertical="center"/>
    </xf>
    <xf numFmtId="1" fontId="4" fillId="3" borderId="3"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3" fontId="4" fillId="3" borderId="1" xfId="0" applyNumberFormat="1" applyFont="1" applyFill="1" applyBorder="1" applyAlignment="1" applyProtection="1">
      <alignment vertical="center"/>
    </xf>
    <xf numFmtId="0" fontId="4" fillId="3" borderId="3" xfId="0" applyNumberFormat="1" applyFont="1" applyFill="1" applyBorder="1" applyAlignment="1" applyProtection="1">
      <alignment horizontal="center" vertical="center"/>
    </xf>
    <xf numFmtId="3" fontId="4" fillId="7" borderId="10" xfId="0" applyNumberFormat="1" applyFont="1" applyFill="1" applyBorder="1" applyAlignment="1" applyProtection="1">
      <alignment vertical="center"/>
      <protection locked="0"/>
    </xf>
    <xf numFmtId="0" fontId="4" fillId="7" borderId="10" xfId="0" applyFont="1" applyFill="1" applyBorder="1" applyAlignment="1" applyProtection="1">
      <alignment horizontal="left" vertical="center"/>
      <protection locked="0"/>
    </xf>
    <xf numFmtId="37" fontId="3" fillId="3" borderId="10" xfId="0" applyNumberFormat="1" applyFont="1" applyFill="1" applyBorder="1" applyAlignment="1" applyProtection="1">
      <alignment horizontal="left" vertical="center"/>
    </xf>
    <xf numFmtId="3" fontId="3" fillId="8" borderId="1" xfId="0" applyNumberFormat="1" applyFont="1" applyFill="1" applyBorder="1" applyAlignment="1" applyProtection="1">
      <alignment vertical="center"/>
    </xf>
    <xf numFmtId="0" fontId="4" fillId="3" borderId="10" xfId="0" applyFont="1" applyFill="1" applyBorder="1" applyAlignment="1" applyProtection="1">
      <alignment vertical="center"/>
    </xf>
    <xf numFmtId="0" fontId="14" fillId="0" borderId="0" xfId="0" applyFont="1" applyAlignment="1" applyProtection="1">
      <alignment vertical="center"/>
    </xf>
    <xf numFmtId="0" fontId="12" fillId="3" borderId="0" xfId="0" applyFont="1" applyFill="1" applyAlignment="1" applyProtection="1">
      <alignment horizontal="center" vertical="center"/>
    </xf>
    <xf numFmtId="0" fontId="4" fillId="3" borderId="0" xfId="0" applyFont="1" applyFill="1" applyAlignment="1">
      <alignment horizontal="right" vertical="center"/>
    </xf>
    <xf numFmtId="3" fontId="4" fillId="3" borderId="1" xfId="0" applyNumberFormat="1" applyFont="1" applyFill="1" applyBorder="1" applyAlignment="1" applyProtection="1">
      <alignment horizontal="fill" vertical="center"/>
    </xf>
    <xf numFmtId="3" fontId="14" fillId="9" borderId="8"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vertical="center"/>
    </xf>
    <xf numFmtId="3" fontId="4" fillId="9" borderId="15" xfId="0" applyNumberFormat="1" applyFont="1" applyFill="1" applyBorder="1" applyAlignment="1" applyProtection="1">
      <alignment vertical="center"/>
    </xf>
    <xf numFmtId="37" fontId="4" fillId="7" borderId="10" xfId="0" applyNumberFormat="1" applyFont="1" applyFill="1" applyBorder="1" applyAlignment="1" applyProtection="1">
      <alignment horizontal="left" vertical="center"/>
      <protection locked="0"/>
    </xf>
    <xf numFmtId="3" fontId="4" fillId="3" borderId="4" xfId="0" applyNumberFormat="1" applyFont="1" applyFill="1" applyBorder="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3" fontId="4" fillId="2" borderId="1" xfId="0" applyNumberFormat="1" applyFont="1" applyFill="1" applyBorder="1" applyAlignment="1" applyProtection="1">
      <alignment horizontal="center" vertical="center"/>
      <protection locked="0"/>
    </xf>
    <xf numFmtId="173" fontId="4" fillId="3" borderId="1"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5" xfId="0" applyNumberFormat="1" applyFont="1" applyFill="1" applyBorder="1" applyAlignment="1" applyProtection="1">
      <alignment horizontal="center" vertical="center"/>
    </xf>
    <xf numFmtId="173" fontId="4" fillId="3" borderId="15" xfId="0" applyNumberFormat="1" applyFont="1" applyFill="1" applyBorder="1" applyAlignment="1" applyProtection="1">
      <alignment horizontal="center" vertical="center"/>
    </xf>
    <xf numFmtId="173" fontId="4" fillId="3" borderId="4"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center" vertical="center"/>
    </xf>
    <xf numFmtId="3" fontId="4" fillId="3" borderId="4" xfId="0" applyNumberFormat="1" applyFont="1" applyFill="1" applyBorder="1" applyAlignment="1">
      <alignment horizontal="center" vertical="center"/>
    </xf>
    <xf numFmtId="0" fontId="0" fillId="3" borderId="0" xfId="0" applyFill="1" applyAlignment="1">
      <alignment horizontal="center" vertical="center"/>
    </xf>
    <xf numFmtId="0" fontId="4" fillId="3" borderId="4" xfId="0" applyFont="1" applyFill="1" applyBorder="1" applyAlignment="1">
      <alignment horizontal="center" vertical="center"/>
    </xf>
    <xf numFmtId="0" fontId="5" fillId="0" borderId="0" xfId="0" applyFont="1" applyAlignment="1">
      <alignment vertical="center"/>
    </xf>
    <xf numFmtId="0" fontId="0"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4" fillId="0" borderId="0" xfId="181" applyFont="1" applyAlignment="1">
      <alignment vertical="center" wrapText="1"/>
    </xf>
    <xf numFmtId="0" fontId="4" fillId="0" borderId="0" xfId="28" applyFont="1" applyAlignment="1">
      <alignment vertical="center"/>
    </xf>
    <xf numFmtId="0" fontId="4" fillId="0" borderId="0" xfId="475" applyFont="1" applyAlignment="1">
      <alignment vertical="center"/>
    </xf>
    <xf numFmtId="0" fontId="13" fillId="0" borderId="0" xfId="0" applyFont="1" applyAlignment="1">
      <alignment horizontal="center"/>
    </xf>
    <xf numFmtId="0" fontId="2" fillId="0" borderId="0" xfId="0" applyFont="1"/>
    <xf numFmtId="0" fontId="25" fillId="0" borderId="0" xfId="0" applyFont="1"/>
    <xf numFmtId="0" fontId="25" fillId="0" borderId="0" xfId="0" applyFont="1" applyAlignment="1"/>
    <xf numFmtId="0" fontId="2" fillId="0" borderId="0" xfId="0" quotePrefix="1" applyFont="1"/>
    <xf numFmtId="0" fontId="2" fillId="0" borderId="0" xfId="182" applyFont="1"/>
    <xf numFmtId="0" fontId="2" fillId="0" borderId="0" xfId="182" applyFont="1" applyFill="1"/>
    <xf numFmtId="0" fontId="2" fillId="0" borderId="0" xfId="0" applyFont="1" applyAlignment="1"/>
    <xf numFmtId="0" fontId="0" fillId="0" borderId="0" xfId="0" applyAlignment="1"/>
    <xf numFmtId="0" fontId="25" fillId="0" borderId="0" xfId="0" applyFont="1" applyAlignment="1">
      <alignment horizontal="center"/>
    </xf>
    <xf numFmtId="0" fontId="4" fillId="0" borderId="0" xfId="95" applyFont="1" applyAlignment="1">
      <alignment vertical="center"/>
    </xf>
    <xf numFmtId="0" fontId="4" fillId="0" borderId="0" xfId="109" applyFont="1" applyAlignment="1">
      <alignment vertical="center" wrapText="1"/>
    </xf>
    <xf numFmtId="0" fontId="5" fillId="0" borderId="0" xfId="100" applyFont="1" applyAlignment="1">
      <alignment vertical="center"/>
    </xf>
    <xf numFmtId="0" fontId="4" fillId="3" borderId="0" xfId="0" applyFont="1" applyFill="1"/>
    <xf numFmtId="3" fontId="4" fillId="3" borderId="10" xfId="0" applyNumberFormat="1" applyFont="1" applyFill="1" applyBorder="1" applyAlignment="1" applyProtection="1">
      <alignment vertical="center"/>
    </xf>
    <xf numFmtId="0" fontId="4" fillId="3" borderId="12" xfId="0" applyNumberFormat="1" applyFont="1" applyFill="1" applyBorder="1" applyAlignment="1" applyProtection="1">
      <alignment horizontal="center" vertical="center"/>
    </xf>
    <xf numFmtId="3" fontId="14" fillId="9" borderId="10" xfId="0" applyNumberFormat="1" applyFont="1" applyFill="1" applyBorder="1" applyAlignment="1" applyProtection="1">
      <alignment horizontal="center" vertical="center"/>
    </xf>
    <xf numFmtId="3" fontId="3" fillId="3" borderId="10" xfId="0" applyNumberFormat="1" applyFont="1" applyFill="1" applyBorder="1" applyAlignment="1" applyProtection="1">
      <alignment vertical="center"/>
    </xf>
    <xf numFmtId="37" fontId="4" fillId="0" borderId="0" xfId="0" applyNumberFormat="1" applyFont="1" applyFill="1" applyAlignment="1" applyProtection="1">
      <alignment horizontal="right" vertical="center"/>
    </xf>
    <xf numFmtId="0" fontId="4" fillId="3" borderId="0" xfId="63" applyFont="1" applyFill="1" applyAlignment="1" applyProtection="1">
      <alignment horizontal="right" vertical="center"/>
    </xf>
    <xf numFmtId="0" fontId="4" fillId="3" borderId="0" xfId="15" applyNumberFormat="1" applyFont="1" applyFill="1" applyBorder="1" applyAlignment="1" applyProtection="1">
      <alignment horizontal="right" vertical="center"/>
    </xf>
    <xf numFmtId="37" fontId="4" fillId="3" borderId="0" xfId="0" quotePrefix="1" applyNumberFormat="1" applyFont="1" applyFill="1" applyAlignment="1" applyProtection="1">
      <alignment horizontal="right" vertical="center"/>
    </xf>
    <xf numFmtId="37" fontId="4" fillId="3" borderId="0" xfId="0" applyNumberFormat="1" applyFont="1" applyFill="1" applyAlignment="1" applyProtection="1">
      <alignment horizontal="fill" vertical="center"/>
    </xf>
    <xf numFmtId="3" fontId="14" fillId="10" borderId="8" xfId="0" applyNumberFormat="1" applyFont="1" applyFill="1" applyBorder="1" applyAlignment="1" applyProtection="1">
      <alignment horizontal="center" vertical="center"/>
    </xf>
    <xf numFmtId="0" fontId="4" fillId="3" borderId="10" xfId="0" applyFont="1" applyFill="1" applyBorder="1" applyAlignment="1" applyProtection="1">
      <alignment vertical="center"/>
      <protection locked="0"/>
    </xf>
    <xf numFmtId="3" fontId="14" fillId="10" borderId="10" xfId="0" applyNumberFormat="1" applyFont="1" applyFill="1" applyBorder="1" applyAlignment="1" applyProtection="1">
      <alignment horizontal="center" vertical="center"/>
    </xf>
    <xf numFmtId="37" fontId="4" fillId="2" borderId="10" xfId="0" applyNumberFormat="1" applyFont="1" applyFill="1" applyBorder="1" applyAlignment="1" applyProtection="1">
      <alignment horizontal="right" vertical="center"/>
      <protection locked="0"/>
    </xf>
    <xf numFmtId="3" fontId="3" fillId="8" borderId="10" xfId="0" applyNumberFormat="1" applyFont="1" applyFill="1" applyBorder="1" applyAlignment="1" applyProtection="1">
      <alignment vertical="center"/>
    </xf>
    <xf numFmtId="3" fontId="4" fillId="8" borderId="10"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 fontId="14" fillId="9" borderId="1" xfId="0" applyNumberFormat="1" applyFont="1" applyFill="1" applyBorder="1" applyAlignment="1" applyProtection="1">
      <alignment horizontal="center" vertical="center"/>
    </xf>
    <xf numFmtId="3" fontId="14" fillId="10" borderId="1" xfId="0" applyNumberFormat="1" applyFont="1" applyFill="1" applyBorder="1" applyAlignment="1" applyProtection="1">
      <alignment horizontal="center" vertical="center"/>
    </xf>
    <xf numFmtId="0" fontId="43" fillId="3" borderId="0" xfId="0" applyFont="1" applyFill="1" applyAlignment="1" applyProtection="1">
      <alignment horizontal="center" vertical="center"/>
    </xf>
    <xf numFmtId="0" fontId="0" fillId="12" borderId="0" xfId="0" applyFill="1" applyBorder="1" applyAlignment="1" applyProtection="1">
      <alignment vertical="center"/>
    </xf>
    <xf numFmtId="37" fontId="4" fillId="12" borderId="0" xfId="0" applyNumberFormat="1" applyFont="1" applyFill="1" applyBorder="1" applyAlignment="1" applyProtection="1">
      <alignment horizontal="left" vertical="center"/>
    </xf>
    <xf numFmtId="49" fontId="4" fillId="2" borderId="1" xfId="0" applyNumberFormat="1" applyFont="1" applyFill="1" applyBorder="1" applyAlignment="1" applyProtection="1">
      <alignment vertical="center"/>
      <protection locked="0"/>
    </xf>
    <xf numFmtId="49" fontId="4" fillId="7" borderId="1" xfId="0" applyNumberFormat="1" applyFont="1" applyFill="1" applyBorder="1" applyAlignment="1" applyProtection="1">
      <alignment vertical="center"/>
      <protection locked="0"/>
    </xf>
    <xf numFmtId="0" fontId="33" fillId="0" borderId="0" xfId="0" applyFont="1" applyAlignment="1" applyProtection="1">
      <alignment vertical="center"/>
    </xf>
    <xf numFmtId="0" fontId="4" fillId="0" borderId="0" xfId="58" applyFont="1"/>
    <xf numFmtId="0" fontId="5" fillId="0" borderId="0" xfId="101" applyFont="1" applyAlignment="1">
      <alignment vertical="center"/>
    </xf>
    <xf numFmtId="0" fontId="4" fillId="0" borderId="0" xfId="63" applyFont="1" applyAlignment="1">
      <alignment vertical="center" wrapText="1"/>
    </xf>
    <xf numFmtId="0" fontId="4" fillId="0" borderId="0" xfId="63" applyFont="1" applyAlignment="1">
      <alignment vertical="center"/>
    </xf>
    <xf numFmtId="176" fontId="11" fillId="15" borderId="12" xfId="58" applyNumberFormat="1" applyFont="1" applyFill="1" applyBorder="1" applyAlignment="1" applyProtection="1">
      <alignment horizontal="center" vertical="center"/>
    </xf>
    <xf numFmtId="0" fontId="11" fillId="15" borderId="4" xfId="58" applyFont="1" applyFill="1" applyBorder="1" applyAlignment="1" applyProtection="1">
      <alignment vertical="center"/>
    </xf>
    <xf numFmtId="0" fontId="36" fillId="16" borderId="0" xfId="0" applyFont="1" applyFill="1"/>
    <xf numFmtId="0" fontId="36" fillId="12" borderId="0" xfId="0" applyFont="1" applyFill="1"/>
    <xf numFmtId="0" fontId="44" fillId="16" borderId="0" xfId="0" applyFont="1" applyFill="1" applyAlignment="1">
      <alignment horizontal="center" wrapText="1"/>
    </xf>
    <xf numFmtId="0" fontId="44" fillId="12" borderId="0" xfId="0" applyFont="1" applyFill="1"/>
    <xf numFmtId="0" fontId="36" fillId="12" borderId="0" xfId="0" applyFont="1" applyFill="1" applyAlignment="1">
      <alignment horizontal="center"/>
    </xf>
    <xf numFmtId="0" fontId="44" fillId="12" borderId="17" xfId="0" applyFont="1" applyFill="1" applyBorder="1"/>
    <xf numFmtId="0" fontId="36" fillId="12" borderId="18" xfId="0" applyFont="1" applyFill="1" applyBorder="1"/>
    <xf numFmtId="0" fontId="36" fillId="12" borderId="19" xfId="0" applyFont="1" applyFill="1" applyBorder="1"/>
    <xf numFmtId="176" fontId="36" fillId="12" borderId="20" xfId="0" applyNumberFormat="1" applyFont="1" applyFill="1" applyBorder="1"/>
    <xf numFmtId="0" fontId="36" fillId="12" borderId="0" xfId="0" applyFont="1" applyFill="1" applyBorder="1"/>
    <xf numFmtId="0" fontId="36" fillId="12" borderId="21" xfId="0" applyFont="1" applyFill="1" applyBorder="1"/>
    <xf numFmtId="0" fontId="36" fillId="12" borderId="22" xfId="0" applyFont="1" applyFill="1" applyBorder="1"/>
    <xf numFmtId="0" fontId="36" fillId="12" borderId="23" xfId="0" applyFont="1" applyFill="1" applyBorder="1"/>
    <xf numFmtId="0" fontId="36" fillId="12" borderId="24" xfId="0" applyFont="1" applyFill="1" applyBorder="1"/>
    <xf numFmtId="0" fontId="36" fillId="12" borderId="17" xfId="0" applyFont="1" applyFill="1" applyBorder="1"/>
    <xf numFmtId="0" fontId="36" fillId="12" borderId="25" xfId="0" applyFont="1" applyFill="1" applyBorder="1"/>
    <xf numFmtId="176" fontId="36" fillId="14" borderId="20"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0" fontId="45" fillId="0" borderId="0" xfId="0" applyFont="1" applyBorder="1"/>
    <xf numFmtId="0" fontId="36" fillId="0" borderId="0" xfId="0" applyFont="1" applyBorder="1"/>
    <xf numFmtId="0" fontId="44" fillId="0" borderId="0" xfId="0" applyFont="1" applyBorder="1" applyAlignment="1">
      <alignment horizontal="centerContinuous"/>
    </xf>
    <xf numFmtId="0" fontId="36" fillId="0" borderId="0" xfId="0" applyFont="1" applyBorder="1" applyAlignment="1">
      <alignment horizontal="centerContinuous"/>
    </xf>
    <xf numFmtId="0" fontId="36" fillId="16" borderId="0" xfId="0" applyFont="1" applyFill="1" applyBorder="1"/>
    <xf numFmtId="0" fontId="36" fillId="12" borderId="26" xfId="0" applyFont="1" applyFill="1" applyBorder="1"/>
    <xf numFmtId="0" fontId="36" fillId="12" borderId="9" xfId="0" applyFont="1" applyFill="1" applyBorder="1"/>
    <xf numFmtId="0" fontId="36" fillId="12" borderId="27" xfId="0" applyFont="1" applyFill="1" applyBorder="1"/>
    <xf numFmtId="5" fontId="36" fillId="12" borderId="23" xfId="0" applyNumberFormat="1" applyFont="1" applyFill="1" applyBorder="1" applyAlignment="1">
      <alignment horizontal="center"/>
    </xf>
    <xf numFmtId="0" fontId="36" fillId="12" borderId="23" xfId="0" applyFont="1" applyFill="1" applyBorder="1" applyAlignment="1">
      <alignment horizontal="center"/>
    </xf>
    <xf numFmtId="173" fontId="36" fillId="12" borderId="23" xfId="0" applyNumberFormat="1" applyFont="1" applyFill="1" applyBorder="1" applyAlignment="1">
      <alignment horizontal="center"/>
    </xf>
    <xf numFmtId="177" fontId="36" fillId="12" borderId="23" xfId="0" applyNumberFormat="1" applyFont="1" applyFill="1" applyBorder="1" applyAlignment="1">
      <alignment horizontal="center"/>
    </xf>
    <xf numFmtId="0" fontId="36" fillId="12" borderId="0" xfId="0" applyFont="1" applyFill="1" applyAlignment="1">
      <alignment horizontal="center" wrapText="1"/>
    </xf>
    <xf numFmtId="0" fontId="44" fillId="12" borderId="17" xfId="0" applyFont="1" applyFill="1" applyBorder="1" applyAlignment="1"/>
    <xf numFmtId="0" fontId="36" fillId="12" borderId="18" xfId="0" applyFont="1" applyFill="1" applyBorder="1" applyAlignment="1"/>
    <xf numFmtId="0" fontId="36" fillId="12" borderId="19" xfId="0" applyFont="1" applyFill="1" applyBorder="1" applyAlignment="1"/>
    <xf numFmtId="0" fontId="36" fillId="12" borderId="25" xfId="0" applyFont="1" applyFill="1" applyBorder="1" applyAlignment="1"/>
    <xf numFmtId="0" fontId="36" fillId="12" borderId="21" xfId="0" applyFont="1" applyFill="1" applyBorder="1" applyAlignment="1"/>
    <xf numFmtId="0" fontId="36" fillId="12" borderId="26" xfId="0" applyFont="1" applyFill="1" applyBorder="1" applyAlignment="1"/>
    <xf numFmtId="0" fontId="36" fillId="12" borderId="9" xfId="0" applyFont="1" applyFill="1" applyBorder="1" applyAlignment="1"/>
    <xf numFmtId="0" fontId="36" fillId="12" borderId="27" xfId="0" applyFont="1" applyFill="1" applyBorder="1" applyAlignment="1"/>
    <xf numFmtId="171" fontId="36" fillId="12" borderId="0" xfId="0" applyNumberFormat="1" applyFont="1" applyFill="1" applyBorder="1" applyAlignment="1">
      <alignment horizontal="center"/>
    </xf>
    <xf numFmtId="0" fontId="36" fillId="12" borderId="22" xfId="0" applyFont="1" applyFill="1" applyBorder="1" applyAlignment="1"/>
    <xf numFmtId="5" fontId="36" fillId="12" borderId="0" xfId="0" applyNumberFormat="1" applyFont="1" applyFill="1" applyBorder="1" applyAlignment="1">
      <alignment horizontal="center"/>
    </xf>
    <xf numFmtId="0" fontId="36" fillId="16" borderId="0" xfId="0" applyFont="1" applyFill="1" applyAlignment="1"/>
    <xf numFmtId="173" fontId="36" fillId="14" borderId="4" xfId="0" applyNumberFormat="1" applyFont="1" applyFill="1" applyBorder="1" applyAlignment="1" applyProtection="1">
      <alignment horizontal="center"/>
      <protection locked="0"/>
    </xf>
    <xf numFmtId="177" fontId="36" fillId="12" borderId="0" xfId="0" applyNumberFormat="1" applyFont="1" applyFill="1" applyBorder="1"/>
    <xf numFmtId="0" fontId="36" fillId="17" borderId="0" xfId="0" applyFont="1" applyFill="1"/>
    <xf numFmtId="0" fontId="23" fillId="0" borderId="0" xfId="0" applyFont="1" applyAlignment="1">
      <alignment horizontal="center"/>
    </xf>
    <xf numFmtId="0" fontId="3" fillId="0" borderId="0" xfId="0" applyFont="1" applyAlignment="1">
      <alignment wrapText="1"/>
    </xf>
    <xf numFmtId="0" fontId="19" fillId="0" borderId="0" xfId="0" applyFont="1"/>
    <xf numFmtId="0" fontId="46" fillId="0" borderId="0" xfId="0" applyFont="1" applyAlignment="1">
      <alignment wrapText="1"/>
    </xf>
    <xf numFmtId="0" fontId="18" fillId="0" borderId="0" xfId="0" applyFont="1" applyAlignment="1">
      <alignment wrapText="1"/>
    </xf>
    <xf numFmtId="0" fontId="19" fillId="0" borderId="0" xfId="0" applyNumberFormat="1" applyFont="1" applyFill="1" applyBorder="1" applyAlignment="1" applyProtection="1">
      <alignment vertical="center"/>
    </xf>
    <xf numFmtId="0" fontId="18"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vertical="center" wrapText="1"/>
    </xf>
    <xf numFmtId="0" fontId="22" fillId="0" borderId="0" xfId="0" applyNumberFormat="1" applyFont="1" applyFill="1" applyBorder="1" applyAlignment="1" applyProtection="1">
      <alignment vertical="center"/>
    </xf>
    <xf numFmtId="0" fontId="4" fillId="12" borderId="0" xfId="58" applyFont="1" applyFill="1" applyBorder="1" applyAlignment="1" applyProtection="1">
      <alignment vertical="center"/>
    </xf>
    <xf numFmtId="0" fontId="4" fillId="12" borderId="6" xfId="58" applyFont="1" applyFill="1" applyBorder="1" applyAlignment="1" applyProtection="1">
      <alignment vertical="center"/>
    </xf>
    <xf numFmtId="0" fontId="4" fillId="12" borderId="16" xfId="58" applyFont="1" applyFill="1" applyBorder="1" applyAlignment="1" applyProtection="1">
      <alignment vertical="center"/>
    </xf>
    <xf numFmtId="0" fontId="4" fillId="15" borderId="7" xfId="58" applyFont="1" applyFill="1" applyBorder="1" applyAlignment="1" applyProtection="1">
      <alignment vertical="center"/>
    </xf>
    <xf numFmtId="176" fontId="11" fillId="12" borderId="6" xfId="58" applyNumberFormat="1" applyFont="1" applyFill="1" applyBorder="1" applyAlignment="1" applyProtection="1">
      <alignment horizontal="center" vertical="center"/>
    </xf>
    <xf numFmtId="0" fontId="11" fillId="12" borderId="0" xfId="58" applyFont="1" applyFill="1" applyBorder="1" applyAlignment="1" applyProtection="1">
      <alignment horizontal="left" vertical="center"/>
    </xf>
    <xf numFmtId="0" fontId="11" fillId="12" borderId="0" xfId="58" applyFont="1" applyFill="1" applyBorder="1" applyAlignment="1" applyProtection="1">
      <alignment vertical="center"/>
    </xf>
    <xf numFmtId="176" fontId="11" fillId="12" borderId="12" xfId="58" applyNumberFormat="1" applyFont="1" applyFill="1" applyBorder="1" applyAlignment="1" applyProtection="1">
      <alignment horizontal="center" vertical="center"/>
    </xf>
    <xf numFmtId="176" fontId="11" fillId="12" borderId="6" xfId="58" applyNumberFormat="1" applyFont="1" applyFill="1" applyBorder="1" applyAlignment="1" applyProtection="1">
      <alignment vertical="center"/>
    </xf>
    <xf numFmtId="0" fontId="36" fillId="0" borderId="0" xfId="0" applyFont="1"/>
    <xf numFmtId="0" fontId="37" fillId="0" borderId="0" xfId="58" applyFont="1" applyAlignment="1">
      <alignment horizontal="center"/>
    </xf>
    <xf numFmtId="0" fontId="4" fillId="0" borderId="0" xfId="58" applyFont="1" applyAlignment="1">
      <alignment wrapText="1"/>
    </xf>
    <xf numFmtId="0" fontId="38" fillId="0" borderId="0" xfId="15" applyFont="1" applyAlignment="1" applyProtection="1"/>
    <xf numFmtId="0" fontId="4" fillId="0" borderId="0" xfId="407" applyFont="1" applyAlignment="1">
      <alignment vertical="center" wrapText="1"/>
    </xf>
    <xf numFmtId="0" fontId="4" fillId="0" borderId="0" xfId="440" applyNumberFormat="1" applyFont="1" applyAlignment="1">
      <alignment vertical="center" wrapText="1"/>
    </xf>
    <xf numFmtId="0" fontId="4" fillId="0" borderId="0" xfId="297" applyFont="1" applyAlignment="1">
      <alignment vertical="center" wrapText="1"/>
    </xf>
    <xf numFmtId="3" fontId="4" fillId="3" borderId="1" xfId="0" applyNumberFormat="1" applyFont="1" applyFill="1" applyBorder="1" applyAlignment="1" applyProtection="1">
      <alignment horizontal="right" vertical="center"/>
    </xf>
    <xf numFmtId="0" fontId="44" fillId="12" borderId="25" xfId="0" applyFont="1" applyFill="1" applyBorder="1" applyAlignment="1">
      <alignment horizontal="centerContinuous" vertical="center"/>
    </xf>
    <xf numFmtId="176" fontId="44" fillId="12" borderId="0" xfId="0" applyNumberFormat="1" applyFont="1" applyFill="1" applyBorder="1" applyAlignment="1">
      <alignment horizontal="centerContinuous" vertical="center"/>
    </xf>
    <xf numFmtId="0" fontId="44" fillId="12" borderId="0" xfId="0" applyFont="1" applyFill="1" applyBorder="1" applyAlignment="1">
      <alignment horizontal="centerContinuous" vertical="center"/>
    </xf>
    <xf numFmtId="173" fontId="44" fillId="12" borderId="0" xfId="0" applyNumberFormat="1" applyFont="1" applyFill="1" applyBorder="1" applyAlignment="1" applyProtection="1">
      <alignment horizontal="centerContinuous" vertical="center"/>
      <protection locked="0"/>
    </xf>
    <xf numFmtId="177" fontId="44" fillId="12" borderId="0" xfId="0" applyNumberFormat="1" applyFont="1" applyFill="1" applyBorder="1" applyAlignment="1">
      <alignment horizontal="centerContinuous" vertical="center"/>
    </xf>
    <xf numFmtId="0" fontId="44" fillId="12" borderId="21" xfId="0" applyFont="1" applyFill="1" applyBorder="1" applyAlignment="1">
      <alignment horizontal="centerContinuous" vertical="center"/>
    </xf>
    <xf numFmtId="0" fontId="44" fillId="12" borderId="25" xfId="0" applyFont="1" applyFill="1" applyBorder="1" applyAlignment="1">
      <alignment horizontal="centerContinuous"/>
    </xf>
    <xf numFmtId="176" fontId="44" fillId="12" borderId="0" xfId="0" applyNumberFormat="1" applyFont="1" applyFill="1" applyBorder="1" applyAlignment="1">
      <alignment horizontal="centerContinuous"/>
    </xf>
    <xf numFmtId="0" fontId="44" fillId="12" borderId="0" xfId="0" applyFont="1" applyFill="1" applyBorder="1" applyAlignment="1">
      <alignment horizontal="centerContinuous"/>
    </xf>
    <xf numFmtId="173" fontId="44" fillId="12" borderId="0" xfId="0" applyNumberFormat="1" applyFont="1" applyFill="1" applyBorder="1" applyAlignment="1" applyProtection="1">
      <alignment horizontal="centerContinuous"/>
      <protection locked="0"/>
    </xf>
    <xf numFmtId="177" fontId="44" fillId="12" borderId="0" xfId="0" applyNumberFormat="1" applyFont="1" applyFill="1" applyBorder="1" applyAlignment="1">
      <alignment horizontal="centerContinuous"/>
    </xf>
    <xf numFmtId="0" fontId="44" fillId="12" borderId="21" xfId="0" applyFont="1" applyFill="1" applyBorder="1" applyAlignment="1">
      <alignment horizontal="centerContinuous"/>
    </xf>
    <xf numFmtId="176" fontId="36" fillId="0" borderId="0" xfId="0" applyNumberFormat="1" applyFont="1"/>
    <xf numFmtId="176" fontId="36" fillId="12" borderId="23" xfId="0" applyNumberFormat="1" applyFont="1" applyFill="1" applyBorder="1" applyAlignment="1">
      <alignment horizontal="center"/>
    </xf>
    <xf numFmtId="173" fontId="36" fillId="12" borderId="23" xfId="0" applyNumberFormat="1" applyFont="1" applyFill="1" applyBorder="1" applyAlignment="1" applyProtection="1">
      <alignment horizontal="center"/>
      <protection locked="0"/>
    </xf>
    <xf numFmtId="177" fontId="36" fillId="12" borderId="23" xfId="0" applyNumberFormat="1" applyFont="1" applyFill="1" applyBorder="1"/>
    <xf numFmtId="173" fontId="36" fillId="12" borderId="0" xfId="0" applyNumberFormat="1" applyFont="1" applyFill="1" applyBorder="1" applyAlignment="1" applyProtection="1">
      <alignment horizontal="center"/>
      <protection locked="0"/>
    </xf>
    <xf numFmtId="176" fontId="36" fillId="12" borderId="18" xfId="0" applyNumberFormat="1" applyFont="1" applyFill="1" applyBorder="1" applyAlignment="1">
      <alignment horizontal="center"/>
    </xf>
    <xf numFmtId="0" fontId="36" fillId="12" borderId="18" xfId="0" applyFont="1" applyFill="1" applyBorder="1" applyAlignment="1">
      <alignment horizontal="center"/>
    </xf>
    <xf numFmtId="173" fontId="36" fillId="12" borderId="18" xfId="0" applyNumberFormat="1" applyFont="1" applyFill="1" applyBorder="1" applyAlignment="1" applyProtection="1">
      <alignment horizontal="center"/>
      <protection locked="0"/>
    </xf>
    <xf numFmtId="177" fontId="36" fillId="12" borderId="18" xfId="0" applyNumberFormat="1" applyFont="1" applyFill="1" applyBorder="1"/>
    <xf numFmtId="176" fontId="36" fillId="12" borderId="0" xfId="0" applyNumberFormat="1" applyFont="1" applyFill="1" applyBorder="1" applyAlignment="1" applyProtection="1">
      <alignment horizontal="center"/>
      <protection locked="0"/>
    </xf>
    <xf numFmtId="0" fontId="4" fillId="12" borderId="0" xfId="0" applyFont="1" applyFill="1" applyAlignment="1" applyProtection="1">
      <alignment vertical="center"/>
      <protection locked="0"/>
    </xf>
    <xf numFmtId="0" fontId="4" fillId="3" borderId="12" xfId="0" applyFont="1" applyFill="1" applyBorder="1" applyAlignment="1" applyProtection="1">
      <alignment vertical="center"/>
    </xf>
    <xf numFmtId="3" fontId="4" fillId="3" borderId="1" xfId="40" applyNumberFormat="1" applyFont="1" applyFill="1" applyBorder="1" applyAlignment="1" applyProtection="1">
      <alignment vertical="center"/>
    </xf>
    <xf numFmtId="0" fontId="4" fillId="3" borderId="2" xfId="40" applyFont="1" applyFill="1" applyBorder="1" applyAlignment="1" applyProtection="1">
      <alignment horizontal="center" vertical="center"/>
    </xf>
    <xf numFmtId="0" fontId="4" fillId="3" borderId="3" xfId="40" applyFont="1" applyFill="1" applyBorder="1" applyAlignment="1" applyProtection="1">
      <alignment horizontal="center" vertical="center"/>
    </xf>
    <xf numFmtId="0" fontId="4" fillId="12" borderId="4" xfId="0" applyFont="1" applyFill="1" applyBorder="1" applyAlignment="1" applyProtection="1">
      <alignment vertical="center"/>
      <protection locked="0"/>
    </xf>
    <xf numFmtId="0" fontId="4" fillId="15" borderId="7" xfId="0" applyFont="1" applyFill="1" applyBorder="1" applyAlignment="1" applyProtection="1">
      <alignment vertical="center"/>
      <protection locked="0"/>
    </xf>
    <xf numFmtId="0" fontId="4" fillId="3" borderId="16" xfId="15" applyNumberFormat="1" applyFont="1" applyFill="1" applyBorder="1" applyAlignment="1" applyProtection="1">
      <alignment horizontal="right" vertical="center"/>
    </xf>
    <xf numFmtId="0" fontId="47" fillId="0" borderId="0" xfId="0" applyFont="1" applyAlignment="1" applyProtection="1">
      <alignment vertical="center"/>
      <protection locked="0"/>
    </xf>
    <xf numFmtId="0" fontId="4" fillId="12" borderId="0" xfId="0" applyFont="1" applyFill="1" applyBorder="1" applyAlignment="1" applyProtection="1">
      <alignment vertical="center"/>
    </xf>
    <xf numFmtId="176" fontId="30" fillId="14" borderId="1" xfId="0" applyNumberFormat="1" applyFont="1" applyFill="1" applyBorder="1" applyAlignment="1" applyProtection="1">
      <alignment horizontal="center" vertical="center"/>
      <protection locked="0"/>
    </xf>
    <xf numFmtId="0" fontId="30" fillId="12" borderId="0" xfId="0" applyFont="1" applyFill="1" applyBorder="1" applyAlignment="1" applyProtection="1">
      <alignment vertical="center"/>
    </xf>
    <xf numFmtId="0" fontId="30" fillId="12" borderId="6" xfId="0" applyFont="1" applyFill="1" applyBorder="1" applyAlignment="1" applyProtection="1">
      <alignment horizontal="left" vertical="center"/>
    </xf>
    <xf numFmtId="3" fontId="4" fillId="2" borderId="10" xfId="0" applyNumberFormat="1" applyFont="1" applyFill="1" applyBorder="1" applyAlignment="1" applyProtection="1">
      <alignment horizontal="right" vertical="center"/>
      <protection locked="0"/>
    </xf>
    <xf numFmtId="0" fontId="30" fillId="12" borderId="6" xfId="0" applyFont="1" applyFill="1" applyBorder="1" applyAlignment="1" applyProtection="1">
      <alignment vertical="center"/>
    </xf>
    <xf numFmtId="176" fontId="30" fillId="12" borderId="16" xfId="0" applyNumberFormat="1" applyFont="1" applyFill="1" applyBorder="1" applyAlignment="1" applyProtection="1">
      <alignment horizontal="center" vertical="center"/>
    </xf>
    <xf numFmtId="176" fontId="32" fillId="15" borderId="8" xfId="0" applyNumberFormat="1" applyFont="1" applyFill="1" applyBorder="1" applyAlignment="1" applyProtection="1">
      <alignment horizontal="center" vertical="center"/>
    </xf>
    <xf numFmtId="0" fontId="4" fillId="15" borderId="0" xfId="0" applyFont="1" applyFill="1" applyBorder="1" applyAlignment="1" applyProtection="1">
      <alignment vertical="center"/>
    </xf>
    <xf numFmtId="0" fontId="30" fillId="15" borderId="0" xfId="0" applyFont="1" applyFill="1" applyBorder="1" applyAlignment="1" applyProtection="1">
      <alignment vertical="center"/>
    </xf>
    <xf numFmtId="0" fontId="32" fillId="15" borderId="6" xfId="0" applyFont="1" applyFill="1" applyBorder="1" applyAlignment="1" applyProtection="1">
      <alignment vertical="center"/>
    </xf>
    <xf numFmtId="176" fontId="32" fillId="15" borderId="7" xfId="0" applyNumberFormat="1" applyFont="1" applyFill="1" applyBorder="1" applyAlignment="1" applyProtection="1">
      <alignment horizontal="center" vertical="center"/>
      <protection locked="0"/>
    </xf>
    <xf numFmtId="179" fontId="4" fillId="7" borderId="1" xfId="0" applyNumberFormat="1" applyFont="1" applyFill="1" applyBorder="1" applyAlignment="1" applyProtection="1">
      <alignment vertical="center"/>
      <protection locked="0"/>
    </xf>
    <xf numFmtId="37" fontId="30" fillId="3" borderId="12" xfId="0" applyNumberFormat="1" applyFont="1" applyFill="1" applyBorder="1" applyAlignment="1" applyProtection="1">
      <alignment horizontal="left" vertical="center"/>
    </xf>
    <xf numFmtId="0" fontId="39" fillId="12" borderId="4" xfId="0" applyFont="1" applyFill="1" applyBorder="1" applyAlignment="1">
      <alignment horizontal="left" vertical="center"/>
    </xf>
    <xf numFmtId="179" fontId="4" fillId="3" borderId="0" xfId="0" applyNumberFormat="1" applyFont="1" applyFill="1" applyAlignment="1" applyProtection="1">
      <alignment horizontal="center" vertical="center"/>
    </xf>
    <xf numFmtId="0" fontId="48" fillId="0" borderId="0" xfId="0" applyFont="1" applyAlignment="1" applyProtection="1">
      <alignment vertical="center"/>
      <protection locked="0"/>
    </xf>
    <xf numFmtId="3" fontId="4" fillId="2" borderId="10" xfId="0" applyNumberFormat="1" applyFont="1" applyFill="1" applyBorder="1" applyAlignment="1" applyProtection="1">
      <alignment vertical="center"/>
      <protection locked="0"/>
    </xf>
    <xf numFmtId="173" fontId="32" fillId="12" borderId="8" xfId="30" applyNumberFormat="1" applyFont="1" applyFill="1" applyBorder="1" applyAlignment="1" applyProtection="1">
      <alignment horizontal="center" vertical="center"/>
    </xf>
    <xf numFmtId="176" fontId="11" fillId="12" borderId="6" xfId="30" applyNumberFormat="1" applyFont="1" applyFill="1" applyBorder="1" applyAlignment="1" applyProtection="1">
      <alignment horizontal="center" vertical="center"/>
    </xf>
    <xf numFmtId="176" fontId="11" fillId="12" borderId="12" xfId="30" applyNumberFormat="1" applyFont="1" applyFill="1" applyBorder="1" applyAlignment="1" applyProtection="1">
      <alignment horizontal="center" vertical="center"/>
    </xf>
    <xf numFmtId="176" fontId="11" fillId="12" borderId="6" xfId="30" applyNumberFormat="1" applyFont="1" applyFill="1" applyBorder="1" applyAlignment="1" applyProtection="1">
      <alignment vertical="center"/>
    </xf>
    <xf numFmtId="176" fontId="11" fillId="15" borderId="12" xfId="30" applyNumberFormat="1" applyFont="1" applyFill="1" applyBorder="1" applyAlignment="1" applyProtection="1">
      <alignment horizontal="center" vertical="center"/>
    </xf>
    <xf numFmtId="0" fontId="11" fillId="15" borderId="4" xfId="30" applyFont="1" applyFill="1" applyBorder="1" applyAlignment="1" applyProtection="1">
      <alignment vertical="center"/>
    </xf>
    <xf numFmtId="0" fontId="4" fillId="12" borderId="0" xfId="40" applyFont="1" applyFill="1"/>
    <xf numFmtId="0" fontId="2" fillId="0" borderId="0" xfId="40"/>
    <xf numFmtId="0" fontId="4" fillId="12" borderId="0" xfId="40" applyFont="1" applyFill="1" applyAlignment="1">
      <alignment vertical="center"/>
    </xf>
    <xf numFmtId="37" fontId="4" fillId="12" borderId="0" xfId="40" applyNumberFormat="1" applyFont="1" applyFill="1" applyAlignment="1">
      <alignment vertical="center"/>
    </xf>
    <xf numFmtId="0" fontId="4" fillId="12" borderId="4" xfId="40" applyFont="1" applyFill="1" applyBorder="1" applyAlignment="1">
      <alignment vertical="center"/>
    </xf>
    <xf numFmtId="0" fontId="4" fillId="12" borderId="0" xfId="40" applyFont="1" applyFill="1" applyAlignment="1">
      <alignment horizontal="center" vertical="center"/>
    </xf>
    <xf numFmtId="0" fontId="5" fillId="12" borderId="0" xfId="40" applyFont="1" applyFill="1" applyAlignment="1">
      <alignment horizontal="center" vertical="center"/>
    </xf>
    <xf numFmtId="176" fontId="4" fillId="12" borderId="0" xfId="40" applyNumberFormat="1" applyFont="1" applyFill="1" applyAlignment="1">
      <alignment vertical="center"/>
    </xf>
    <xf numFmtId="176" fontId="4" fillId="12" borderId="9" xfId="40" applyNumberFormat="1" applyFont="1" applyFill="1" applyBorder="1" applyAlignment="1">
      <alignment vertical="center"/>
    </xf>
    <xf numFmtId="6" fontId="4" fillId="12" borderId="0" xfId="40" applyNumberFormat="1" applyFont="1" applyFill="1" applyBorder="1" applyAlignment="1">
      <alignment vertical="center"/>
    </xf>
    <xf numFmtId="176" fontId="4" fillId="12" borderId="0" xfId="40" applyNumberFormat="1" applyFont="1" applyFill="1" applyBorder="1" applyAlignment="1">
      <alignment vertical="center"/>
    </xf>
    <xf numFmtId="0" fontId="47" fillId="15" borderId="0" xfId="40" applyFont="1" applyFill="1" applyAlignment="1">
      <alignment vertical="center"/>
    </xf>
    <xf numFmtId="0" fontId="47" fillId="12" borderId="0" xfId="40" applyFont="1" applyFill="1" applyAlignment="1">
      <alignment horizontal="center" vertical="center"/>
    </xf>
    <xf numFmtId="0" fontId="47" fillId="15" borderId="0" xfId="40" applyFont="1" applyFill="1" applyAlignment="1">
      <alignment horizontal="center" vertical="center"/>
    </xf>
    <xf numFmtId="0" fontId="4" fillId="12" borderId="0" xfId="30" applyFont="1" applyFill="1"/>
    <xf numFmtId="0" fontId="2" fillId="12" borderId="0" xfId="40" applyFill="1"/>
    <xf numFmtId="0" fontId="3" fillId="12" borderId="0" xfId="30" applyFont="1" applyFill="1"/>
    <xf numFmtId="0" fontId="2" fillId="12" borderId="0" xfId="30" applyFill="1"/>
    <xf numFmtId="0" fontId="4" fillId="12" borderId="0" xfId="40" applyFont="1" applyFill="1" applyAlignment="1">
      <alignment horizontal="left" vertical="center"/>
    </xf>
    <xf numFmtId="0" fontId="4" fillId="12" borderId="0" xfId="40" applyFont="1" applyFill="1" applyAlignment="1">
      <alignment horizontal="right" vertical="center"/>
    </xf>
    <xf numFmtId="173" fontId="4" fillId="12" borderId="0" xfId="40" applyNumberFormat="1" applyFont="1" applyFill="1" applyAlignment="1">
      <alignment horizontal="center" vertical="center"/>
    </xf>
    <xf numFmtId="180" fontId="47" fillId="12" borderId="0" xfId="40" applyNumberFormat="1" applyFont="1" applyFill="1" applyAlignment="1">
      <alignment horizontal="center" vertical="center"/>
    </xf>
    <xf numFmtId="0" fontId="49" fillId="15" borderId="0" xfId="40" applyFont="1" applyFill="1" applyAlignment="1">
      <alignment horizontal="center" vertical="center"/>
    </xf>
    <xf numFmtId="0" fontId="8" fillId="0" borderId="0" xfId="15" applyAlignment="1" applyProtection="1"/>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12" borderId="0" xfId="0" applyFont="1" applyFill="1" applyBorder="1" applyAlignment="1">
      <alignment horizontal="center"/>
    </xf>
    <xf numFmtId="176" fontId="36" fillId="14" borderId="4" xfId="0" applyNumberFormat="1" applyFont="1" applyFill="1" applyBorder="1" applyAlignment="1" applyProtection="1">
      <alignment horizontal="center"/>
      <protection locked="0"/>
    </xf>
    <xf numFmtId="0" fontId="36" fillId="12" borderId="9" xfId="0" applyFont="1" applyFill="1" applyBorder="1" applyAlignment="1">
      <alignment horizontal="center"/>
    </xf>
    <xf numFmtId="0" fontId="44" fillId="12" borderId="0" xfId="0" applyFont="1" applyFill="1" applyAlignment="1">
      <alignment horizontal="center" wrapText="1"/>
    </xf>
    <xf numFmtId="0" fontId="36" fillId="12" borderId="0" xfId="0" applyFont="1" applyFill="1" applyBorder="1" applyAlignment="1"/>
    <xf numFmtId="0" fontId="36" fillId="12" borderId="24" xfId="0" applyFont="1" applyFill="1" applyBorder="1" applyAlignment="1"/>
    <xf numFmtId="0" fontId="44" fillId="12" borderId="0" xfId="0" applyFont="1" applyFill="1" applyAlignment="1">
      <alignment horizontal="center"/>
    </xf>
    <xf numFmtId="1" fontId="4" fillId="3" borderId="13" xfId="0" applyNumberFormat="1" applyFont="1" applyFill="1" applyBorder="1" applyAlignment="1" applyProtection="1">
      <alignment horizontal="center" vertical="center"/>
    </xf>
    <xf numFmtId="37" fontId="4" fillId="3" borderId="13" xfId="0" applyNumberFormat="1" applyFont="1" applyFill="1" applyBorder="1" applyAlignment="1" applyProtection="1">
      <alignment horizontal="center" vertical="center"/>
    </xf>
    <xf numFmtId="0" fontId="47" fillId="0" borderId="0" xfId="480" applyFont="1" applyAlignment="1">
      <alignment horizontal="left" vertical="center"/>
    </xf>
    <xf numFmtId="0" fontId="4" fillId="0" borderId="0" xfId="28" applyFont="1"/>
    <xf numFmtId="0" fontId="50" fillId="0" borderId="0" xfId="28" applyFont="1"/>
    <xf numFmtId="0" fontId="2" fillId="0" borderId="0" xfId="28"/>
    <xf numFmtId="0" fontId="4" fillId="2" borderId="1" xfId="0" applyFont="1" applyFill="1" applyBorder="1" applyAlignment="1" applyProtection="1">
      <alignment vertical="center"/>
      <protection locked="0"/>
    </xf>
    <xf numFmtId="164" fontId="4" fillId="7" borderId="1" xfId="0" applyNumberFormat="1" applyFont="1" applyFill="1" applyBorder="1" applyAlignment="1" applyProtection="1">
      <alignment vertical="center"/>
      <protection locked="0"/>
    </xf>
    <xf numFmtId="0" fontId="4" fillId="3" borderId="16" xfId="0" applyFont="1" applyFill="1" applyBorder="1" applyAlignment="1" applyProtection="1">
      <alignment vertical="center"/>
    </xf>
    <xf numFmtId="0" fontId="24" fillId="0" borderId="0" xfId="480"/>
    <xf numFmtId="174" fontId="11" fillId="0" borderId="0" xfId="480" applyNumberFormat="1" applyFont="1" applyAlignment="1">
      <alignment horizontal="left" vertical="center"/>
    </xf>
    <xf numFmtId="49" fontId="4" fillId="0" borderId="0" xfId="480" applyNumberFormat="1" applyFont="1" applyAlignment="1">
      <alignment horizontal="left" vertical="center"/>
    </xf>
    <xf numFmtId="0" fontId="11" fillId="0" borderId="0" xfId="480" applyFont="1" applyAlignment="1">
      <alignment horizontal="left" vertical="center"/>
    </xf>
    <xf numFmtId="175" fontId="11" fillId="0" borderId="0" xfId="480" applyNumberFormat="1" applyFont="1" applyAlignment="1">
      <alignment horizontal="left" vertical="center"/>
    </xf>
    <xf numFmtId="0" fontId="30" fillId="12" borderId="0" xfId="0" applyFont="1" applyFill="1" applyBorder="1" applyAlignment="1" applyProtection="1">
      <alignment horizontal="left" vertical="center"/>
    </xf>
    <xf numFmtId="0" fontId="4" fillId="0" borderId="0" xfId="480" applyFont="1" applyAlignment="1">
      <alignment horizontal="left" vertical="center"/>
    </xf>
    <xf numFmtId="0" fontId="51" fillId="0" borderId="0" xfId="480" applyFont="1"/>
    <xf numFmtId="174" fontId="52" fillId="0" borderId="0" xfId="480" applyNumberFormat="1" applyFont="1" applyAlignment="1">
      <alignment horizontal="left" vertical="center"/>
    </xf>
    <xf numFmtId="0" fontId="52" fillId="0" borderId="0" xfId="480" applyNumberFormat="1" applyFont="1" applyAlignment="1">
      <alignment horizontal="left" vertical="center"/>
    </xf>
    <xf numFmtId="1" fontId="52" fillId="0" borderId="0" xfId="480" applyNumberFormat="1" applyFont="1" applyAlignment="1">
      <alignment horizontal="left" vertical="center"/>
    </xf>
    <xf numFmtId="0" fontId="53" fillId="0" borderId="0" xfId="480" applyFont="1" applyAlignment="1">
      <alignment horizontal="left" vertical="center"/>
    </xf>
    <xf numFmtId="49" fontId="4" fillId="0" borderId="0" xfId="480" applyNumberFormat="1" applyFont="1" applyFill="1" applyAlignment="1" applyProtection="1">
      <alignment horizontal="left" vertical="center"/>
      <protection locked="0"/>
    </xf>
    <xf numFmtId="0" fontId="30" fillId="12" borderId="4" xfId="0" applyFont="1" applyFill="1" applyBorder="1" applyAlignment="1" applyProtection="1">
      <alignment horizontal="left" vertical="center"/>
    </xf>
    <xf numFmtId="0" fontId="31" fillId="12" borderId="4" xfId="0" applyFont="1" applyFill="1" applyBorder="1" applyAlignment="1" applyProtection="1">
      <alignment horizontal="center" vertical="center"/>
    </xf>
    <xf numFmtId="0" fontId="0" fillId="12" borderId="7" xfId="0" applyFill="1" applyBorder="1" applyAlignment="1" applyProtection="1">
      <alignment vertical="center"/>
    </xf>
    <xf numFmtId="0" fontId="31" fillId="12" borderId="0" xfId="0" applyFont="1" applyFill="1" applyBorder="1" applyAlignment="1" applyProtection="1">
      <alignment horizontal="center" vertical="center"/>
    </xf>
    <xf numFmtId="0" fontId="0" fillId="12" borderId="16" xfId="0" applyFill="1" applyBorder="1" applyAlignment="1" applyProtection="1">
      <alignment vertical="center"/>
    </xf>
    <xf numFmtId="173" fontId="30" fillId="12" borderId="6" xfId="0" applyNumberFormat="1" applyFont="1" applyFill="1" applyBorder="1" applyAlignment="1" applyProtection="1">
      <alignment horizontal="center" vertical="center"/>
    </xf>
    <xf numFmtId="173" fontId="30" fillId="12" borderId="10" xfId="0" applyNumberFormat="1" applyFont="1" applyFill="1" applyBorder="1" applyAlignment="1" applyProtection="1">
      <alignment horizontal="center" vertical="center"/>
    </xf>
    <xf numFmtId="173" fontId="30" fillId="15" borderId="12" xfId="0" applyNumberFormat="1" applyFont="1" applyFill="1" applyBorder="1" applyAlignment="1" applyProtection="1">
      <alignment horizontal="center" vertical="center"/>
    </xf>
    <xf numFmtId="173" fontId="30" fillId="15" borderId="10" xfId="0" applyNumberFormat="1" applyFont="1" applyFill="1" applyBorder="1" applyAlignment="1" applyProtection="1">
      <alignment horizontal="center" vertical="center"/>
    </xf>
    <xf numFmtId="0" fontId="4" fillId="0" borderId="0" xfId="101" applyFont="1" applyAlignment="1">
      <alignment vertical="center"/>
    </xf>
    <xf numFmtId="0" fontId="4" fillId="0" borderId="0" xfId="502" applyFont="1" applyAlignment="1">
      <alignment vertical="center" wrapText="1"/>
    </xf>
    <xf numFmtId="0" fontId="4" fillId="0" borderId="0" xfId="29" applyFont="1" applyAlignment="1">
      <alignment vertical="center" wrapText="1"/>
    </xf>
    <xf numFmtId="0" fontId="4" fillId="0" borderId="0" xfId="30" applyFont="1" applyAlignment="1">
      <alignment vertical="center" wrapText="1"/>
    </xf>
    <xf numFmtId="0" fontId="4" fillId="0" borderId="0" xfId="64" applyFont="1" applyAlignment="1">
      <alignment vertical="center" wrapText="1"/>
    </xf>
    <xf numFmtId="0" fontId="4" fillId="0" borderId="0" xfId="49" applyFont="1" applyAlignment="1">
      <alignment vertical="center" wrapText="1"/>
    </xf>
    <xf numFmtId="0" fontId="4" fillId="0" borderId="0" xfId="87" applyFont="1" applyAlignment="1">
      <alignment vertical="center" wrapText="1"/>
    </xf>
    <xf numFmtId="0" fontId="4" fillId="0" borderId="0" xfId="96" applyFont="1" applyAlignment="1">
      <alignment vertical="center" wrapText="1"/>
    </xf>
    <xf numFmtId="0" fontId="4" fillId="0" borderId="0" xfId="122" applyFont="1" applyAlignment="1">
      <alignment vertical="center" wrapText="1"/>
    </xf>
    <xf numFmtId="179" fontId="4" fillId="7" borderId="1" xfId="40" applyNumberFormat="1" applyFont="1" applyFill="1" applyBorder="1" applyAlignment="1" applyProtection="1">
      <alignment vertical="center"/>
      <protection locked="0"/>
    </xf>
    <xf numFmtId="0" fontId="41" fillId="0" borderId="0" xfId="0" applyFont="1" applyAlignment="1" applyProtection="1">
      <alignment vertical="center"/>
    </xf>
    <xf numFmtId="0" fontId="2" fillId="18" borderId="0" xfId="40" applyFill="1"/>
    <xf numFmtId="0" fontId="2" fillId="18" borderId="0" xfId="30" applyFill="1"/>
    <xf numFmtId="0" fontId="8" fillId="18" borderId="0" xfId="15" applyFill="1" applyAlignment="1" applyProtection="1"/>
    <xf numFmtId="0" fontId="4" fillId="0" borderId="0" xfId="0" applyFont="1" applyAlignment="1">
      <alignment wrapText="1"/>
    </xf>
    <xf numFmtId="3" fontId="4" fillId="3" borderId="0" xfId="0" applyNumberFormat="1" applyFont="1" applyFill="1" applyAlignment="1" applyProtection="1">
      <alignment horizontal="right" vertical="center"/>
    </xf>
    <xf numFmtId="0" fontId="4" fillId="0" borderId="0" xfId="30" applyFont="1" applyAlignment="1">
      <alignment horizontal="left" vertical="center"/>
    </xf>
    <xf numFmtId="49" fontId="4" fillId="2" borderId="10" xfId="480" applyNumberFormat="1" applyFont="1" applyFill="1" applyBorder="1" applyAlignment="1" applyProtection="1">
      <alignment horizontal="left" vertical="center"/>
      <protection locked="0"/>
    </xf>
    <xf numFmtId="49" fontId="4" fillId="2" borderId="8" xfId="480" applyNumberFormat="1" applyFont="1" applyFill="1" applyBorder="1" applyAlignment="1" applyProtection="1">
      <alignment horizontal="left" vertical="center"/>
      <protection locked="0"/>
    </xf>
    <xf numFmtId="49" fontId="4" fillId="2" borderId="1" xfId="480" applyNumberFormat="1" applyFont="1" applyFill="1" applyBorder="1" applyAlignment="1" applyProtection="1">
      <alignment horizontal="left" vertical="center"/>
      <protection locked="0"/>
    </xf>
    <xf numFmtId="0" fontId="4" fillId="2" borderId="10" xfId="480" applyFont="1" applyFill="1" applyBorder="1" applyAlignment="1" applyProtection="1">
      <alignment horizontal="left" vertical="center"/>
      <protection locked="0"/>
    </xf>
    <xf numFmtId="0" fontId="4" fillId="2" borderId="5" xfId="480" applyFont="1" applyFill="1" applyBorder="1" applyAlignment="1" applyProtection="1">
      <alignment horizontal="left" vertical="center"/>
      <protection locked="0"/>
    </xf>
    <xf numFmtId="0" fontId="24" fillId="2" borderId="8" xfId="480" applyFill="1" applyBorder="1" applyAlignment="1" applyProtection="1">
      <alignment horizontal="left" vertical="center"/>
      <protection locked="0"/>
    </xf>
    <xf numFmtId="37" fontId="4" fillId="2" borderId="10" xfId="0" applyNumberFormat="1" applyFont="1" applyFill="1" applyBorder="1" applyAlignment="1" applyProtection="1">
      <alignment horizontal="left" vertical="center"/>
      <protection locked="0"/>
    </xf>
    <xf numFmtId="0" fontId="4" fillId="2" borderId="8" xfId="0" applyFont="1" applyFill="1" applyBorder="1" applyAlignment="1" applyProtection="1">
      <alignment vertical="center"/>
    </xf>
    <xf numFmtId="0" fontId="4" fillId="0" borderId="0" xfId="28" applyFont="1" applyAlignment="1">
      <alignment vertical="top" wrapText="1"/>
    </xf>
    <xf numFmtId="0" fontId="4" fillId="0" borderId="0" xfId="30" applyFont="1" applyAlignment="1">
      <alignment vertical="center"/>
    </xf>
    <xf numFmtId="177" fontId="36" fillId="12" borderId="0" xfId="0" applyNumberFormat="1" applyFont="1" applyFill="1" applyBorder="1" applyAlignment="1">
      <alignment horizontal="center"/>
    </xf>
    <xf numFmtId="37" fontId="4" fillId="2" borderId="0" xfId="0" applyNumberFormat="1" applyFont="1" applyFill="1" applyAlignment="1" applyProtection="1">
      <alignment horizontal="center" vertical="center"/>
      <protection locked="0"/>
    </xf>
    <xf numFmtId="0" fontId="4" fillId="2" borderId="0" xfId="0" applyFont="1" applyFill="1" applyAlignment="1" applyProtection="1">
      <alignment horizontal="center" vertical="center"/>
      <protection locked="0"/>
    </xf>
    <xf numFmtId="177" fontId="36" fillId="12" borderId="0" xfId="0" applyNumberFormat="1" applyFont="1" applyFill="1" applyAlignment="1">
      <alignment horizontal="center"/>
    </xf>
    <xf numFmtId="177" fontId="36" fillId="12" borderId="4" xfId="0" applyNumberFormat="1" applyFont="1" applyFill="1" applyBorder="1" applyAlignment="1">
      <alignment horizontal="center"/>
    </xf>
    <xf numFmtId="177" fontId="36" fillId="12" borderId="0" xfId="0" applyNumberFormat="1" applyFont="1" applyFill="1"/>
    <xf numFmtId="0" fontId="4" fillId="11" borderId="7" xfId="0" applyFont="1" applyFill="1" applyBorder="1" applyAlignment="1" applyProtection="1">
      <alignment vertical="center"/>
    </xf>
    <xf numFmtId="37" fontId="4" fillId="3" borderId="3" xfId="0" applyNumberFormat="1" applyFont="1" applyFill="1" applyBorder="1" applyAlignment="1" applyProtection="1">
      <alignment vertical="center"/>
    </xf>
    <xf numFmtId="37" fontId="3" fillId="6" borderId="10" xfId="0" applyNumberFormat="1" applyFont="1" applyFill="1" applyBorder="1" applyAlignment="1" applyProtection="1">
      <alignment horizontal="left" vertical="center"/>
    </xf>
    <xf numFmtId="0" fontId="4" fillId="6" borderId="8" xfId="0" applyFont="1" applyFill="1" applyBorder="1" applyAlignment="1" applyProtection="1">
      <alignment vertical="center"/>
    </xf>
    <xf numFmtId="37" fontId="4" fillId="6" borderId="2" xfId="0" applyNumberFormat="1" applyFont="1" applyFill="1" applyBorder="1" applyAlignment="1" applyProtection="1">
      <alignment horizontal="center" vertical="center"/>
    </xf>
    <xf numFmtId="0" fontId="4" fillId="6" borderId="3" xfId="0" applyFont="1" applyFill="1" applyBorder="1" applyAlignment="1">
      <alignment horizontal="center" vertical="center"/>
    </xf>
    <xf numFmtId="37" fontId="4" fillId="6" borderId="10" xfId="0" applyNumberFormat="1" applyFont="1" applyFill="1" applyBorder="1" applyAlignment="1" applyProtection="1">
      <alignment horizontal="left" vertical="center"/>
    </xf>
    <xf numFmtId="37" fontId="4" fillId="6" borderId="12" xfId="0" applyNumberFormat="1" applyFont="1" applyFill="1" applyBorder="1" applyAlignment="1" applyProtection="1">
      <alignment horizontal="left" vertical="center"/>
    </xf>
    <xf numFmtId="0" fontId="4" fillId="6" borderId="13" xfId="0" applyFont="1" applyFill="1" applyBorder="1" applyAlignment="1" applyProtection="1">
      <alignment vertical="center"/>
    </xf>
    <xf numFmtId="0" fontId="4" fillId="6" borderId="12" xfId="0" applyFont="1" applyFill="1" applyBorder="1" applyAlignment="1" applyProtection="1">
      <alignment vertical="center"/>
    </xf>
    <xf numFmtId="0" fontId="4" fillId="6" borderId="7" xfId="0" applyFont="1" applyFill="1" applyBorder="1" applyAlignment="1" applyProtection="1">
      <alignment vertical="center"/>
    </xf>
    <xf numFmtId="0" fontId="4" fillId="6" borderId="10" xfId="0" applyFont="1" applyFill="1" applyBorder="1" applyAlignment="1" applyProtection="1">
      <alignment vertical="center"/>
    </xf>
    <xf numFmtId="37" fontId="3" fillId="11" borderId="10" xfId="0" applyNumberFormat="1" applyFont="1" applyFill="1" applyBorder="1" applyAlignment="1" applyProtection="1">
      <alignment horizontal="left" vertical="center"/>
    </xf>
    <xf numFmtId="0" fontId="4" fillId="11" borderId="5" xfId="0" applyFont="1" applyFill="1" applyBorder="1" applyAlignment="1" applyProtection="1">
      <alignment vertical="center"/>
    </xf>
    <xf numFmtId="0" fontId="4" fillId="11" borderId="8" xfId="0" applyFont="1" applyFill="1" applyBorder="1" applyAlignment="1" applyProtection="1">
      <alignment vertical="center"/>
    </xf>
    <xf numFmtId="171" fontId="4" fillId="2" borderId="1" xfId="0" applyNumberFormat="1" applyFont="1" applyFill="1" applyBorder="1" applyAlignment="1" applyProtection="1">
      <alignment vertical="center"/>
      <protection locked="0"/>
    </xf>
    <xf numFmtId="171" fontId="4" fillId="2" borderId="2" xfId="0" applyNumberFormat="1" applyFont="1" applyFill="1" applyBorder="1" applyAlignment="1" applyProtection="1">
      <alignment vertical="center"/>
      <protection locked="0"/>
    </xf>
    <xf numFmtId="3" fontId="4" fillId="2" borderId="3" xfId="0" applyNumberFormat="1" applyFont="1" applyFill="1" applyBorder="1" applyAlignment="1" applyProtection="1">
      <alignment vertical="center"/>
      <protection locked="0"/>
    </xf>
    <xf numFmtId="0" fontId="3" fillId="6" borderId="10" xfId="0" applyFont="1" applyFill="1" applyBorder="1" applyAlignment="1">
      <alignment vertical="center"/>
    </xf>
    <xf numFmtId="0" fontId="1" fillId="6" borderId="5" xfId="0" applyFont="1" applyFill="1" applyBorder="1" applyAlignment="1">
      <alignment vertical="center"/>
    </xf>
    <xf numFmtId="0" fontId="0" fillId="6" borderId="5" xfId="0" applyFill="1" applyBorder="1" applyAlignment="1" applyProtection="1">
      <alignment vertical="center"/>
      <protection locked="0"/>
    </xf>
    <xf numFmtId="0" fontId="0" fillId="6" borderId="8" xfId="0" applyFill="1" applyBorder="1" applyAlignment="1" applyProtection="1">
      <alignment vertical="center"/>
      <protection locked="0"/>
    </xf>
    <xf numFmtId="37" fontId="3" fillId="3" borderId="0" xfId="30" applyNumberFormat="1" applyFont="1" applyFill="1" applyAlignment="1" applyProtection="1">
      <alignment horizontal="left" vertical="center"/>
    </xf>
    <xf numFmtId="37" fontId="4" fillId="3" borderId="0" xfId="30" applyNumberFormat="1" applyFont="1" applyFill="1" applyAlignment="1" applyProtection="1">
      <alignment horizontal="left" vertical="center"/>
    </xf>
    <xf numFmtId="37" fontId="3" fillId="11" borderId="12" xfId="0" applyNumberFormat="1" applyFont="1" applyFill="1" applyBorder="1" applyAlignment="1" applyProtection="1">
      <alignment horizontal="left" vertical="center"/>
    </xf>
    <xf numFmtId="0" fontId="4" fillId="11" borderId="16" xfId="0" applyFont="1" applyFill="1" applyBorder="1" applyAlignment="1" applyProtection="1">
      <alignment vertical="center"/>
    </xf>
    <xf numFmtId="37" fontId="3" fillId="11" borderId="6" xfId="0" applyNumberFormat="1" applyFont="1" applyFill="1" applyBorder="1" applyAlignment="1" applyProtection="1">
      <alignment horizontal="left" vertical="center"/>
    </xf>
    <xf numFmtId="0" fontId="4" fillId="6" borderId="14" xfId="0" applyFont="1" applyFill="1" applyBorder="1" applyAlignment="1" applyProtection="1">
      <alignment vertical="center"/>
    </xf>
    <xf numFmtId="0" fontId="3" fillId="6" borderId="13" xfId="0" applyFont="1" applyFill="1" applyBorder="1" applyAlignment="1" applyProtection="1">
      <alignment vertical="center"/>
    </xf>
    <xf numFmtId="3" fontId="4" fillId="6" borderId="8" xfId="0" applyNumberFormat="1" applyFont="1" applyFill="1" applyBorder="1" applyAlignment="1" applyProtection="1">
      <alignment vertical="center"/>
    </xf>
    <xf numFmtId="0" fontId="4" fillId="12" borderId="0" xfId="30" applyFont="1" applyFill="1" applyAlignment="1" applyProtection="1">
      <alignment vertical="center"/>
    </xf>
    <xf numFmtId="0" fontId="4" fillId="3" borderId="10" xfId="0" applyNumberFormat="1" applyFont="1" applyFill="1" applyBorder="1" applyAlignment="1" applyProtection="1">
      <alignment horizontal="left" vertical="center"/>
    </xf>
    <xf numFmtId="0" fontId="30" fillId="12" borderId="4" xfId="0" applyFont="1" applyFill="1" applyBorder="1" applyAlignment="1" applyProtection="1">
      <alignment horizontal="left" vertical="center"/>
      <protection locked="0"/>
    </xf>
    <xf numFmtId="0" fontId="30" fillId="12" borderId="12" xfId="0" applyFont="1" applyFill="1" applyBorder="1" applyAlignment="1" applyProtection="1">
      <alignment horizontal="left" vertical="center"/>
      <protection locked="0"/>
    </xf>
    <xf numFmtId="0" fontId="30" fillId="12" borderId="0" xfId="0" applyFont="1" applyFill="1" applyBorder="1" applyAlignment="1" applyProtection="1">
      <alignment horizontal="left" vertical="center"/>
      <protection locked="0"/>
    </xf>
    <xf numFmtId="0" fontId="30" fillId="12" borderId="6" xfId="0" applyFont="1" applyFill="1" applyBorder="1" applyAlignment="1" applyProtection="1">
      <alignment horizontal="left" vertical="center"/>
      <protection locked="0"/>
    </xf>
    <xf numFmtId="0" fontId="4" fillId="12" borderId="9" xfId="0" applyFont="1" applyFill="1" applyBorder="1" applyAlignment="1" applyProtection="1">
      <alignment horizontal="left" vertical="center"/>
      <protection locked="0"/>
    </xf>
    <xf numFmtId="0" fontId="3" fillId="12" borderId="9" xfId="0" applyFont="1" applyFill="1" applyBorder="1" applyAlignment="1">
      <alignment horizontal="left" vertical="center"/>
    </xf>
    <xf numFmtId="3" fontId="30" fillId="12" borderId="7" xfId="0" applyNumberFormat="1" applyFont="1" applyFill="1" applyBorder="1" applyAlignment="1" applyProtection="1">
      <alignment vertical="center"/>
      <protection locked="0"/>
    </xf>
    <xf numFmtId="0" fontId="30" fillId="12" borderId="12" xfId="0" applyFont="1" applyFill="1" applyBorder="1" applyAlignment="1" applyProtection="1">
      <alignment vertical="center"/>
      <protection locked="0"/>
    </xf>
    <xf numFmtId="3" fontId="30" fillId="12" borderId="16" xfId="0" applyNumberFormat="1" applyFont="1" applyFill="1" applyBorder="1" applyAlignment="1" applyProtection="1">
      <alignment vertical="center"/>
      <protection locked="0"/>
    </xf>
    <xf numFmtId="0" fontId="30" fillId="12" borderId="6" xfId="0" applyFont="1" applyFill="1" applyBorder="1" applyAlignment="1" applyProtection="1">
      <alignment vertical="center"/>
      <protection locked="0"/>
    </xf>
    <xf numFmtId="0" fontId="3" fillId="12" borderId="9" xfId="0" applyFont="1" applyFill="1" applyBorder="1" applyAlignment="1">
      <alignment horizontal="center" vertical="center"/>
    </xf>
    <xf numFmtId="0" fontId="4" fillId="12" borderId="9" xfId="0" applyFont="1" applyFill="1" applyBorder="1" applyAlignment="1" applyProtection="1">
      <alignment vertical="center"/>
      <protection locked="0"/>
    </xf>
    <xf numFmtId="0" fontId="32" fillId="12" borderId="13" xfId="30" applyFont="1" applyFill="1" applyBorder="1" applyAlignment="1">
      <alignment horizontal="left" vertical="center"/>
    </xf>
    <xf numFmtId="0" fontId="4" fillId="12" borderId="0" xfId="0" applyFont="1" applyFill="1" applyBorder="1" applyAlignment="1" applyProtection="1">
      <alignment vertical="center"/>
      <protection locked="0"/>
    </xf>
    <xf numFmtId="0" fontId="5" fillId="0" borderId="0" xfId="0" applyFont="1"/>
    <xf numFmtId="0" fontId="30" fillId="12" borderId="0" xfId="0" applyFont="1" applyFill="1" applyBorder="1" applyAlignment="1" applyProtection="1">
      <alignment horizontal="left" vertical="center"/>
    </xf>
    <xf numFmtId="0" fontId="31" fillId="12" borderId="0" xfId="0" applyFont="1" applyFill="1" applyBorder="1" applyAlignment="1" applyProtection="1">
      <alignment horizontal="center" vertical="center"/>
    </xf>
    <xf numFmtId="0" fontId="0" fillId="12" borderId="7" xfId="0" applyFill="1" applyBorder="1" applyAlignment="1" applyProtection="1">
      <alignment vertical="center"/>
    </xf>
    <xf numFmtId="0" fontId="31" fillId="12" borderId="4" xfId="0" applyFont="1" applyFill="1" applyBorder="1" applyAlignment="1" applyProtection="1">
      <alignment horizontal="center" vertical="center"/>
    </xf>
    <xf numFmtId="0" fontId="30" fillId="12" borderId="4" xfId="0" applyFont="1" applyFill="1" applyBorder="1" applyAlignment="1" applyProtection="1">
      <alignment horizontal="left" vertical="center"/>
    </xf>
    <xf numFmtId="173" fontId="30" fillId="15" borderId="10" xfId="0" applyNumberFormat="1" applyFont="1" applyFill="1" applyBorder="1" applyAlignment="1" applyProtection="1">
      <alignment horizontal="center" vertical="center"/>
    </xf>
    <xf numFmtId="173" fontId="30" fillId="12" borderId="10" xfId="0" applyNumberFormat="1" applyFont="1" applyFill="1" applyBorder="1" applyAlignment="1" applyProtection="1">
      <alignment horizontal="center" vertical="center"/>
    </xf>
    <xf numFmtId="173" fontId="30" fillId="15" borderId="12" xfId="0" applyNumberFormat="1" applyFont="1" applyFill="1" applyBorder="1" applyAlignment="1" applyProtection="1">
      <alignment horizontal="center" vertical="center"/>
    </xf>
    <xf numFmtId="0" fontId="0" fillId="12" borderId="16" xfId="0" applyFill="1" applyBorder="1" applyAlignment="1" applyProtection="1">
      <alignment vertical="center"/>
    </xf>
    <xf numFmtId="173" fontId="30" fillId="12" borderId="6" xfId="0" applyNumberFormat="1" applyFont="1" applyFill="1" applyBorder="1" applyAlignment="1" applyProtection="1">
      <alignment horizontal="center" vertical="center"/>
    </xf>
    <xf numFmtId="37" fontId="4" fillId="3" borderId="16" xfId="0" applyNumberFormat="1" applyFont="1" applyFill="1" applyBorder="1" applyAlignment="1" applyProtection="1">
      <alignment horizontal="right" vertical="center"/>
    </xf>
    <xf numFmtId="0" fontId="54" fillId="12" borderId="14" xfId="0" applyFont="1" applyFill="1" applyBorder="1" applyAlignment="1">
      <alignment horizontal="center" vertical="center"/>
    </xf>
    <xf numFmtId="0" fontId="4" fillId="12" borderId="6" xfId="30" applyFont="1" applyFill="1" applyBorder="1" applyAlignment="1" applyProtection="1">
      <alignment vertical="center"/>
    </xf>
    <xf numFmtId="0" fontId="4" fillId="12" borderId="0" xfId="30" applyFont="1" applyFill="1" applyBorder="1" applyAlignment="1" applyProtection="1">
      <alignment vertical="center"/>
    </xf>
    <xf numFmtId="0" fontId="4" fillId="12" borderId="16" xfId="30" applyFont="1" applyFill="1" applyBorder="1" applyAlignment="1" applyProtection="1">
      <alignment vertical="center"/>
    </xf>
    <xf numFmtId="176" fontId="30" fillId="12" borderId="6" xfId="30" applyNumberFormat="1" applyFont="1" applyFill="1" applyBorder="1" applyAlignment="1" applyProtection="1">
      <alignment horizontal="center" vertical="center"/>
    </xf>
    <xf numFmtId="0" fontId="11" fillId="12" borderId="0" xfId="30" applyFont="1" applyFill="1" applyBorder="1" applyAlignment="1" applyProtection="1">
      <alignment vertical="center"/>
    </xf>
    <xf numFmtId="176" fontId="30" fillId="12" borderId="12" xfId="30" applyNumberFormat="1" applyFont="1" applyFill="1" applyBorder="1" applyAlignment="1" applyProtection="1">
      <alignment horizontal="center" vertical="center"/>
    </xf>
    <xf numFmtId="0" fontId="4" fillId="15" borderId="7" xfId="30" applyFont="1" applyFill="1" applyBorder="1" applyAlignment="1" applyProtection="1">
      <alignment vertical="center"/>
    </xf>
    <xf numFmtId="0" fontId="30" fillId="12" borderId="0" xfId="30" applyFont="1" applyFill="1" applyBorder="1" applyAlignment="1" applyProtection="1">
      <alignment horizontal="left" vertical="center"/>
    </xf>
    <xf numFmtId="0" fontId="30" fillId="12" borderId="0" xfId="30" applyFont="1" applyFill="1" applyBorder="1" applyAlignment="1" applyProtection="1">
      <alignment vertical="center"/>
    </xf>
    <xf numFmtId="0" fontId="30" fillId="12" borderId="6" xfId="30" applyFont="1" applyFill="1" applyBorder="1" applyAlignment="1" applyProtection="1">
      <alignment vertical="center"/>
    </xf>
    <xf numFmtId="176" fontId="30" fillId="12" borderId="16" xfId="30" applyNumberFormat="1" applyFont="1" applyFill="1" applyBorder="1" applyAlignment="1" applyProtection="1">
      <alignment horizontal="center" vertical="center"/>
    </xf>
    <xf numFmtId="0" fontId="30" fillId="12" borderId="6" xfId="30" applyFont="1" applyFill="1" applyBorder="1" applyAlignment="1" applyProtection="1">
      <alignment horizontal="left" vertical="center"/>
    </xf>
    <xf numFmtId="176" fontId="30" fillId="14" borderId="1" xfId="30" applyNumberFormat="1" applyFont="1" applyFill="1" applyBorder="1" applyAlignment="1" applyProtection="1">
      <alignment horizontal="center" vertical="center"/>
      <protection locked="0"/>
    </xf>
    <xf numFmtId="0" fontId="30" fillId="15" borderId="0" xfId="30" applyFont="1" applyFill="1" applyBorder="1" applyAlignment="1" applyProtection="1">
      <alignment vertical="center"/>
    </xf>
    <xf numFmtId="0" fontId="4" fillId="15" borderId="0" xfId="30" applyFont="1" applyFill="1" applyBorder="1" applyAlignment="1" applyProtection="1">
      <alignment vertical="center"/>
    </xf>
    <xf numFmtId="173" fontId="32" fillId="12" borderId="8" xfId="30" applyNumberFormat="1" applyFont="1" applyFill="1" applyBorder="1" applyAlignment="1" applyProtection="1">
      <alignment horizontal="center" vertical="center"/>
    </xf>
    <xf numFmtId="0" fontId="30" fillId="12" borderId="16" xfId="30" applyFont="1" applyFill="1" applyBorder="1" applyAlignment="1" applyProtection="1">
      <alignment vertical="center"/>
    </xf>
    <xf numFmtId="176" fontId="32" fillId="15" borderId="7" xfId="30" applyNumberFormat="1" applyFont="1" applyFill="1" applyBorder="1" applyAlignment="1" applyProtection="1">
      <alignment horizontal="center" vertical="center"/>
      <protection locked="0"/>
    </xf>
    <xf numFmtId="0" fontId="39" fillId="12" borderId="4" xfId="30" applyFont="1" applyFill="1" applyBorder="1" applyAlignment="1">
      <alignment horizontal="left" vertical="center"/>
    </xf>
    <xf numFmtId="176" fontId="32" fillId="15" borderId="8" xfId="30" applyNumberFormat="1" applyFont="1" applyFill="1" applyBorder="1" applyAlignment="1" applyProtection="1">
      <alignment horizontal="center" vertical="center"/>
    </xf>
    <xf numFmtId="0" fontId="32" fillId="15" borderId="6" xfId="30" applyFont="1" applyFill="1" applyBorder="1" applyAlignment="1" applyProtection="1">
      <alignment vertical="center"/>
    </xf>
    <xf numFmtId="37" fontId="30" fillId="3" borderId="12" xfId="30" applyNumberFormat="1" applyFont="1" applyFill="1" applyBorder="1" applyAlignment="1" applyProtection="1">
      <alignment horizontal="left" vertical="center"/>
    </xf>
    <xf numFmtId="0" fontId="4" fillId="0" borderId="0" xfId="30" applyFont="1"/>
    <xf numFmtId="0" fontId="5" fillId="0" borderId="0" xfId="30" applyFont="1"/>
    <xf numFmtId="0" fontId="4" fillId="3" borderId="9" xfId="15" applyNumberFormat="1" applyFont="1" applyFill="1" applyBorder="1" applyAlignment="1" applyProtection="1">
      <alignment horizontal="right" vertical="center"/>
    </xf>
    <xf numFmtId="0" fontId="4" fillId="3" borderId="14" xfId="0" applyFont="1" applyFill="1" applyBorder="1" applyAlignment="1" applyProtection="1">
      <alignment vertical="center"/>
    </xf>
    <xf numFmtId="0" fontId="4" fillId="3" borderId="4" xfId="15" applyNumberFormat="1" applyFont="1" applyFill="1" applyBorder="1" applyAlignment="1" applyProtection="1">
      <alignment horizontal="right" vertical="center"/>
    </xf>
    <xf numFmtId="10" fontId="3" fillId="2" borderId="1" xfId="0" applyNumberFormat="1" applyFont="1" applyFill="1" applyBorder="1" applyAlignment="1" applyProtection="1">
      <alignment horizontal="center" vertical="center"/>
      <protection locked="0"/>
    </xf>
    <xf numFmtId="3" fontId="4" fillId="19" borderId="4" xfId="0" applyNumberFormat="1" applyFont="1" applyFill="1" applyBorder="1" applyAlignment="1" applyProtection="1">
      <alignment vertical="center"/>
    </xf>
    <xf numFmtId="0" fontId="4" fillId="18" borderId="0" xfId="0" applyFont="1" applyFill="1" applyAlignment="1" applyProtection="1">
      <alignment horizontal="left" vertical="center"/>
    </xf>
    <xf numFmtId="0" fontId="4" fillId="18" borderId="0" xfId="0" applyFont="1" applyFill="1" applyAlignment="1" applyProtection="1">
      <alignment vertical="center"/>
    </xf>
    <xf numFmtId="37" fontId="4" fillId="18" borderId="0" xfId="0" applyNumberFormat="1" applyFont="1" applyFill="1" applyAlignment="1" applyProtection="1">
      <alignment vertical="center"/>
    </xf>
    <xf numFmtId="1" fontId="4" fillId="18" borderId="0" xfId="0" applyNumberFormat="1" applyFont="1" applyFill="1" applyBorder="1" applyAlignment="1" applyProtection="1">
      <alignment horizontal="left" vertical="center"/>
    </xf>
    <xf numFmtId="3" fontId="4" fillId="18" borderId="0" xfId="0" applyNumberFormat="1" applyFont="1" applyFill="1" applyAlignment="1" applyProtection="1">
      <alignment vertical="center"/>
    </xf>
    <xf numFmtId="0" fontId="4" fillId="18" borderId="0" xfId="0" quotePrefix="1" applyFont="1" applyFill="1" applyAlignment="1" applyProtection="1">
      <alignment horizontal="left" vertical="center"/>
    </xf>
    <xf numFmtId="3" fontId="4" fillId="18" borderId="0" xfId="0" quotePrefix="1" applyNumberFormat="1" applyFont="1" applyFill="1" applyAlignment="1" applyProtection="1">
      <alignment vertical="center"/>
    </xf>
    <xf numFmtId="3" fontId="4" fillId="18" borderId="0" xfId="0" applyNumberFormat="1" applyFont="1" applyFill="1" applyBorder="1" applyAlignment="1" applyProtection="1">
      <alignment vertical="center"/>
    </xf>
    <xf numFmtId="3" fontId="4" fillId="18" borderId="4" xfId="0" applyNumberFormat="1" applyFont="1" applyFill="1" applyBorder="1" applyAlignment="1" applyProtection="1">
      <alignment vertical="center"/>
    </xf>
    <xf numFmtId="3" fontId="4" fillId="18" borderId="5" xfId="0" applyNumberFormat="1" applyFont="1" applyFill="1" applyBorder="1" applyAlignment="1" applyProtection="1">
      <alignment vertical="center"/>
    </xf>
    <xf numFmtId="0" fontId="4" fillId="18" borderId="0" xfId="0" quotePrefix="1" applyFont="1" applyFill="1" applyAlignment="1" applyProtection="1">
      <alignment vertical="center"/>
    </xf>
    <xf numFmtId="3" fontId="4" fillId="18" borderId="0" xfId="0" quotePrefix="1" applyNumberFormat="1" applyFont="1" applyFill="1" applyBorder="1" applyAlignment="1" applyProtection="1">
      <alignment vertical="center"/>
    </xf>
    <xf numFmtId="0" fontId="4" fillId="18" borderId="0" xfId="0" quotePrefix="1" applyFont="1" applyFill="1" applyBorder="1" applyAlignment="1" applyProtection="1">
      <alignment horizontal="left" vertical="center"/>
    </xf>
    <xf numFmtId="0" fontId="4" fillId="18" borderId="0" xfId="0" applyFont="1" applyFill="1" applyBorder="1" applyAlignment="1" applyProtection="1">
      <alignment vertical="center"/>
    </xf>
    <xf numFmtId="0" fontId="4" fillId="18" borderId="0" xfId="0" quotePrefix="1" applyFont="1" applyFill="1" applyBorder="1" applyAlignment="1" applyProtection="1">
      <alignment vertical="center"/>
    </xf>
    <xf numFmtId="3" fontId="4" fillId="18" borderId="0" xfId="0" applyNumberFormat="1" applyFont="1" applyFill="1" applyBorder="1" applyAlignment="1" applyProtection="1">
      <alignment horizontal="center" vertical="center"/>
    </xf>
    <xf numFmtId="3" fontId="4" fillId="18" borderId="0" xfId="0" applyNumberFormat="1" applyFont="1" applyFill="1" applyBorder="1" applyAlignment="1" applyProtection="1">
      <alignment horizontal="center"/>
    </xf>
    <xf numFmtId="3" fontId="4" fillId="19" borderId="5" xfId="0" applyNumberFormat="1" applyFont="1" applyFill="1" applyBorder="1" applyAlignment="1" applyProtection="1">
      <alignment vertical="center"/>
    </xf>
    <xf numFmtId="10" fontId="4" fillId="18" borderId="0" xfId="0" applyNumberFormat="1" applyFont="1" applyFill="1" applyBorder="1" applyAlignment="1" applyProtection="1">
      <alignment vertical="center"/>
    </xf>
    <xf numFmtId="167" fontId="4" fillId="18" borderId="0" xfId="0" applyNumberFormat="1" applyFont="1" applyFill="1" applyBorder="1" applyAlignment="1" applyProtection="1">
      <alignment vertical="center"/>
    </xf>
    <xf numFmtId="0" fontId="4" fillId="18" borderId="0" xfId="0" applyFont="1" applyFill="1" applyBorder="1" applyAlignment="1" applyProtection="1">
      <alignment horizontal="left" vertical="center"/>
    </xf>
    <xf numFmtId="3" fontId="4" fillId="18" borderId="0" xfId="0" applyNumberFormat="1" applyFont="1" applyFill="1" applyBorder="1" applyAlignment="1" applyProtection="1">
      <alignment vertical="center"/>
      <protection locked="0"/>
    </xf>
    <xf numFmtId="0" fontId="4" fillId="18" borderId="0" xfId="30" quotePrefix="1" applyFont="1" applyFill="1" applyBorder="1" applyAlignment="1" applyProtection="1">
      <alignment horizontal="left" vertical="center"/>
    </xf>
    <xf numFmtId="0" fontId="4" fillId="18" borderId="0" xfId="30" applyFont="1" applyFill="1" applyBorder="1" applyAlignment="1" applyProtection="1">
      <alignment vertical="center"/>
    </xf>
    <xf numFmtId="10" fontId="4" fillId="18" borderId="0" xfId="30" applyNumberFormat="1" applyFont="1" applyFill="1" applyBorder="1" applyAlignment="1" applyProtection="1">
      <alignment vertical="center"/>
    </xf>
    <xf numFmtId="0" fontId="4" fillId="18" borderId="0" xfId="30" applyFont="1" applyFill="1" applyBorder="1" applyAlignment="1" applyProtection="1">
      <alignment horizontal="left" vertical="center"/>
    </xf>
    <xf numFmtId="3" fontId="4" fillId="18" borderId="0" xfId="30" applyNumberFormat="1" applyFont="1" applyFill="1" applyBorder="1" applyAlignment="1" applyProtection="1">
      <alignment vertical="center"/>
    </xf>
    <xf numFmtId="0" fontId="3" fillId="18" borderId="0" xfId="30" quotePrefix="1" applyFont="1" applyFill="1" applyAlignment="1" applyProtection="1">
      <alignment vertical="center"/>
    </xf>
    <xf numFmtId="0" fontId="3" fillId="18" borderId="0" xfId="30" applyFont="1" applyFill="1" applyAlignment="1" applyProtection="1">
      <alignment vertical="center"/>
    </xf>
    <xf numFmtId="3" fontId="3" fillId="18" borderId="5" xfId="30" applyNumberFormat="1" applyFont="1" applyFill="1" applyBorder="1" applyAlignment="1" applyProtection="1">
      <alignment vertical="center"/>
    </xf>
    <xf numFmtId="0" fontId="6" fillId="18" borderId="0" xfId="30" applyFont="1" applyFill="1" applyBorder="1" applyAlignment="1" applyProtection="1">
      <alignment horizontal="center" vertical="center"/>
    </xf>
    <xf numFmtId="0" fontId="6" fillId="18" borderId="0" xfId="30" applyFont="1" applyFill="1" applyAlignment="1" applyProtection="1">
      <alignment horizontal="left" vertical="center"/>
    </xf>
    <xf numFmtId="0" fontId="6" fillId="18" borderId="0" xfId="30" applyFont="1" applyFill="1" applyAlignment="1" applyProtection="1">
      <alignment horizontal="center" vertical="center"/>
    </xf>
    <xf numFmtId="0" fontId="4" fillId="18" borderId="0" xfId="30" applyFont="1" applyFill="1" applyAlignment="1" applyProtection="1">
      <alignment horizontal="left" vertical="center"/>
    </xf>
    <xf numFmtId="0" fontId="6" fillId="18" borderId="0" xfId="30" applyFont="1" applyFill="1" applyAlignment="1" applyProtection="1">
      <alignment horizontal="right" vertical="center"/>
    </xf>
    <xf numFmtId="0" fontId="4" fillId="18" borderId="0" xfId="30" applyFont="1" applyFill="1" applyAlignment="1" applyProtection="1">
      <alignment horizontal="right" vertical="center"/>
    </xf>
    <xf numFmtId="0" fontId="4" fillId="0" borderId="0" xfId="30" applyFont="1" applyFill="1" applyAlignment="1" applyProtection="1">
      <alignment horizontal="left" vertical="center" wrapText="1"/>
    </xf>
    <xf numFmtId="0" fontId="4" fillId="0" borderId="0" xfId="30" applyFont="1" applyFill="1" applyAlignment="1" applyProtection="1">
      <alignment horizontal="centerContinuous" vertical="center" wrapText="1"/>
    </xf>
    <xf numFmtId="0" fontId="0" fillId="0" borderId="0" xfId="0" applyAlignment="1">
      <alignment horizontal="left"/>
    </xf>
    <xf numFmtId="0" fontId="1" fillId="12" borderId="0" xfId="0" applyFont="1" applyFill="1" applyBorder="1" applyAlignment="1" applyProtection="1">
      <alignment vertical="center"/>
    </xf>
    <xf numFmtId="0" fontId="0" fillId="0" borderId="0" xfId="0" applyFill="1" applyBorder="1" applyAlignment="1" applyProtection="1">
      <alignment vertical="center"/>
    </xf>
    <xf numFmtId="0" fontId="3" fillId="3" borderId="13" xfId="0" applyFont="1" applyFill="1" applyBorder="1" applyAlignment="1" applyProtection="1">
      <alignment vertical="center"/>
    </xf>
    <xf numFmtId="178" fontId="55" fillId="3" borderId="1" xfId="0" applyNumberFormat="1" applyFont="1" applyFill="1" applyBorder="1" applyAlignment="1" applyProtection="1">
      <alignment horizontal="right" vertical="center"/>
    </xf>
    <xf numFmtId="0" fontId="55" fillId="3" borderId="0" xfId="0" applyFont="1" applyFill="1" applyAlignment="1" applyProtection="1">
      <alignment vertical="center"/>
    </xf>
    <xf numFmtId="0" fontId="55" fillId="0" borderId="0" xfId="0" applyFont="1" applyAlignment="1">
      <alignment vertical="center"/>
    </xf>
    <xf numFmtId="37" fontId="56" fillId="3" borderId="0" xfId="0" applyNumberFormat="1" applyFont="1" applyFill="1" applyAlignment="1" applyProtection="1">
      <alignment horizontal="left" vertical="center"/>
    </xf>
    <xf numFmtId="0" fontId="55" fillId="3" borderId="0" xfId="0" applyFont="1" applyFill="1" applyAlignment="1" applyProtection="1">
      <alignment horizontal="right" vertical="center"/>
    </xf>
    <xf numFmtId="37" fontId="55" fillId="3" borderId="0" xfId="0" applyNumberFormat="1" applyFont="1" applyFill="1" applyAlignment="1" applyProtection="1">
      <alignment horizontal="centerContinuous" vertical="center"/>
    </xf>
    <xf numFmtId="0" fontId="55" fillId="3" borderId="0" xfId="0" applyFont="1" applyFill="1" applyAlignment="1" applyProtection="1">
      <alignment horizontal="centerContinuous" vertical="center"/>
    </xf>
    <xf numFmtId="37" fontId="55" fillId="3" borderId="10" xfId="0" applyNumberFormat="1" applyFont="1" applyFill="1" applyBorder="1" applyAlignment="1" applyProtection="1">
      <alignment horizontal="centerContinuous" vertical="center"/>
    </xf>
    <xf numFmtId="0" fontId="55" fillId="3" borderId="5" xfId="0" applyFont="1" applyFill="1" applyBorder="1" applyAlignment="1" applyProtection="1">
      <alignment horizontal="centerContinuous" vertical="center"/>
    </xf>
    <xf numFmtId="0" fontId="55" fillId="3" borderId="8" xfId="0" applyFont="1" applyFill="1" applyBorder="1" applyAlignment="1" applyProtection="1">
      <alignment horizontal="centerContinuous" vertical="center"/>
    </xf>
    <xf numFmtId="37" fontId="55" fillId="3" borderId="4" xfId="0" applyNumberFormat="1" applyFont="1" applyFill="1" applyBorder="1" applyAlignment="1" applyProtection="1">
      <alignment horizontal="fill" vertical="center"/>
    </xf>
    <xf numFmtId="37" fontId="55" fillId="3" borderId="2" xfId="0" applyNumberFormat="1" applyFont="1" applyFill="1" applyBorder="1" applyAlignment="1" applyProtection="1">
      <alignment horizontal="left" vertical="center"/>
    </xf>
    <xf numFmtId="37" fontId="55" fillId="3" borderId="2" xfId="0" applyNumberFormat="1" applyFont="1" applyFill="1" applyBorder="1" applyAlignment="1" applyProtection="1">
      <alignment horizontal="center" vertical="center"/>
    </xf>
    <xf numFmtId="37" fontId="55" fillId="3" borderId="0" xfId="0" applyNumberFormat="1" applyFont="1" applyFill="1" applyAlignment="1" applyProtection="1">
      <alignment horizontal="left" vertical="center"/>
    </xf>
    <xf numFmtId="37" fontId="55" fillId="3" borderId="11" xfId="0" applyNumberFormat="1" applyFont="1" applyFill="1" applyBorder="1" applyAlignment="1" applyProtection="1">
      <alignment horizontal="center" vertical="center"/>
    </xf>
    <xf numFmtId="0" fontId="55" fillId="3" borderId="11" xfId="0" applyFont="1" applyFill="1" applyBorder="1" applyAlignment="1" applyProtection="1">
      <alignment horizontal="center" vertical="center"/>
    </xf>
    <xf numFmtId="37" fontId="56" fillId="3" borderId="4" xfId="0" applyNumberFormat="1" applyFont="1" applyFill="1" applyBorder="1" applyAlignment="1" applyProtection="1">
      <alignment horizontal="left" vertical="center"/>
    </xf>
    <xf numFmtId="0" fontId="55" fillId="3" borderId="4" xfId="0" applyFont="1" applyFill="1" applyBorder="1" applyAlignment="1" applyProtection="1">
      <alignment vertical="center"/>
    </xf>
    <xf numFmtId="37" fontId="55" fillId="3" borderId="3" xfId="0" applyNumberFormat="1" applyFont="1" applyFill="1" applyBorder="1" applyAlignment="1" applyProtection="1">
      <alignment horizontal="center" vertical="center"/>
    </xf>
    <xf numFmtId="0" fontId="55" fillId="3" borderId="3" xfId="0" applyFont="1" applyFill="1" applyBorder="1" applyAlignment="1" applyProtection="1">
      <alignment horizontal="center" vertical="center"/>
    </xf>
    <xf numFmtId="37" fontId="55" fillId="3" borderId="10" xfId="0" applyNumberFormat="1" applyFont="1" applyFill="1" applyBorder="1" applyAlignment="1" applyProtection="1">
      <alignment horizontal="left" vertical="center"/>
    </xf>
    <xf numFmtId="0" fontId="55" fillId="3" borderId="8" xfId="0" applyFont="1" applyFill="1" applyBorder="1" applyAlignment="1" applyProtection="1">
      <alignment vertical="center"/>
    </xf>
    <xf numFmtId="37" fontId="55" fillId="3" borderId="1" xfId="0" applyNumberFormat="1" applyFont="1" applyFill="1" applyBorder="1" applyAlignment="1" applyProtection="1">
      <alignment horizontal="center" vertical="center"/>
    </xf>
    <xf numFmtId="0" fontId="55" fillId="3" borderId="2" xfId="0" applyFont="1" applyFill="1" applyBorder="1" applyAlignment="1" applyProtection="1">
      <alignment vertical="center"/>
    </xf>
    <xf numFmtId="0" fontId="55" fillId="3" borderId="11" xfId="0" applyFont="1" applyFill="1" applyBorder="1" applyAlignment="1" applyProtection="1">
      <alignment vertical="center"/>
    </xf>
    <xf numFmtId="37" fontId="55" fillId="3" borderId="12" xfId="0" applyNumberFormat="1" applyFont="1" applyFill="1" applyBorder="1" applyAlignment="1" applyProtection="1">
      <alignment horizontal="left" vertical="center"/>
    </xf>
    <xf numFmtId="37" fontId="55" fillId="3" borderId="8" xfId="0" applyNumberFormat="1" applyFont="1" applyFill="1" applyBorder="1" applyAlignment="1" applyProtection="1">
      <alignment horizontal="center" vertical="center"/>
    </xf>
    <xf numFmtId="37" fontId="57" fillId="3" borderId="10" xfId="0" applyNumberFormat="1" applyFont="1" applyFill="1" applyBorder="1" applyAlignment="1" applyProtection="1">
      <alignment horizontal="left" vertical="center"/>
    </xf>
    <xf numFmtId="37" fontId="57" fillId="3" borderId="8" xfId="0" applyNumberFormat="1" applyFont="1" applyFill="1" applyBorder="1" applyAlignment="1" applyProtection="1">
      <alignment horizontal="center" vertical="center"/>
    </xf>
    <xf numFmtId="0" fontId="55" fillId="3" borderId="1" xfId="0" applyFont="1" applyFill="1" applyBorder="1" applyAlignment="1" applyProtection="1">
      <alignment horizontal="center" vertical="center"/>
    </xf>
    <xf numFmtId="0" fontId="55" fillId="3" borderId="3" xfId="0" applyFont="1" applyFill="1" applyBorder="1" applyAlignment="1" applyProtection="1">
      <alignment vertical="center"/>
    </xf>
    <xf numFmtId="37" fontId="55" fillId="3" borderId="1" xfId="0" applyNumberFormat="1" applyFont="1" applyFill="1" applyBorder="1" applyAlignment="1" applyProtection="1">
      <alignment horizontal="left" vertical="center"/>
    </xf>
    <xf numFmtId="37" fontId="55" fillId="8" borderId="1" xfId="0" applyNumberFormat="1" applyFont="1" applyFill="1" applyBorder="1" applyAlignment="1" applyProtection="1">
      <alignment horizontal="center" vertical="center"/>
    </xf>
    <xf numFmtId="3" fontId="55" fillId="3" borderId="1" xfId="0" applyNumberFormat="1" applyFont="1" applyFill="1" applyBorder="1" applyAlignment="1" applyProtection="1">
      <alignment horizontal="right" vertical="center"/>
    </xf>
    <xf numFmtId="171" fontId="55" fillId="3" borderId="1" xfId="0" applyNumberFormat="1" applyFont="1" applyFill="1" applyBorder="1" applyAlignment="1" applyProtection="1">
      <alignment horizontal="right" vertical="center"/>
    </xf>
    <xf numFmtId="37" fontId="55" fillId="3" borderId="1" xfId="0" applyNumberFormat="1" applyFont="1" applyFill="1" applyBorder="1" applyAlignment="1" applyProtection="1">
      <alignment vertical="center"/>
    </xf>
    <xf numFmtId="37" fontId="55" fillId="3" borderId="10" xfId="0" applyNumberFormat="1" applyFont="1" applyFill="1" applyBorder="1" applyAlignment="1" applyProtection="1">
      <alignment vertical="center"/>
    </xf>
    <xf numFmtId="0" fontId="55" fillId="3" borderId="1" xfId="0" applyFont="1" applyFill="1" applyBorder="1" applyAlignment="1" applyProtection="1">
      <alignment horizontal="right" vertical="center"/>
    </xf>
    <xf numFmtId="0" fontId="55" fillId="3" borderId="7" xfId="0" applyFont="1" applyFill="1" applyBorder="1" applyAlignment="1" applyProtection="1">
      <alignment vertical="center"/>
    </xf>
    <xf numFmtId="37" fontId="56" fillId="3" borderId="12" xfId="0" applyNumberFormat="1" applyFont="1" applyFill="1" applyBorder="1" applyAlignment="1" applyProtection="1">
      <alignment horizontal="left" vertical="center"/>
    </xf>
    <xf numFmtId="37" fontId="55" fillId="3" borderId="1" xfId="0" applyNumberFormat="1" applyFont="1" applyFill="1" applyBorder="1" applyAlignment="1" applyProtection="1">
      <alignment horizontal="fill" vertical="center"/>
    </xf>
    <xf numFmtId="3" fontId="55" fillId="13" borderId="29" xfId="0" applyNumberFormat="1" applyFont="1" applyFill="1" applyBorder="1" applyAlignment="1" applyProtection="1">
      <alignment horizontal="right" vertical="center"/>
    </xf>
    <xf numFmtId="173" fontId="55" fillId="8" borderId="28" xfId="0" applyNumberFormat="1" applyFont="1" applyFill="1" applyBorder="1" applyAlignment="1" applyProtection="1">
      <alignment horizontal="right" vertical="center"/>
    </xf>
    <xf numFmtId="37" fontId="55" fillId="15" borderId="1" xfId="30" applyNumberFormat="1" applyFont="1" applyFill="1" applyBorder="1" applyAlignment="1" applyProtection="1">
      <alignment horizontal="left" vertical="center"/>
    </xf>
    <xf numFmtId="0" fontId="55" fillId="9" borderId="1" xfId="0" applyFont="1" applyFill="1" applyBorder="1" applyAlignment="1" applyProtection="1">
      <alignment vertical="center"/>
    </xf>
    <xf numFmtId="37" fontId="55" fillId="9" borderId="1" xfId="0" applyNumberFormat="1" applyFont="1" applyFill="1" applyBorder="1" applyAlignment="1" applyProtection="1">
      <alignment vertical="center"/>
    </xf>
    <xf numFmtId="0" fontId="55" fillId="9" borderId="3" xfId="0" applyFont="1" applyFill="1" applyBorder="1" applyAlignment="1" applyProtection="1">
      <alignment vertical="center"/>
    </xf>
    <xf numFmtId="0" fontId="58" fillId="9" borderId="7" xfId="0" applyFont="1" applyFill="1" applyBorder="1" applyAlignment="1" applyProtection="1">
      <alignment horizontal="center" vertical="center"/>
    </xf>
    <xf numFmtId="0" fontId="59" fillId="4" borderId="1" xfId="0" applyFont="1" applyFill="1" applyBorder="1" applyAlignment="1" applyProtection="1">
      <alignment vertical="center" shrinkToFit="1"/>
    </xf>
    <xf numFmtId="0" fontId="59" fillId="3" borderId="0" xfId="0" applyFont="1" applyFill="1" applyBorder="1" applyAlignment="1" applyProtection="1">
      <alignment vertical="center" shrinkToFit="1"/>
    </xf>
    <xf numFmtId="170" fontId="55" fillId="2" borderId="1" xfId="1" applyNumberFormat="1" applyFont="1" applyFill="1" applyBorder="1" applyAlignment="1" applyProtection="1">
      <alignment vertical="center"/>
      <protection locked="0"/>
    </xf>
    <xf numFmtId="37" fontId="55" fillId="12" borderId="0" xfId="0" applyNumberFormat="1" applyFont="1" applyFill="1" applyBorder="1" applyAlignment="1" applyProtection="1">
      <alignment horizontal="left" vertical="center"/>
    </xf>
    <xf numFmtId="0" fontId="55" fillId="12" borderId="0" xfId="0" applyFont="1" applyFill="1" applyBorder="1" applyAlignment="1" applyProtection="1">
      <alignment vertical="center"/>
    </xf>
    <xf numFmtId="37" fontId="55" fillId="12" borderId="0" xfId="0" applyNumberFormat="1" applyFont="1" applyFill="1" applyBorder="1" applyAlignment="1" applyProtection="1">
      <alignment vertical="center"/>
    </xf>
    <xf numFmtId="0" fontId="58" fillId="12" borderId="0" xfId="0" applyFont="1" applyFill="1" applyBorder="1" applyAlignment="1" applyProtection="1">
      <alignment horizontal="center" vertical="center"/>
    </xf>
    <xf numFmtId="37" fontId="56" fillId="12" borderId="0" xfId="0" applyNumberFormat="1" applyFont="1" applyFill="1" applyBorder="1" applyAlignment="1" applyProtection="1">
      <alignment horizontal="left" vertical="center"/>
    </xf>
    <xf numFmtId="3" fontId="56" fillId="12" borderId="0" xfId="0" applyNumberFormat="1" applyFont="1" applyFill="1" applyBorder="1" applyAlignment="1" applyProtection="1">
      <alignment horizontal="center" vertical="center"/>
    </xf>
    <xf numFmtId="0" fontId="60" fillId="12" borderId="0" xfId="0" applyFont="1" applyFill="1" applyBorder="1" applyAlignment="1" applyProtection="1">
      <alignment horizontal="center" vertical="center"/>
    </xf>
    <xf numFmtId="37" fontId="55" fillId="3" borderId="0" xfId="0" applyNumberFormat="1" applyFont="1" applyFill="1" applyBorder="1" applyAlignment="1" applyProtection="1">
      <alignment horizontal="left" vertical="center"/>
    </xf>
    <xf numFmtId="0" fontId="55" fillId="3" borderId="0" xfId="0" applyFont="1" applyFill="1" applyBorder="1" applyAlignment="1" applyProtection="1">
      <alignment vertical="center"/>
    </xf>
    <xf numFmtId="0" fontId="59" fillId="12" borderId="0" xfId="0" applyFont="1" applyFill="1" applyAlignment="1" applyProtection="1">
      <alignment vertical="center" shrinkToFit="1"/>
    </xf>
    <xf numFmtId="0" fontId="55" fillId="2" borderId="5" xfId="0" applyFont="1" applyFill="1" applyBorder="1" applyAlignment="1" applyProtection="1">
      <alignment vertical="center"/>
      <protection locked="0"/>
    </xf>
    <xf numFmtId="170" fontId="55" fillId="12" borderId="0" xfId="1" applyNumberFormat="1" applyFont="1" applyFill="1" applyBorder="1" applyAlignment="1" applyProtection="1">
      <alignment vertical="center"/>
    </xf>
    <xf numFmtId="0" fontId="55" fillId="2" borderId="4" xfId="0" applyFont="1" applyFill="1" applyBorder="1" applyAlignment="1" applyProtection="1">
      <alignment vertical="center"/>
      <protection locked="0"/>
    </xf>
    <xf numFmtId="0" fontId="59" fillId="12" borderId="0" xfId="0" applyFont="1" applyFill="1" applyBorder="1" applyAlignment="1" applyProtection="1">
      <alignment vertical="center" wrapText="1" shrinkToFit="1"/>
    </xf>
    <xf numFmtId="0" fontId="55" fillId="12" borderId="0" xfId="0" applyFont="1" applyFill="1" applyBorder="1" applyAlignment="1" applyProtection="1">
      <alignment vertical="center" wrapText="1"/>
    </xf>
    <xf numFmtId="37" fontId="55" fillId="3" borderId="0" xfId="0" applyNumberFormat="1" applyFont="1" applyFill="1" applyBorder="1" applyAlignment="1" applyProtection="1">
      <alignment horizontal="fill" vertical="center"/>
    </xf>
    <xf numFmtId="37" fontId="55" fillId="3" borderId="0" xfId="0" applyNumberFormat="1" applyFont="1" applyFill="1" applyAlignment="1" applyProtection="1">
      <alignment horizontal="right" vertical="center"/>
    </xf>
    <xf numFmtId="0" fontId="55" fillId="3" borderId="0" xfId="0" applyFont="1" applyFill="1" applyBorder="1" applyAlignment="1" applyProtection="1">
      <alignment horizontal="right" vertical="center"/>
    </xf>
    <xf numFmtId="37" fontId="55" fillId="3" borderId="0" xfId="0" applyNumberFormat="1" applyFont="1" applyFill="1" applyAlignment="1" applyProtection="1">
      <alignment horizontal="left" vertical="center"/>
      <protection locked="0"/>
    </xf>
    <xf numFmtId="0" fontId="55" fillId="3" borderId="0" xfId="0" applyFont="1" applyFill="1" applyAlignment="1" applyProtection="1">
      <alignment horizontal="left" vertical="center"/>
    </xf>
    <xf numFmtId="37" fontId="55" fillId="3" borderId="4" xfId="0" applyNumberFormat="1" applyFont="1" applyFill="1" applyBorder="1" applyAlignment="1" applyProtection="1">
      <alignment vertical="center"/>
      <protection locked="0"/>
    </xf>
    <xf numFmtId="37" fontId="55" fillId="3" borderId="0" xfId="0" applyNumberFormat="1" applyFont="1" applyFill="1" applyAlignment="1" applyProtection="1">
      <alignment horizontal="center" vertical="center"/>
    </xf>
    <xf numFmtId="37" fontId="56" fillId="12" borderId="13" xfId="0" applyNumberFormat="1" applyFont="1" applyFill="1" applyBorder="1" applyAlignment="1" applyProtection="1">
      <alignment horizontal="left" vertical="center"/>
    </xf>
    <xf numFmtId="0" fontId="55" fillId="12" borderId="9" xfId="0" applyFont="1" applyFill="1" applyBorder="1" applyAlignment="1" applyProtection="1">
      <alignment vertical="center"/>
    </xf>
    <xf numFmtId="37" fontId="55" fillId="12" borderId="9" xfId="0" applyNumberFormat="1" applyFont="1" applyFill="1" applyBorder="1" applyAlignment="1" applyProtection="1">
      <alignment vertical="center"/>
    </xf>
    <xf numFmtId="0" fontId="58" fillId="12" borderId="9" xfId="0" applyFont="1" applyFill="1" applyBorder="1" applyAlignment="1" applyProtection="1">
      <alignment horizontal="center" vertical="center"/>
    </xf>
    <xf numFmtId="37" fontId="55" fillId="12" borderId="14" xfId="0" applyNumberFormat="1" applyFont="1" applyFill="1" applyBorder="1" applyAlignment="1" applyProtection="1">
      <alignment horizontal="left" vertical="center"/>
    </xf>
    <xf numFmtId="37" fontId="55" fillId="12" borderId="6" xfId="0" applyNumberFormat="1" applyFont="1" applyFill="1" applyBorder="1" applyAlignment="1" applyProtection="1">
      <alignment horizontal="left" vertical="center"/>
    </xf>
    <xf numFmtId="37" fontId="55" fillId="12" borderId="16" xfId="0" applyNumberFormat="1" applyFont="1" applyFill="1" applyBorder="1" applyAlignment="1" applyProtection="1">
      <alignment horizontal="left" vertical="center"/>
    </xf>
    <xf numFmtId="37" fontId="55" fillId="12" borderId="12" xfId="0" applyNumberFormat="1" applyFont="1" applyFill="1" applyBorder="1" applyAlignment="1" applyProtection="1">
      <alignment horizontal="left" vertical="center"/>
    </xf>
    <xf numFmtId="0" fontId="55" fillId="12" borderId="4" xfId="0" applyFont="1" applyFill="1" applyBorder="1" applyAlignment="1" applyProtection="1">
      <alignment vertical="center"/>
    </xf>
    <xf numFmtId="37" fontId="55" fillId="12" borderId="4" xfId="0" applyNumberFormat="1" applyFont="1" applyFill="1" applyBorder="1" applyAlignment="1" applyProtection="1">
      <alignment vertical="center"/>
    </xf>
    <xf numFmtId="0" fontId="58" fillId="12" borderId="4" xfId="0" applyFont="1" applyFill="1" applyBorder="1" applyAlignment="1" applyProtection="1">
      <alignment horizontal="center" vertical="center"/>
    </xf>
    <xf numFmtId="37" fontId="55" fillId="12" borderId="7" xfId="0" applyNumberFormat="1" applyFont="1" applyFill="1" applyBorder="1" applyAlignment="1" applyProtection="1">
      <alignment horizontal="left" vertical="center"/>
    </xf>
    <xf numFmtId="0" fontId="55" fillId="0" borderId="0" xfId="0" applyFont="1" applyAlignment="1" applyProtection="1">
      <alignment vertical="center"/>
      <protection locked="0"/>
    </xf>
    <xf numFmtId="0" fontId="55" fillId="12" borderId="0" xfId="0" applyFont="1" applyFill="1" applyAlignment="1" applyProtection="1">
      <alignment vertical="center"/>
      <protection locked="0"/>
    </xf>
    <xf numFmtId="37" fontId="55" fillId="3" borderId="0" xfId="0" applyNumberFormat="1" applyFont="1" applyFill="1" applyAlignment="1" applyProtection="1">
      <alignment vertical="center"/>
    </xf>
    <xf numFmtId="0" fontId="55" fillId="3" borderId="4" xfId="0" applyFont="1" applyFill="1" applyBorder="1" applyAlignment="1" applyProtection="1">
      <alignment horizontal="centerContinuous" vertical="center"/>
    </xf>
    <xf numFmtId="0" fontId="55" fillId="3" borderId="0" xfId="0" applyFont="1" applyFill="1" applyBorder="1" applyAlignment="1" applyProtection="1">
      <alignment horizontal="centerContinuous" vertical="center"/>
    </xf>
    <xf numFmtId="0" fontId="55" fillId="3" borderId="2" xfId="0" applyFont="1" applyFill="1" applyBorder="1" applyAlignment="1" applyProtection="1">
      <alignment horizontal="center" vertical="center"/>
    </xf>
    <xf numFmtId="37" fontId="55" fillId="3" borderId="9" xfId="0" applyNumberFormat="1" applyFont="1" applyFill="1" applyBorder="1" applyAlignment="1" applyProtection="1">
      <alignment horizontal="center" vertical="center"/>
    </xf>
    <xf numFmtId="37" fontId="55" fillId="12" borderId="0" xfId="0" applyNumberFormat="1" applyFont="1" applyFill="1" applyBorder="1" applyAlignment="1" applyProtection="1">
      <alignment horizontal="center" vertical="center"/>
    </xf>
    <xf numFmtId="0" fontId="55" fillId="3" borderId="11" xfId="0" applyNumberFormat="1" applyFont="1" applyFill="1" applyBorder="1" applyAlignment="1" applyProtection="1">
      <alignment horizontal="center" vertical="center"/>
    </xf>
    <xf numFmtId="37" fontId="55" fillId="3" borderId="3" xfId="30" applyNumberFormat="1" applyFont="1" applyFill="1" applyBorder="1" applyAlignment="1" applyProtection="1">
      <alignment horizontal="center" vertical="center"/>
    </xf>
    <xf numFmtId="0" fontId="55" fillId="3" borderId="0" xfId="0" applyFont="1" applyFill="1" applyBorder="1" applyAlignment="1" applyProtection="1">
      <alignment horizontal="center" vertical="center"/>
    </xf>
    <xf numFmtId="0" fontId="55" fillId="3" borderId="12" xfId="0" applyFont="1" applyFill="1" applyBorder="1" applyAlignment="1" applyProtection="1">
      <alignment vertical="center"/>
    </xf>
    <xf numFmtId="166" fontId="55" fillId="3" borderId="0" xfId="0" applyNumberFormat="1" applyFont="1" applyFill="1" applyAlignment="1" applyProtection="1">
      <alignment vertical="center"/>
    </xf>
    <xf numFmtId="37" fontId="55" fillId="3" borderId="4" xfId="0" applyNumberFormat="1" applyFont="1" applyFill="1" applyBorder="1" applyAlignment="1" applyProtection="1">
      <alignment vertical="center"/>
    </xf>
    <xf numFmtId="0" fontId="55" fillId="12" borderId="0" xfId="30" applyFont="1" applyFill="1" applyAlignment="1" applyProtection="1">
      <alignment vertical="center"/>
    </xf>
    <xf numFmtId="3" fontId="55" fillId="3" borderId="0" xfId="0" applyNumberFormat="1" applyFont="1" applyFill="1" applyBorder="1" applyAlignment="1" applyProtection="1">
      <alignment vertical="center"/>
    </xf>
    <xf numFmtId="37" fontId="55" fillId="12" borderId="0" xfId="0" applyNumberFormat="1" applyFont="1" applyFill="1" applyAlignment="1" applyProtection="1">
      <alignment horizontal="left" vertical="center"/>
    </xf>
    <xf numFmtId="0" fontId="55" fillId="12" borderId="0" xfId="0" applyFont="1" applyFill="1" applyAlignment="1" applyProtection="1">
      <alignment vertical="center"/>
    </xf>
    <xf numFmtId="165" fontId="55" fillId="12" borderId="4" xfId="0" applyNumberFormat="1" applyFont="1" applyFill="1" applyBorder="1" applyAlignment="1" applyProtection="1">
      <alignment vertical="center"/>
    </xf>
    <xf numFmtId="165" fontId="55" fillId="12" borderId="0" xfId="0" applyNumberFormat="1" applyFont="1" applyFill="1" applyBorder="1" applyAlignment="1" applyProtection="1">
      <alignment vertical="center"/>
    </xf>
    <xf numFmtId="0" fontId="55" fillId="12" borderId="0" xfId="30" applyFont="1" applyFill="1" applyAlignment="1" applyProtection="1">
      <alignment vertical="center"/>
      <protection locked="0"/>
    </xf>
    <xf numFmtId="0" fontId="55" fillId="0" borderId="0" xfId="0" applyFont="1" applyAlignment="1" applyProtection="1">
      <alignment horizontal="center" vertical="center"/>
      <protection locked="0"/>
    </xf>
    <xf numFmtId="37" fontId="55" fillId="3" borderId="0" xfId="0" applyNumberFormat="1" applyFont="1" applyFill="1" applyAlignment="1">
      <alignment vertical="center"/>
    </xf>
    <xf numFmtId="0" fontId="55" fillId="3" borderId="0" xfId="0" applyFont="1" applyFill="1" applyAlignment="1">
      <alignment vertical="center"/>
    </xf>
    <xf numFmtId="0" fontId="56" fillId="3"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xf>
    <xf numFmtId="0" fontId="56" fillId="3" borderId="11" xfId="0" applyFont="1" applyFill="1" applyBorder="1" applyAlignment="1" applyProtection="1">
      <alignment horizontal="center" vertical="center"/>
    </xf>
    <xf numFmtId="0" fontId="56" fillId="3" borderId="3" xfId="0" applyFont="1" applyFill="1" applyBorder="1" applyAlignment="1" applyProtection="1">
      <alignment horizontal="center" vertical="center"/>
    </xf>
    <xf numFmtId="1" fontId="55" fillId="3" borderId="3" xfId="0" applyNumberFormat="1" applyFont="1" applyFill="1" applyBorder="1" applyAlignment="1" applyProtection="1">
      <alignment horizontal="center" vertical="center"/>
    </xf>
    <xf numFmtId="3" fontId="55" fillId="2" borderId="3" xfId="1" applyNumberFormat="1" applyFont="1" applyFill="1" applyBorder="1" applyAlignment="1" applyProtection="1">
      <alignment horizontal="right" vertical="center"/>
      <protection locked="0"/>
    </xf>
    <xf numFmtId="0" fontId="55" fillId="2" borderId="1" xfId="0" applyFont="1" applyFill="1" applyBorder="1" applyAlignment="1" applyProtection="1">
      <alignment horizontal="center" vertical="center"/>
      <protection locked="0"/>
    </xf>
    <xf numFmtId="3" fontId="55" fillId="2" borderId="1" xfId="1" applyNumberFormat="1" applyFont="1" applyFill="1" applyBorder="1" applyAlignment="1" applyProtection="1">
      <alignment horizontal="right" vertical="center"/>
      <protection locked="0"/>
    </xf>
    <xf numFmtId="0" fontId="55" fillId="3" borderId="0" xfId="0"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37" fontId="56" fillId="3" borderId="1" xfId="0" applyNumberFormat="1"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62" fillId="3" borderId="0" xfId="0" applyFont="1" applyFill="1" applyAlignment="1" applyProtection="1">
      <alignment horizontal="right" vertical="center"/>
      <protection locked="0"/>
    </xf>
    <xf numFmtId="0" fontId="63" fillId="3" borderId="0" xfId="0" applyFont="1" applyFill="1" applyAlignment="1" applyProtection="1">
      <alignment horizontal="left" vertical="center"/>
      <protection locked="0"/>
    </xf>
    <xf numFmtId="1" fontId="55" fillId="3" borderId="0" xfId="0" applyNumberFormat="1" applyFont="1" applyFill="1" applyBorder="1" applyAlignment="1" applyProtection="1">
      <alignment horizontal="right" vertical="center"/>
    </xf>
    <xf numFmtId="0" fontId="56" fillId="3" borderId="0" xfId="514" applyFont="1" applyFill="1" applyAlignment="1" applyProtection="1">
      <alignment horizontal="centerContinuous" vertical="center"/>
    </xf>
    <xf numFmtId="0" fontId="55" fillId="3" borderId="4" xfId="0" applyFont="1" applyFill="1" applyBorder="1" applyAlignment="1" applyProtection="1">
      <alignment horizontal="fill" vertical="center"/>
    </xf>
    <xf numFmtId="0" fontId="55" fillId="3" borderId="13" xfId="0" applyFont="1" applyFill="1" applyBorder="1" applyAlignment="1" applyProtection="1">
      <alignment horizontal="centerContinuous" vertical="center"/>
    </xf>
    <xf numFmtId="0" fontId="55" fillId="3" borderId="14" xfId="0" applyFont="1" applyFill="1" applyBorder="1" applyAlignment="1" applyProtection="1">
      <alignment horizontal="centerContinuous" vertical="center"/>
    </xf>
    <xf numFmtId="1" fontId="55" fillId="3" borderId="12" xfId="0" applyNumberFormat="1" applyFont="1" applyFill="1" applyBorder="1" applyAlignment="1" applyProtection="1">
      <alignment horizontal="center" vertical="center"/>
    </xf>
    <xf numFmtId="0" fontId="55" fillId="3" borderId="1" xfId="0" applyFont="1" applyFill="1" applyBorder="1" applyAlignment="1" applyProtection="1">
      <alignment horizontal="left" vertical="center"/>
    </xf>
    <xf numFmtId="0" fontId="55" fillId="3" borderId="1" xfId="0" applyFont="1" applyFill="1" applyBorder="1" applyAlignment="1" applyProtection="1">
      <alignment vertical="center"/>
    </xf>
    <xf numFmtId="2" fontId="55" fillId="3" borderId="1" xfId="0" applyNumberFormat="1" applyFont="1" applyFill="1" applyBorder="1" applyAlignment="1" applyProtection="1">
      <alignment vertical="center"/>
    </xf>
    <xf numFmtId="3" fontId="55" fillId="3" borderId="1" xfId="0" applyNumberFormat="1" applyFont="1" applyFill="1" applyBorder="1" applyAlignment="1" applyProtection="1">
      <alignment vertical="center"/>
    </xf>
    <xf numFmtId="0" fontId="55" fillId="7" borderId="1" xfId="0" applyFont="1" applyFill="1" applyBorder="1" applyAlignment="1" applyProtection="1">
      <alignment vertical="center"/>
      <protection locked="0"/>
    </xf>
    <xf numFmtId="14" fontId="55" fillId="7" borderId="1" xfId="0" applyNumberFormat="1" applyFont="1" applyFill="1" applyBorder="1" applyAlignment="1" applyProtection="1">
      <alignment horizontal="center" vertical="center"/>
      <protection locked="0"/>
    </xf>
    <xf numFmtId="2" fontId="55" fillId="7" borderId="1" xfId="0" applyNumberFormat="1" applyFont="1" applyFill="1" applyBorder="1" applyAlignment="1" applyProtection="1">
      <alignment horizontal="center" vertical="center"/>
      <protection locked="0"/>
    </xf>
    <xf numFmtId="3" fontId="55" fillId="7" borderId="1" xfId="0" applyNumberFormat="1" applyFont="1" applyFill="1" applyBorder="1" applyAlignment="1" applyProtection="1">
      <alignment horizontal="center" vertical="center"/>
      <protection locked="0"/>
    </xf>
    <xf numFmtId="37" fontId="55" fillId="7" borderId="1" xfId="0" applyNumberFormat="1" applyFont="1" applyFill="1" applyBorder="1" applyAlignment="1" applyProtection="1">
      <alignment horizontal="center" vertical="center"/>
      <protection locked="0"/>
    </xf>
    <xf numFmtId="169" fontId="55" fillId="7" borderId="1" xfId="0" applyNumberFormat="1" applyFont="1" applyFill="1" applyBorder="1" applyAlignment="1" applyProtection="1">
      <alignment horizontal="center" vertical="center"/>
      <protection locked="0"/>
    </xf>
    <xf numFmtId="0" fontId="56" fillId="3" borderId="1" xfId="0" applyFont="1" applyFill="1" applyBorder="1" applyAlignment="1" applyProtection="1">
      <alignment horizontal="left" vertical="center"/>
    </xf>
    <xf numFmtId="168" fontId="56" fillId="3" borderId="1" xfId="0" applyNumberFormat="1" applyFont="1" applyFill="1" applyBorder="1" applyAlignment="1" applyProtection="1">
      <alignment horizontal="center" vertical="center"/>
    </xf>
    <xf numFmtId="2" fontId="56" fillId="3" borderId="1" xfId="0" applyNumberFormat="1" applyFont="1" applyFill="1" applyBorder="1" applyAlignment="1" applyProtection="1">
      <alignment horizontal="center" vertical="center"/>
    </xf>
    <xf numFmtId="3" fontId="56" fillId="3" borderId="1" xfId="0" applyNumberFormat="1" applyFont="1" applyFill="1" applyBorder="1" applyAlignment="1" applyProtection="1">
      <alignment horizontal="center" vertical="center"/>
    </xf>
    <xf numFmtId="37" fontId="56" fillId="8" borderId="1" xfId="0" applyNumberFormat="1" applyFont="1" applyFill="1" applyBorder="1" applyAlignment="1" applyProtection="1">
      <alignment horizontal="center" vertical="center"/>
    </xf>
    <xf numFmtId="169" fontId="56" fillId="3" borderId="1" xfId="0" applyNumberFormat="1" applyFont="1" applyFill="1" applyBorder="1" applyAlignment="1" applyProtection="1">
      <alignment horizontal="center" vertical="center"/>
    </xf>
    <xf numFmtId="168" fontId="55" fillId="3" borderId="1" xfId="0" applyNumberFormat="1" applyFont="1" applyFill="1" applyBorder="1" applyAlignment="1" applyProtection="1">
      <alignment horizontal="center" vertical="center"/>
    </xf>
    <xf numFmtId="2" fontId="55" fillId="3" borderId="1" xfId="0" applyNumberFormat="1" applyFont="1" applyFill="1" applyBorder="1" applyAlignment="1" applyProtection="1">
      <alignment horizontal="center" vertical="center"/>
    </xf>
    <xf numFmtId="3" fontId="55" fillId="3" borderId="1" xfId="0" applyNumberFormat="1" applyFont="1" applyFill="1" applyBorder="1" applyAlignment="1" applyProtection="1">
      <alignment horizontal="center" vertical="center"/>
    </xf>
    <xf numFmtId="169" fontId="55" fillId="3" borderId="1" xfId="0" applyNumberFormat="1" applyFont="1" applyFill="1" applyBorder="1" applyAlignment="1" applyProtection="1">
      <alignment horizontal="center" vertical="center"/>
    </xf>
    <xf numFmtId="1" fontId="56" fillId="3" borderId="1" xfId="0" applyNumberFormat="1" applyFont="1" applyFill="1" applyBorder="1" applyAlignment="1" applyProtection="1">
      <alignment horizontal="center" vertical="center"/>
    </xf>
    <xf numFmtId="3" fontId="56" fillId="8" borderId="1" xfId="0" applyNumberFormat="1" applyFont="1" applyFill="1" applyBorder="1" applyAlignment="1" applyProtection="1">
      <alignment horizontal="center" vertical="center"/>
    </xf>
    <xf numFmtId="1" fontId="55" fillId="3" borderId="1" xfId="0" applyNumberFormat="1" applyFont="1" applyFill="1" applyBorder="1" applyAlignment="1" applyProtection="1">
      <alignment horizontal="center" vertical="center"/>
    </xf>
    <xf numFmtId="37" fontId="55" fillId="0" borderId="0" xfId="0" applyNumberFormat="1" applyFont="1" applyAlignment="1" applyProtection="1">
      <alignment vertical="center"/>
      <protection locked="0"/>
    </xf>
    <xf numFmtId="0" fontId="55" fillId="0" borderId="0" xfId="0" applyFont="1" applyAlignment="1" applyProtection="1">
      <alignment horizontal="left" vertical="center"/>
      <protection locked="0"/>
    </xf>
    <xf numFmtId="0" fontId="55" fillId="3" borderId="0" xfId="0" applyNumberFormat="1" applyFont="1" applyFill="1" applyAlignment="1" applyProtection="1">
      <alignment horizontal="right" vertical="center"/>
    </xf>
    <xf numFmtId="0" fontId="63" fillId="3" borderId="3" xfId="0" applyFont="1" applyFill="1" applyBorder="1" applyAlignment="1" applyProtection="1">
      <alignment horizontal="center" vertical="center"/>
    </xf>
    <xf numFmtId="14" fontId="55" fillId="3" borderId="3" xfId="0" quotePrefix="1" applyNumberFormat="1" applyFont="1" applyFill="1" applyBorder="1" applyAlignment="1" applyProtection="1">
      <alignment horizontal="center" vertical="center"/>
    </xf>
    <xf numFmtId="0" fontId="55" fillId="7" borderId="1" xfId="0" applyFont="1" applyFill="1" applyBorder="1" applyAlignment="1" applyProtection="1">
      <alignment horizontal="center" vertical="center"/>
      <protection locked="0"/>
    </xf>
    <xf numFmtId="1" fontId="55" fillId="7" borderId="1" xfId="0" applyNumberFormat="1" applyFont="1" applyFill="1" applyBorder="1" applyAlignment="1" applyProtection="1">
      <alignment horizontal="center" vertical="center"/>
      <protection locked="0"/>
    </xf>
    <xf numFmtId="0" fontId="56" fillId="3" borderId="0" xfId="0" applyFont="1" applyFill="1" applyAlignment="1" applyProtection="1">
      <alignment horizontal="left" vertical="center"/>
    </xf>
    <xf numFmtId="0" fontId="55" fillId="3" borderId="0" xfId="0" applyFont="1" applyFill="1" applyAlignment="1" applyProtection="1">
      <alignment horizontal="center" vertical="center"/>
    </xf>
    <xf numFmtId="3" fontId="56" fillId="8" borderId="15" xfId="0" applyNumberFormat="1" applyFont="1" applyFill="1" applyBorder="1" applyAlignment="1" applyProtection="1">
      <alignment horizontal="center" vertical="center"/>
    </xf>
    <xf numFmtId="0" fontId="55" fillId="5" borderId="0" xfId="513" applyFont="1" applyFill="1" applyAlignment="1" applyProtection="1">
      <alignment vertical="center"/>
    </xf>
    <xf numFmtId="0" fontId="55" fillId="5" borderId="0" xfId="0" applyFont="1" applyFill="1" applyAlignment="1" applyProtection="1">
      <alignment vertical="center"/>
    </xf>
    <xf numFmtId="0" fontId="56" fillId="3" borderId="0" xfId="0" applyFont="1" applyFill="1" applyAlignment="1" applyProtection="1">
      <alignment vertical="center"/>
    </xf>
    <xf numFmtId="0" fontId="55" fillId="3" borderId="0" xfId="0" applyFont="1" applyFill="1" applyBorder="1" applyAlignment="1" applyProtection="1">
      <alignment horizontal="fill" vertical="center"/>
    </xf>
    <xf numFmtId="1" fontId="55" fillId="3" borderId="13" xfId="0" applyNumberFormat="1" applyFont="1" applyFill="1" applyBorder="1" applyAlignment="1" applyProtection="1">
      <alignment horizontal="center" vertical="center"/>
    </xf>
    <xf numFmtId="37" fontId="55" fillId="3" borderId="13" xfId="0" applyNumberFormat="1" applyFont="1" applyFill="1" applyBorder="1" applyAlignment="1" applyProtection="1">
      <alignment horizontal="center" vertical="center"/>
    </xf>
    <xf numFmtId="37" fontId="56" fillId="3" borderId="0" xfId="0" applyNumberFormat="1" applyFont="1" applyFill="1" applyBorder="1" applyAlignment="1" applyProtection="1">
      <alignment vertical="center"/>
    </xf>
    <xf numFmtId="0" fontId="55" fillId="3" borderId="12" xfId="0" applyNumberFormat="1" applyFont="1" applyFill="1" applyBorder="1" applyAlignment="1" applyProtection="1">
      <alignment horizontal="center" vertical="center"/>
    </xf>
    <xf numFmtId="0" fontId="55" fillId="3" borderId="3" xfId="0" applyNumberFormat="1"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3" fontId="55" fillId="7" borderId="10" xfId="0" applyNumberFormat="1" applyFont="1" applyFill="1" applyBorder="1" applyAlignment="1" applyProtection="1">
      <alignment vertical="center"/>
      <protection locked="0"/>
    </xf>
    <xf numFmtId="3" fontId="55" fillId="3" borderId="10" xfId="0" applyNumberFormat="1" applyFont="1" applyFill="1" applyBorder="1" applyAlignment="1" applyProtection="1">
      <alignment vertical="center"/>
    </xf>
    <xf numFmtId="0" fontId="55" fillId="3" borderId="12" xfId="0" applyFont="1" applyFill="1" applyBorder="1" applyAlignment="1" applyProtection="1">
      <alignment horizontal="left" vertical="center"/>
    </xf>
    <xf numFmtId="37" fontId="55" fillId="7" borderId="1" xfId="0" applyNumberFormat="1" applyFont="1" applyFill="1" applyBorder="1" applyAlignment="1" applyProtection="1">
      <alignment vertical="center"/>
      <protection locked="0"/>
    </xf>
    <xf numFmtId="0" fontId="55" fillId="3" borderId="10" xfId="0" applyNumberFormat="1" applyFont="1" applyFill="1" applyBorder="1" applyAlignment="1" applyProtection="1">
      <alignment horizontal="left" vertical="center"/>
    </xf>
    <xf numFmtId="37" fontId="55" fillId="7" borderId="10" xfId="0" applyNumberFormat="1" applyFont="1" applyFill="1" applyBorder="1" applyAlignment="1" applyProtection="1">
      <alignment vertical="center"/>
      <protection locked="0"/>
    </xf>
    <xf numFmtId="3" fontId="55" fillId="7" borderId="1" xfId="0" applyNumberFormat="1" applyFont="1" applyFill="1" applyBorder="1" applyAlignment="1" applyProtection="1">
      <alignment vertical="center"/>
      <protection locked="0"/>
    </xf>
    <xf numFmtId="0" fontId="55" fillId="7" borderId="10" xfId="63" applyNumberFormat="1" applyFont="1" applyFill="1" applyBorder="1" applyAlignment="1" applyProtection="1">
      <alignment horizontal="left" vertical="center"/>
      <protection locked="0"/>
    </xf>
    <xf numFmtId="0" fontId="55" fillId="7" borderId="10" xfId="0" applyNumberFormat="1" applyFont="1" applyFill="1" applyBorder="1" applyAlignment="1" applyProtection="1">
      <alignment horizontal="left" vertical="center"/>
      <protection locked="0"/>
    </xf>
    <xf numFmtId="0" fontId="55" fillId="7"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xf>
    <xf numFmtId="3" fontId="55" fillId="8" borderId="1" xfId="0" applyNumberFormat="1" applyFont="1" applyFill="1" applyBorder="1" applyAlignment="1" applyProtection="1">
      <alignment horizontal="right" vertical="center"/>
    </xf>
    <xf numFmtId="3" fontId="55" fillId="7" borderId="8" xfId="0" applyNumberFormat="1" applyFont="1" applyFill="1" applyBorder="1" applyAlignment="1" applyProtection="1">
      <alignment vertical="center"/>
      <protection locked="0"/>
    </xf>
    <xf numFmtId="37" fontId="58" fillId="9" borderId="10" xfId="0" applyNumberFormat="1" applyFont="1" applyFill="1" applyBorder="1" applyAlignment="1" applyProtection="1">
      <alignment horizontal="center" vertical="center"/>
    </xf>
    <xf numFmtId="37" fontId="58" fillId="9" borderId="1" xfId="0" applyNumberFormat="1" applyFont="1" applyFill="1" applyBorder="1" applyAlignment="1" applyProtection="1">
      <alignment horizontal="center" vertical="center"/>
    </xf>
    <xf numFmtId="37" fontId="58" fillId="9" borderId="8" xfId="0" applyNumberFormat="1" applyFont="1" applyFill="1" applyBorder="1" applyAlignment="1" applyProtection="1">
      <alignment horizontal="center" vertical="center"/>
    </xf>
    <xf numFmtId="37" fontId="56" fillId="3" borderId="10" xfId="0" applyNumberFormat="1" applyFont="1" applyFill="1" applyBorder="1" applyAlignment="1" applyProtection="1">
      <alignment horizontal="left" vertical="center"/>
    </xf>
    <xf numFmtId="3" fontId="56" fillId="8" borderId="10" xfId="0" applyNumberFormat="1" applyFont="1" applyFill="1" applyBorder="1" applyAlignment="1" applyProtection="1">
      <alignment vertical="center"/>
    </xf>
    <xf numFmtId="3" fontId="56" fillId="8" borderId="1" xfId="0" applyNumberFormat="1" applyFont="1" applyFill="1" applyBorder="1" applyAlignment="1" applyProtection="1">
      <alignment vertical="center"/>
    </xf>
    <xf numFmtId="3" fontId="55" fillId="8" borderId="10" xfId="0" applyNumberFormat="1" applyFont="1" applyFill="1" applyBorder="1" applyAlignment="1" applyProtection="1">
      <alignment vertical="center"/>
    </xf>
    <xf numFmtId="3" fontId="55" fillId="8" borderId="1" xfId="0" applyNumberFormat="1" applyFont="1" applyFill="1" applyBorder="1" applyAlignment="1" applyProtection="1">
      <alignment vertical="center"/>
    </xf>
    <xf numFmtId="0" fontId="55" fillId="7" borderId="10" xfId="0" applyFont="1" applyFill="1" applyBorder="1" applyAlignment="1" applyProtection="1">
      <alignment vertical="center"/>
      <protection locked="0"/>
    </xf>
    <xf numFmtId="0" fontId="55" fillId="12" borderId="6" xfId="58" applyFont="1" applyFill="1" applyBorder="1" applyAlignment="1" applyProtection="1">
      <alignment vertical="center"/>
    </xf>
    <xf numFmtId="0" fontId="55" fillId="12" borderId="0" xfId="58" applyFont="1" applyFill="1" applyBorder="1" applyAlignment="1" applyProtection="1">
      <alignment vertical="center"/>
    </xf>
    <xf numFmtId="0" fontId="55" fillId="12" borderId="16" xfId="58" applyFont="1" applyFill="1" applyBorder="1" applyAlignment="1" applyProtection="1">
      <alignment vertical="center"/>
    </xf>
    <xf numFmtId="0" fontId="65" fillId="12" borderId="6" xfId="58" applyFont="1" applyFill="1" applyBorder="1" applyAlignment="1" applyProtection="1">
      <alignment horizontal="left" vertical="center"/>
    </xf>
    <xf numFmtId="0" fontId="65" fillId="12" borderId="0" xfId="58" applyFont="1" applyFill="1" applyBorder="1" applyAlignment="1" applyProtection="1">
      <alignment vertical="center"/>
    </xf>
    <xf numFmtId="176" fontId="65" fillId="14" borderId="1" xfId="58" applyNumberFormat="1" applyFont="1" applyFill="1" applyBorder="1" applyAlignment="1" applyProtection="1">
      <alignment horizontal="center" vertical="center"/>
      <protection locked="0"/>
    </xf>
    <xf numFmtId="0" fontId="65" fillId="12" borderId="6" xfId="58" applyFont="1" applyFill="1" applyBorder="1" applyAlignment="1" applyProtection="1">
      <alignment vertical="center"/>
    </xf>
    <xf numFmtId="0" fontId="55" fillId="12" borderId="0" xfId="58" applyFont="1" applyFill="1" applyBorder="1" applyAlignment="1" applyProtection="1">
      <alignment vertical="center"/>
      <protection locked="0"/>
    </xf>
    <xf numFmtId="0" fontId="65" fillId="12" borderId="0" xfId="58" applyFont="1" applyFill="1" applyBorder="1" applyAlignment="1" applyProtection="1">
      <alignment vertical="center"/>
      <protection locked="0"/>
    </xf>
    <xf numFmtId="173" fontId="65" fillId="12" borderId="8" xfId="58" applyNumberFormat="1" applyFont="1" applyFill="1" applyBorder="1" applyAlignment="1" applyProtection="1">
      <alignment horizontal="center" vertical="center"/>
      <protection locked="0"/>
    </xf>
    <xf numFmtId="0" fontId="66" fillId="15" borderId="6" xfId="58" applyFont="1" applyFill="1" applyBorder="1" applyAlignment="1" applyProtection="1">
      <alignment vertical="center"/>
      <protection locked="0"/>
    </xf>
    <xf numFmtId="0" fontId="55" fillId="15" borderId="0" xfId="58" applyFont="1" applyFill="1" applyBorder="1" applyAlignment="1" applyProtection="1">
      <alignment vertical="center"/>
      <protection locked="0"/>
    </xf>
    <xf numFmtId="0" fontId="65" fillId="15" borderId="0" xfId="58" applyFont="1" applyFill="1" applyBorder="1" applyAlignment="1" applyProtection="1">
      <alignment vertical="center"/>
      <protection locked="0"/>
    </xf>
    <xf numFmtId="176" fontId="66" fillId="15" borderId="8" xfId="58" applyNumberFormat="1" applyFont="1" applyFill="1" applyBorder="1" applyAlignment="1" applyProtection="1">
      <alignment horizontal="center" vertical="center"/>
      <protection locked="0"/>
    </xf>
    <xf numFmtId="37" fontId="65" fillId="3" borderId="12" xfId="0" applyNumberFormat="1" applyFont="1" applyFill="1" applyBorder="1" applyAlignment="1" applyProtection="1">
      <alignment horizontal="left" vertical="center"/>
    </xf>
    <xf numFmtId="0" fontId="55" fillId="12" borderId="4" xfId="0" applyFont="1" applyFill="1" applyBorder="1" applyAlignment="1" applyProtection="1">
      <alignment vertical="center"/>
      <protection locked="0"/>
    </xf>
    <xf numFmtId="176" fontId="66" fillId="15" borderId="7" xfId="0" applyNumberFormat="1" applyFont="1" applyFill="1" applyBorder="1" applyAlignment="1" applyProtection="1">
      <alignment horizontal="center" vertical="center"/>
      <protection locked="0"/>
    </xf>
    <xf numFmtId="176" fontId="65" fillId="12" borderId="6" xfId="58" applyNumberFormat="1" applyFont="1" applyFill="1" applyBorder="1" applyAlignment="1" applyProtection="1">
      <alignment horizontal="center" vertical="center"/>
    </xf>
    <xf numFmtId="0" fontId="65" fillId="12" borderId="0" xfId="58" applyFont="1" applyFill="1" applyBorder="1" applyAlignment="1" applyProtection="1">
      <alignment horizontal="left" vertical="center"/>
    </xf>
    <xf numFmtId="0" fontId="65" fillId="12" borderId="16" xfId="58" applyFont="1" applyFill="1" applyBorder="1" applyAlignment="1" applyProtection="1">
      <alignment vertical="center"/>
    </xf>
    <xf numFmtId="176" fontId="65" fillId="12" borderId="12" xfId="58" applyNumberFormat="1" applyFont="1" applyFill="1" applyBorder="1" applyAlignment="1" applyProtection="1">
      <alignment horizontal="center" vertical="center"/>
    </xf>
    <xf numFmtId="0" fontId="67" fillId="0" borderId="0" xfId="0" applyFont="1" applyProtection="1">
      <protection locked="0"/>
    </xf>
    <xf numFmtId="176" fontId="65" fillId="12" borderId="6" xfId="58" applyNumberFormat="1" applyFont="1" applyFill="1" applyBorder="1" applyAlignment="1" applyProtection="1">
      <alignment vertical="center"/>
    </xf>
    <xf numFmtId="0" fontId="55" fillId="12" borderId="10" xfId="30" applyFont="1" applyFill="1" applyBorder="1" applyAlignment="1" applyProtection="1">
      <alignment vertical="center"/>
    </xf>
    <xf numFmtId="176" fontId="66" fillId="15" borderId="12" xfId="58" applyNumberFormat="1" applyFont="1" applyFill="1" applyBorder="1" applyAlignment="1" applyProtection="1">
      <alignment horizontal="center" vertical="center"/>
    </xf>
    <xf numFmtId="0" fontId="66" fillId="15" borderId="4" xfId="58" applyFont="1" applyFill="1" applyBorder="1" applyAlignment="1" applyProtection="1">
      <alignment vertical="center"/>
    </xf>
    <xf numFmtId="0" fontId="65" fillId="15" borderId="7" xfId="58" applyFont="1" applyFill="1" applyBorder="1" applyAlignment="1" applyProtection="1">
      <alignment vertical="center"/>
    </xf>
    <xf numFmtId="0" fontId="55" fillId="15" borderId="7" xfId="58" applyFont="1" applyFill="1" applyBorder="1" applyAlignment="1" applyProtection="1">
      <alignment vertical="center"/>
    </xf>
    <xf numFmtId="3" fontId="58" fillId="9" borderId="8" xfId="0" applyNumberFormat="1" applyFont="1" applyFill="1" applyBorder="1" applyAlignment="1" applyProtection="1">
      <alignment horizontal="center" vertical="center"/>
    </xf>
    <xf numFmtId="3" fontId="55" fillId="3" borderId="1" xfId="0" applyNumberFormat="1" applyFont="1" applyFill="1" applyBorder="1" applyAlignment="1" applyProtection="1">
      <alignment horizontal="fill" vertical="center"/>
    </xf>
    <xf numFmtId="173" fontId="65" fillId="12" borderId="6" xfId="0" applyNumberFormat="1" applyFont="1" applyFill="1" applyBorder="1" applyAlignment="1" applyProtection="1">
      <alignment horizontal="center" vertical="center"/>
    </xf>
    <xf numFmtId="0" fontId="65" fillId="12" borderId="0" xfId="0" applyFont="1" applyFill="1" applyBorder="1" applyAlignment="1" applyProtection="1">
      <alignment horizontal="left" vertical="center"/>
    </xf>
    <xf numFmtId="0" fontId="64" fillId="12" borderId="0" xfId="0" applyFont="1" applyFill="1" applyBorder="1" applyAlignment="1" applyProtection="1">
      <alignment horizontal="center" vertical="center"/>
    </xf>
    <xf numFmtId="0" fontId="55" fillId="12" borderId="16" xfId="0" applyFont="1" applyFill="1" applyBorder="1" applyAlignment="1" applyProtection="1">
      <alignment vertical="center"/>
    </xf>
    <xf numFmtId="3" fontId="55" fillId="3" borderId="0" xfId="0" applyNumberFormat="1" applyFont="1" applyFill="1" applyAlignment="1" applyProtection="1">
      <alignment horizontal="right" vertical="center"/>
    </xf>
    <xf numFmtId="0" fontId="58" fillId="0" borderId="0" xfId="0" applyFont="1" applyAlignment="1" applyProtection="1">
      <alignment vertical="center"/>
    </xf>
    <xf numFmtId="173" fontId="65" fillId="15" borderId="12" xfId="0" applyNumberFormat="1" applyFont="1" applyFill="1" applyBorder="1" applyAlignment="1" applyProtection="1">
      <alignment horizontal="center" vertical="center"/>
    </xf>
    <xf numFmtId="0" fontId="68" fillId="0" borderId="0" xfId="0" applyFont="1" applyAlignment="1" applyProtection="1">
      <alignment vertical="center"/>
    </xf>
    <xf numFmtId="173" fontId="65" fillId="12" borderId="10" xfId="0" applyNumberFormat="1" applyFont="1" applyFill="1" applyBorder="1" applyAlignment="1" applyProtection="1">
      <alignment horizontal="center" vertical="center"/>
    </xf>
    <xf numFmtId="0" fontId="60" fillId="3" borderId="0" xfId="0" applyFont="1" applyFill="1" applyAlignment="1" applyProtection="1">
      <alignment horizontal="center" vertical="center"/>
    </xf>
    <xf numFmtId="173" fontId="65" fillId="15" borderId="10" xfId="0" applyNumberFormat="1" applyFont="1" applyFill="1" applyBorder="1" applyAlignment="1" applyProtection="1">
      <alignment horizontal="center" vertical="center"/>
    </xf>
    <xf numFmtId="0" fontId="69" fillId="3" borderId="0" xfId="0" applyFont="1" applyFill="1" applyAlignment="1" applyProtection="1">
      <alignment horizontal="center" vertical="center"/>
    </xf>
    <xf numFmtId="0" fontId="65" fillId="12" borderId="4" xfId="0" applyFont="1" applyFill="1" applyBorder="1" applyAlignment="1" applyProtection="1">
      <alignment horizontal="left" vertical="center"/>
    </xf>
    <xf numFmtId="0" fontId="64" fillId="12" borderId="4" xfId="0" applyFont="1" applyFill="1" applyBorder="1" applyAlignment="1" applyProtection="1">
      <alignment horizontal="center" vertical="center"/>
    </xf>
    <xf numFmtId="0" fontId="55" fillId="12" borderId="7" xfId="0" applyFont="1" applyFill="1" applyBorder="1" applyAlignment="1" applyProtection="1">
      <alignment vertical="center"/>
    </xf>
    <xf numFmtId="0" fontId="55" fillId="3" borderId="0" xfId="63" applyFont="1" applyFill="1" applyAlignment="1" applyProtection="1">
      <alignment horizontal="right" vertical="center"/>
    </xf>
    <xf numFmtId="179" fontId="55" fillId="3" borderId="0" xfId="0" applyNumberFormat="1" applyFont="1" applyFill="1" applyAlignment="1" applyProtection="1">
      <alignment horizontal="center" vertical="center"/>
    </xf>
    <xf numFmtId="0" fontId="55" fillId="0" borderId="0" xfId="0" applyFont="1" applyFill="1" applyAlignment="1" applyProtection="1">
      <alignment vertical="center"/>
      <protection locked="0"/>
    </xf>
    <xf numFmtId="3" fontId="55" fillId="10" borderId="15" xfId="0" applyNumberFormat="1" applyFont="1" applyFill="1" applyBorder="1" applyAlignment="1" applyProtection="1">
      <alignment vertical="center"/>
    </xf>
    <xf numFmtId="0" fontId="66" fillId="12" borderId="13" xfId="30" applyFont="1" applyFill="1" applyBorder="1" applyAlignment="1">
      <alignment horizontal="left" vertical="center"/>
    </xf>
    <xf numFmtId="0" fontId="56" fillId="12" borderId="9" xfId="0" applyFont="1" applyFill="1" applyBorder="1" applyAlignment="1">
      <alignment horizontal="centerContinuous" vertical="center"/>
    </xf>
    <xf numFmtId="0" fontId="55" fillId="12" borderId="9" xfId="0" applyFont="1" applyFill="1" applyBorder="1" applyAlignment="1" applyProtection="1">
      <alignment vertical="center"/>
      <protection locked="0"/>
    </xf>
    <xf numFmtId="0" fontId="70" fillId="12" borderId="14" xfId="0" applyFont="1" applyFill="1" applyBorder="1" applyAlignment="1">
      <alignment horizontal="center" vertical="center"/>
    </xf>
    <xf numFmtId="173" fontId="55" fillId="12" borderId="0" xfId="0" applyNumberFormat="1" applyFont="1" applyFill="1" applyBorder="1" applyAlignment="1" applyProtection="1">
      <alignment horizontal="right" vertical="center"/>
      <protection locked="0"/>
    </xf>
    <xf numFmtId="0" fontId="65" fillId="12" borderId="6" xfId="30" applyFont="1" applyFill="1" applyBorder="1" applyAlignment="1">
      <alignment horizontal="left" vertical="center"/>
    </xf>
    <xf numFmtId="0" fontId="65" fillId="12" borderId="0" xfId="30" applyFont="1" applyFill="1" applyBorder="1" applyAlignment="1">
      <alignment vertical="center"/>
    </xf>
    <xf numFmtId="176" fontId="65" fillId="12" borderId="16" xfId="30" applyNumberFormat="1" applyFont="1" applyFill="1" applyBorder="1" applyAlignment="1">
      <alignment vertical="center"/>
    </xf>
    <xf numFmtId="0" fontId="56" fillId="3" borderId="13" xfId="0" applyFont="1" applyFill="1" applyBorder="1" applyAlignment="1" applyProtection="1">
      <alignment vertical="center"/>
    </xf>
    <xf numFmtId="173" fontId="55" fillId="12" borderId="14" xfId="0" applyNumberFormat="1" applyFont="1" applyFill="1" applyBorder="1" applyAlignment="1" applyProtection="1">
      <alignment horizontal="right" vertical="center"/>
      <protection locked="0"/>
    </xf>
    <xf numFmtId="0" fontId="65" fillId="12" borderId="12" xfId="30" applyFont="1" applyFill="1" applyBorder="1" applyAlignment="1">
      <alignment horizontal="left" vertical="center"/>
    </xf>
    <xf numFmtId="0" fontId="65" fillId="12" borderId="4" xfId="30" applyFont="1" applyFill="1" applyBorder="1" applyAlignment="1">
      <alignment vertical="center"/>
    </xf>
    <xf numFmtId="176" fontId="65" fillId="12" borderId="7" xfId="30" applyNumberFormat="1" applyFont="1" applyFill="1" applyBorder="1" applyAlignment="1">
      <alignment vertical="center"/>
    </xf>
    <xf numFmtId="0" fontId="55" fillId="3" borderId="6" xfId="0" applyFont="1" applyFill="1" applyBorder="1" applyAlignment="1" applyProtection="1">
      <alignment vertical="center"/>
    </xf>
    <xf numFmtId="173" fontId="55" fillId="12" borderId="16" xfId="0" applyNumberFormat="1" applyFont="1" applyFill="1" applyBorder="1" applyAlignment="1" applyProtection="1">
      <alignment horizontal="right" vertical="center"/>
      <protection locked="0"/>
    </xf>
    <xf numFmtId="173" fontId="55" fillId="12" borderId="7" xfId="0" applyNumberFormat="1" applyFont="1" applyFill="1" applyBorder="1" applyAlignment="1" applyProtection="1">
      <alignment horizontal="right" vertical="center"/>
      <protection locked="0"/>
    </xf>
    <xf numFmtId="3" fontId="58" fillId="9" borderId="1" xfId="0" applyNumberFormat="1" applyFont="1" applyFill="1" applyBorder="1" applyAlignment="1" applyProtection="1">
      <alignment horizontal="center" vertical="center"/>
    </xf>
    <xf numFmtId="3" fontId="56" fillId="3" borderId="1" xfId="0" applyNumberFormat="1" applyFont="1" applyFill="1" applyBorder="1" applyAlignment="1" applyProtection="1">
      <alignment vertical="center"/>
    </xf>
    <xf numFmtId="37" fontId="69" fillId="3" borderId="9" xfId="0" applyNumberFormat="1" applyFont="1" applyFill="1" applyBorder="1" applyAlignment="1" applyProtection="1">
      <alignment horizontal="center" vertical="center"/>
    </xf>
    <xf numFmtId="3" fontId="55" fillId="3" borderId="0" xfId="0" applyNumberFormat="1" applyFont="1" applyFill="1" applyAlignment="1" applyProtection="1">
      <alignment vertical="center"/>
    </xf>
    <xf numFmtId="3" fontId="55" fillId="3" borderId="4" xfId="0" applyNumberFormat="1" applyFont="1" applyFill="1" applyBorder="1" applyAlignment="1" applyProtection="1">
      <alignment horizontal="fill" vertical="center"/>
    </xf>
    <xf numFmtId="1" fontId="55" fillId="3" borderId="2" xfId="0" applyNumberFormat="1" applyFont="1" applyFill="1" applyBorder="1" applyAlignment="1" applyProtection="1">
      <alignment horizontal="center" vertical="center"/>
    </xf>
    <xf numFmtId="37" fontId="56" fillId="3" borderId="4" xfId="0" applyNumberFormat="1" applyFont="1" applyFill="1" applyBorder="1" applyAlignment="1" applyProtection="1">
      <alignment vertical="center"/>
    </xf>
    <xf numFmtId="3" fontId="55" fillId="3" borderId="2" xfId="0" applyNumberFormat="1" applyFont="1" applyFill="1" applyBorder="1" applyAlignment="1" applyProtection="1">
      <alignment vertical="center"/>
    </xf>
    <xf numFmtId="0" fontId="56" fillId="3" borderId="13" xfId="0" applyFont="1" applyFill="1" applyBorder="1" applyAlignment="1" applyProtection="1">
      <alignment horizontal="left" vertical="center"/>
    </xf>
    <xf numFmtId="0" fontId="69" fillId="3" borderId="9" xfId="0" applyFont="1" applyFill="1" applyBorder="1" applyAlignment="1" applyProtection="1">
      <alignment horizontal="center" vertical="center"/>
    </xf>
    <xf numFmtId="0" fontId="55" fillId="3" borderId="14" xfId="0" applyFont="1" applyFill="1" applyBorder="1" applyAlignment="1" applyProtection="1">
      <alignment vertical="center"/>
    </xf>
    <xf numFmtId="0" fontId="55" fillId="3" borderId="6" xfId="0" applyFont="1" applyFill="1" applyBorder="1" applyAlignment="1" applyProtection="1">
      <alignment horizontal="right" vertical="center"/>
    </xf>
    <xf numFmtId="0" fontId="69" fillId="3" borderId="0" xfId="0" applyFont="1" applyFill="1" applyBorder="1" applyAlignment="1" applyProtection="1">
      <alignment horizontal="center" vertical="center"/>
    </xf>
    <xf numFmtId="0" fontId="55" fillId="3" borderId="16" xfId="0" applyFont="1" applyFill="1" applyBorder="1" applyAlignment="1" applyProtection="1">
      <alignment vertical="center"/>
    </xf>
    <xf numFmtId="0" fontId="55" fillId="3" borderId="12" xfId="0" applyFont="1" applyFill="1" applyBorder="1" applyAlignment="1" applyProtection="1">
      <alignment horizontal="right" vertical="center"/>
    </xf>
    <xf numFmtId="0" fontId="69" fillId="3" borderId="4" xfId="0" applyFont="1" applyFill="1" applyBorder="1" applyAlignment="1" applyProtection="1">
      <alignment horizontal="center" vertical="center"/>
    </xf>
    <xf numFmtId="0" fontId="55" fillId="2" borderId="0" xfId="0" applyFont="1" applyFill="1" applyAlignment="1" applyProtection="1">
      <alignment horizontal="center" vertical="center"/>
      <protection locked="0"/>
    </xf>
    <xf numFmtId="3" fontId="55" fillId="3" borderId="14" xfId="0" applyNumberFormat="1" applyFont="1" applyFill="1" applyBorder="1" applyAlignment="1" applyProtection="1">
      <alignment vertical="center"/>
    </xf>
    <xf numFmtId="3" fontId="55" fillId="3" borderId="7" xfId="0" applyNumberFormat="1" applyFont="1" applyFill="1" applyBorder="1" applyAlignment="1" applyProtection="1">
      <alignment vertical="center"/>
    </xf>
    <xf numFmtId="166" fontId="55" fillId="3" borderId="4" xfId="0" applyNumberFormat="1" applyFont="1" applyFill="1" applyBorder="1" applyAlignment="1" applyProtection="1">
      <alignment vertical="center"/>
    </xf>
    <xf numFmtId="37" fontId="55" fillId="3" borderId="4" xfId="0" quotePrefix="1" applyNumberFormat="1" applyFont="1" applyFill="1" applyBorder="1" applyAlignment="1" applyProtection="1">
      <alignment horizontal="right" vertical="center"/>
    </xf>
    <xf numFmtId="37" fontId="55" fillId="2" borderId="1" xfId="0" applyNumberFormat="1" applyFont="1" applyFill="1" applyBorder="1" applyAlignment="1" applyProtection="1">
      <alignment vertical="center"/>
      <protection locked="0"/>
    </xf>
    <xf numFmtId="37" fontId="55" fillId="7" borderId="8" xfId="0" applyNumberFormat="1" applyFont="1" applyFill="1" applyBorder="1" applyAlignment="1" applyProtection="1">
      <alignment vertical="center"/>
      <protection locked="0"/>
    </xf>
    <xf numFmtId="37" fontId="55" fillId="3" borderId="14" xfId="0" applyNumberFormat="1" applyFont="1" applyFill="1" applyBorder="1" applyAlignment="1" applyProtection="1">
      <alignment vertical="center"/>
    </xf>
    <xf numFmtId="37" fontId="55" fillId="3" borderId="16" xfId="0" applyNumberFormat="1" applyFont="1" applyFill="1" applyBorder="1" applyAlignment="1" applyProtection="1">
      <alignment vertical="center"/>
    </xf>
    <xf numFmtId="37" fontId="55" fillId="3" borderId="7" xfId="0" applyNumberFormat="1" applyFont="1" applyFill="1" applyBorder="1" applyAlignment="1" applyProtection="1">
      <alignment vertical="center"/>
    </xf>
    <xf numFmtId="0" fontId="55" fillId="3" borderId="0" xfId="0" applyFont="1" applyFill="1" applyAlignment="1">
      <alignment horizontal="center" vertical="center"/>
    </xf>
    <xf numFmtId="0" fontId="56" fillId="3" borderId="0" xfId="0" applyFont="1" applyFill="1" applyAlignment="1">
      <alignment horizontal="center" vertical="center"/>
    </xf>
    <xf numFmtId="0" fontId="71" fillId="3" borderId="0" xfId="0" applyFont="1" applyFill="1" applyAlignment="1">
      <alignment horizontal="center" vertical="center"/>
    </xf>
    <xf numFmtId="0" fontId="55" fillId="3" borderId="4" xfId="0" applyFont="1" applyFill="1" applyBorder="1" applyAlignment="1">
      <alignment vertical="center"/>
    </xf>
    <xf numFmtId="0" fontId="72" fillId="3" borderId="2" xfId="0" applyFont="1" applyFill="1" applyBorder="1" applyAlignment="1">
      <alignment vertical="center"/>
    </xf>
    <xf numFmtId="0" fontId="72" fillId="3" borderId="8" xfId="0" applyFont="1" applyFill="1" applyBorder="1" applyAlignment="1">
      <alignment horizontal="center" vertical="center"/>
    </xf>
    <xf numFmtId="0" fontId="72" fillId="3" borderId="14" xfId="0" applyFont="1" applyFill="1" applyBorder="1" applyAlignment="1">
      <alignment vertical="center"/>
    </xf>
    <xf numFmtId="0" fontId="72" fillId="3" borderId="1" xfId="0" applyFont="1" applyFill="1" applyBorder="1" applyAlignment="1">
      <alignment horizontal="center" vertical="center"/>
    </xf>
    <xf numFmtId="0" fontId="55" fillId="3" borderId="8" xfId="0" applyFont="1" applyFill="1" applyBorder="1" applyAlignment="1">
      <alignment horizontal="center" vertical="center"/>
    </xf>
    <xf numFmtId="0" fontId="55" fillId="3" borderId="8" xfId="0" applyFont="1" applyFill="1" applyBorder="1" applyAlignment="1">
      <alignment vertical="center"/>
    </xf>
    <xf numFmtId="0" fontId="55" fillId="3" borderId="1" xfId="0" applyFont="1" applyFill="1" applyBorder="1" applyAlignment="1">
      <alignment horizontal="center" vertical="center"/>
    </xf>
    <xf numFmtId="0" fontId="72" fillId="3" borderId="12" xfId="0" applyFont="1" applyFill="1" applyBorder="1" applyAlignment="1">
      <alignment vertical="center"/>
    </xf>
    <xf numFmtId="3" fontId="72" fillId="2" borderId="1" xfId="0" applyNumberFormat="1" applyFont="1" applyFill="1" applyBorder="1" applyAlignment="1" applyProtection="1">
      <alignment horizontal="center" vertical="center"/>
      <protection locked="0"/>
    </xf>
    <xf numFmtId="0" fontId="72" fillId="3" borderId="4" xfId="0" applyFont="1" applyFill="1" applyBorder="1" applyAlignment="1">
      <alignment vertical="center"/>
    </xf>
    <xf numFmtId="3" fontId="72" fillId="8" borderId="1" xfId="0" applyNumberFormat="1" applyFont="1" applyFill="1" applyBorder="1" applyAlignment="1">
      <alignment horizontal="center" vertical="center"/>
    </xf>
    <xf numFmtId="0" fontId="72" fillId="3" borderId="0" xfId="0" applyFont="1" applyFill="1" applyAlignment="1">
      <alignment vertical="center"/>
    </xf>
    <xf numFmtId="3" fontId="72" fillId="3" borderId="0" xfId="0" applyNumberFormat="1" applyFont="1" applyFill="1" applyAlignment="1">
      <alignment horizontal="center" vertical="center"/>
    </xf>
    <xf numFmtId="0" fontId="72" fillId="3" borderId="0" xfId="0" applyFont="1" applyFill="1" applyAlignment="1">
      <alignment horizontal="center" vertical="center"/>
    </xf>
    <xf numFmtId="0" fontId="72" fillId="2" borderId="1" xfId="0" applyFont="1" applyFill="1" applyBorder="1" applyAlignment="1" applyProtection="1">
      <alignment vertical="center"/>
      <protection locked="0"/>
    </xf>
    <xf numFmtId="0" fontId="72" fillId="2" borderId="14" xfId="0" applyFont="1" applyFill="1" applyBorder="1" applyAlignment="1" applyProtection="1">
      <alignment vertical="center"/>
      <protection locked="0"/>
    </xf>
    <xf numFmtId="3" fontId="72" fillId="2" borderId="14" xfId="0" applyNumberFormat="1" applyFont="1" applyFill="1" applyBorder="1" applyAlignment="1" applyProtection="1">
      <alignment horizontal="center" vertical="center"/>
      <protection locked="0"/>
    </xf>
    <xf numFmtId="0" fontId="72" fillId="2" borderId="0" xfId="0" applyFont="1" applyFill="1" applyAlignment="1" applyProtection="1">
      <alignment vertical="center"/>
      <protection locked="0"/>
    </xf>
    <xf numFmtId="3" fontId="72" fillId="2" borderId="7" xfId="0" applyNumberFormat="1" applyFont="1" applyFill="1" applyBorder="1" applyAlignment="1" applyProtection="1">
      <alignment horizontal="center" vertical="center"/>
      <protection locked="0"/>
    </xf>
    <xf numFmtId="3" fontId="72" fillId="2" borderId="8" xfId="0" applyNumberFormat="1" applyFont="1" applyFill="1" applyBorder="1" applyAlignment="1" applyProtection="1">
      <alignment horizontal="center" vertical="center"/>
      <protection locked="0"/>
    </xf>
    <xf numFmtId="0" fontId="72" fillId="2" borderId="8" xfId="0" applyFont="1" applyFill="1" applyBorder="1" applyAlignment="1" applyProtection="1">
      <alignment vertical="center"/>
      <protection locked="0"/>
    </xf>
    <xf numFmtId="0" fontId="72" fillId="2" borderId="3" xfId="0" applyFont="1" applyFill="1" applyBorder="1" applyAlignment="1" applyProtection="1">
      <alignment vertical="center"/>
      <protection locked="0"/>
    </xf>
    <xf numFmtId="3" fontId="72" fillId="2" borderId="16" xfId="0" applyNumberFormat="1" applyFont="1" applyFill="1" applyBorder="1" applyAlignment="1" applyProtection="1">
      <alignment horizontal="center" vertical="center"/>
      <protection locked="0"/>
    </xf>
    <xf numFmtId="0" fontId="72" fillId="2" borderId="16" xfId="0" applyFont="1" applyFill="1" applyBorder="1" applyAlignment="1" applyProtection="1">
      <alignment vertical="center"/>
      <protection locked="0"/>
    </xf>
    <xf numFmtId="0" fontId="72" fillId="8" borderId="1" xfId="0" applyFont="1" applyFill="1" applyBorder="1" applyAlignment="1">
      <alignment horizontal="center" vertical="center"/>
    </xf>
    <xf numFmtId="0" fontId="72" fillId="8" borderId="3" xfId="0" applyFont="1" applyFill="1" applyBorder="1" applyAlignment="1">
      <alignment horizontal="center" vertical="center"/>
    </xf>
    <xf numFmtId="3" fontId="72" fillId="2" borderId="3" xfId="0" applyNumberFormat="1" applyFont="1" applyFill="1" applyBorder="1" applyAlignment="1" applyProtection="1">
      <alignment horizontal="center" vertical="center"/>
      <protection locked="0"/>
    </xf>
    <xf numFmtId="3" fontId="72" fillId="2" borderId="11" xfId="0" applyNumberFormat="1" applyFont="1" applyFill="1" applyBorder="1" applyAlignment="1" applyProtection="1">
      <alignment horizontal="center" vertical="center"/>
      <protection locked="0"/>
    </xf>
    <xf numFmtId="3" fontId="72" fillId="8" borderId="3" xfId="0" applyNumberFormat="1" applyFont="1" applyFill="1" applyBorder="1" applyAlignment="1">
      <alignment horizontal="center" vertical="center"/>
    </xf>
    <xf numFmtId="3" fontId="73" fillId="9" borderId="1" xfId="0" applyNumberFormat="1" applyFont="1" applyFill="1" applyBorder="1" applyAlignment="1">
      <alignment horizontal="center" vertical="center"/>
    </xf>
    <xf numFmtId="0" fontId="58" fillId="0" borderId="0" xfId="0" applyFont="1" applyAlignment="1">
      <alignment vertical="center"/>
    </xf>
    <xf numFmtId="3" fontId="74" fillId="9" borderId="0" xfId="0" applyNumberFormat="1" applyFont="1" applyFill="1" applyAlignment="1">
      <alignment horizontal="center" vertical="center"/>
    </xf>
    <xf numFmtId="3" fontId="55" fillId="3" borderId="0" xfId="0" applyNumberFormat="1" applyFont="1" applyFill="1" applyAlignment="1">
      <alignment vertical="center"/>
    </xf>
    <xf numFmtId="0" fontId="55" fillId="5" borderId="0" xfId="0" applyFont="1" applyFill="1" applyAlignment="1">
      <alignment vertical="center"/>
    </xf>
    <xf numFmtId="0" fontId="56" fillId="3" borderId="13" xfId="0" applyFont="1" applyFill="1" applyBorder="1" applyAlignment="1">
      <alignment vertical="center"/>
    </xf>
    <xf numFmtId="3" fontId="55" fillId="3" borderId="9" xfId="0" applyNumberFormat="1" applyFont="1" applyFill="1" applyBorder="1" applyAlignment="1">
      <alignment vertical="center"/>
    </xf>
    <xf numFmtId="0" fontId="55" fillId="3" borderId="9" xfId="0" applyFont="1" applyFill="1" applyBorder="1" applyAlignment="1">
      <alignment vertical="center"/>
    </xf>
    <xf numFmtId="0" fontId="55" fillId="3" borderId="9" xfId="0" applyFont="1" applyFill="1" applyBorder="1" applyAlignment="1">
      <alignment horizontal="center" vertical="center"/>
    </xf>
    <xf numFmtId="0" fontId="55" fillId="3" borderId="14" xfId="0" applyFont="1" applyFill="1" applyBorder="1" applyAlignment="1">
      <alignment vertical="center"/>
    </xf>
    <xf numFmtId="0" fontId="55" fillId="3" borderId="6" xfId="0" applyFont="1" applyFill="1" applyBorder="1" applyAlignment="1">
      <alignment vertical="center"/>
    </xf>
    <xf numFmtId="3" fontId="55" fillId="3" borderId="0" xfId="0" applyNumberFormat="1" applyFont="1" applyFill="1" applyBorder="1" applyAlignment="1">
      <alignment vertical="center"/>
    </xf>
    <xf numFmtId="0" fontId="55" fillId="3" borderId="0" xfId="0" applyFont="1" applyFill="1" applyBorder="1" applyAlignment="1">
      <alignment vertical="center"/>
    </xf>
    <xf numFmtId="0" fontId="55" fillId="3" borderId="0" xfId="0" applyFont="1" applyFill="1" applyBorder="1" applyAlignment="1">
      <alignment horizontal="center" vertical="center"/>
    </xf>
    <xf numFmtId="0" fontId="55" fillId="3" borderId="16" xfId="0" applyFont="1" applyFill="1" applyBorder="1" applyAlignment="1">
      <alignment vertical="center"/>
    </xf>
    <xf numFmtId="0" fontId="55" fillId="3" borderId="12" xfId="0" applyFont="1" applyFill="1" applyBorder="1" applyAlignment="1">
      <alignment vertical="center"/>
    </xf>
    <xf numFmtId="3" fontId="55" fillId="3" borderId="4" xfId="0" applyNumberFormat="1" applyFont="1" applyFill="1" applyBorder="1" applyAlignment="1">
      <alignment vertical="center"/>
    </xf>
    <xf numFmtId="0" fontId="55" fillId="3" borderId="4" xfId="0" applyFont="1" applyFill="1" applyBorder="1" applyAlignment="1">
      <alignment horizontal="center" vertical="center"/>
    </xf>
    <xf numFmtId="0" fontId="55" fillId="3" borderId="7" xfId="0" applyFont="1" applyFill="1" applyBorder="1" applyAlignment="1">
      <alignment vertical="center"/>
    </xf>
    <xf numFmtId="0" fontId="55" fillId="3" borderId="0" xfId="0" applyFont="1" applyFill="1" applyAlignment="1">
      <alignment horizontal="right" vertical="center"/>
    </xf>
    <xf numFmtId="3" fontId="55" fillId="0" borderId="0" xfId="0" applyNumberFormat="1" applyFont="1" applyAlignment="1">
      <alignment vertical="center"/>
    </xf>
    <xf numFmtId="0" fontId="55" fillId="0" borderId="0" xfId="0" applyFont="1" applyAlignment="1">
      <alignment horizontal="centerContinuous" vertical="center"/>
    </xf>
    <xf numFmtId="37" fontId="56" fillId="3" borderId="0" xfId="0" applyNumberFormat="1" applyFont="1" applyFill="1" applyAlignment="1" applyProtection="1">
      <alignment horizontal="centerContinuous" vertical="center"/>
    </xf>
    <xf numFmtId="1" fontId="55" fillId="3" borderId="10" xfId="0" applyNumberFormat="1" applyFont="1" applyFill="1" applyBorder="1" applyAlignment="1" applyProtection="1">
      <alignment horizontal="centerContinuous" vertical="center"/>
    </xf>
    <xf numFmtId="37" fontId="55" fillId="3" borderId="2" xfId="58" applyNumberFormat="1" applyFont="1" applyFill="1" applyBorder="1" applyAlignment="1" applyProtection="1">
      <alignment horizontal="center"/>
    </xf>
    <xf numFmtId="37" fontId="55" fillId="3" borderId="3" xfId="58" applyNumberFormat="1" applyFont="1" applyFill="1" applyBorder="1" applyAlignment="1" applyProtection="1">
      <alignment horizontal="center"/>
    </xf>
    <xf numFmtId="0" fontId="55" fillId="12" borderId="0" xfId="59" applyFont="1" applyFill="1" applyBorder="1" applyProtection="1"/>
    <xf numFmtId="176" fontId="55" fillId="12" borderId="16" xfId="59" applyNumberFormat="1" applyFont="1" applyFill="1" applyBorder="1" applyAlignment="1" applyProtection="1">
      <alignment horizontal="center"/>
    </xf>
    <xf numFmtId="0" fontId="55" fillId="12" borderId="6" xfId="59" applyFont="1" applyFill="1" applyBorder="1" applyProtection="1"/>
    <xf numFmtId="0" fontId="55" fillId="12" borderId="16" xfId="59" applyFont="1" applyFill="1" applyBorder="1" applyProtection="1"/>
    <xf numFmtId="171" fontId="55" fillId="12" borderId="16" xfId="59" applyNumberFormat="1" applyFont="1" applyFill="1" applyBorder="1" applyAlignment="1" applyProtection="1">
      <alignment horizontal="center"/>
    </xf>
    <xf numFmtId="0" fontId="55" fillId="15" borderId="6" xfId="59" applyFont="1" applyFill="1" applyBorder="1" applyProtection="1"/>
    <xf numFmtId="0" fontId="55" fillId="15" borderId="0" xfId="59" applyFont="1" applyFill="1" applyBorder="1" applyProtection="1"/>
    <xf numFmtId="176" fontId="55" fillId="15" borderId="16" xfId="59" applyNumberFormat="1" applyFont="1" applyFill="1" applyBorder="1" applyAlignment="1" applyProtection="1">
      <alignment horizontal="center"/>
    </xf>
    <xf numFmtId="0" fontId="55" fillId="15" borderId="12" xfId="0" applyFont="1" applyFill="1" applyBorder="1" applyAlignment="1">
      <alignment vertical="center"/>
    </xf>
    <xf numFmtId="0" fontId="55" fillId="15" borderId="4" xfId="0" applyFont="1" applyFill="1" applyBorder="1" applyAlignment="1">
      <alignment vertical="center"/>
    </xf>
    <xf numFmtId="176" fontId="55" fillId="15" borderId="7" xfId="0" applyNumberFormat="1" applyFont="1" applyFill="1" applyBorder="1" applyAlignment="1">
      <alignment horizontal="center" vertical="center"/>
    </xf>
    <xf numFmtId="0" fontId="55" fillId="0" borderId="0" xfId="59" applyFont="1" applyProtection="1"/>
    <xf numFmtId="0" fontId="75" fillId="0" borderId="0" xfId="0" applyFont="1" applyAlignment="1">
      <alignment vertical="center"/>
    </xf>
    <xf numFmtId="176" fontId="55" fillId="12" borderId="7" xfId="59" applyNumberFormat="1" applyFont="1" applyFill="1" applyBorder="1" applyAlignment="1" applyProtection="1">
      <alignment horizontal="center"/>
    </xf>
    <xf numFmtId="0" fontId="55" fillId="15" borderId="12" xfId="59" applyFont="1" applyFill="1" applyBorder="1" applyProtection="1"/>
    <xf numFmtId="0" fontId="55" fillId="15" borderId="4" xfId="59" applyFont="1" applyFill="1" applyBorder="1" applyProtection="1"/>
    <xf numFmtId="176" fontId="55" fillId="15" borderId="7" xfId="59" applyNumberFormat="1" applyFont="1" applyFill="1" applyBorder="1" applyAlignment="1" applyProtection="1">
      <alignment horizontal="center"/>
    </xf>
    <xf numFmtId="0" fontId="55" fillId="0" borderId="0" xfId="59" applyFont="1" applyFill="1" applyBorder="1" applyProtection="1"/>
    <xf numFmtId="1" fontId="76" fillId="3" borderId="0" xfId="0" applyNumberFormat="1" applyFont="1" applyFill="1" applyAlignment="1" applyProtection="1">
      <alignment horizontal="center" vertical="center"/>
    </xf>
    <xf numFmtId="173" fontId="55" fillId="14" borderId="16" xfId="59" applyNumberFormat="1" applyFont="1" applyFill="1" applyBorder="1" applyAlignment="1" applyProtection="1">
      <alignment horizontal="center"/>
      <protection locked="0"/>
    </xf>
    <xf numFmtId="3" fontId="55" fillId="13" borderId="15" xfId="0" applyNumberFormat="1" applyFont="1" applyFill="1" applyBorder="1" applyAlignment="1" applyProtection="1">
      <alignment horizontal="center" vertical="center"/>
    </xf>
    <xf numFmtId="49" fontId="55" fillId="3" borderId="0" xfId="0" applyNumberFormat="1" applyFont="1" applyFill="1" applyAlignment="1" applyProtection="1">
      <alignment horizontal="center" vertical="center"/>
    </xf>
    <xf numFmtId="0" fontId="77" fillId="7" borderId="10" xfId="30" applyFont="1" applyFill="1" applyBorder="1" applyAlignment="1" applyProtection="1">
      <alignment horizontal="left" vertical="center"/>
      <protection locked="0"/>
    </xf>
    <xf numFmtId="0" fontId="63" fillId="7" borderId="10" xfId="30" applyFont="1" applyFill="1" applyBorder="1" applyAlignment="1" applyProtection="1">
      <alignment horizontal="left" vertical="center" indent="1"/>
      <protection locked="0"/>
    </xf>
    <xf numFmtId="0" fontId="63" fillId="7" borderId="10" xfId="63" applyFont="1" applyFill="1" applyBorder="1" applyAlignment="1" applyProtection="1">
      <alignment horizontal="left" indent="1"/>
      <protection locked="0"/>
    </xf>
    <xf numFmtId="0" fontId="77" fillId="7" borderId="10" xfId="63" applyFont="1" applyFill="1" applyBorder="1" applyAlignment="1" applyProtection="1">
      <alignment horizontal="left"/>
      <protection locked="0"/>
    </xf>
    <xf numFmtId="0" fontId="77" fillId="7" borderId="10" xfId="110" applyFont="1" applyFill="1" applyBorder="1" applyAlignment="1" applyProtection="1">
      <alignment horizontal="left"/>
      <protection locked="0"/>
    </xf>
    <xf numFmtId="0" fontId="63" fillId="7" borderId="10" xfId="30" applyFont="1" applyFill="1" applyBorder="1" applyAlignment="1" applyProtection="1">
      <alignment vertical="center"/>
      <protection locked="0"/>
    </xf>
    <xf numFmtId="0" fontId="55" fillId="7" borderId="10" xfId="120" applyFont="1" applyFill="1" applyBorder="1" applyProtection="1">
      <protection locked="0"/>
    </xf>
    <xf numFmtId="0" fontId="55" fillId="7" borderId="10" xfId="0" applyFont="1" applyFill="1" applyBorder="1" applyAlignment="1" applyProtection="1">
      <alignment vertical="center" wrapText="1"/>
      <protection locked="0"/>
    </xf>
    <xf numFmtId="0" fontId="55" fillId="7" borderId="10" xfId="63" applyFont="1" applyFill="1" applyBorder="1" applyProtection="1">
      <protection locked="0"/>
    </xf>
    <xf numFmtId="0" fontId="55" fillId="7" borderId="10" xfId="30" applyFont="1" applyFill="1" applyBorder="1" applyAlignment="1" applyProtection="1">
      <alignment vertical="center"/>
      <protection locked="0"/>
    </xf>
    <xf numFmtId="0" fontId="55" fillId="2" borderId="10" xfId="30" applyFont="1" applyFill="1" applyBorder="1" applyAlignment="1" applyProtection="1">
      <alignment vertical="center"/>
      <protection locked="0"/>
    </xf>
    <xf numFmtId="37" fontId="55" fillId="7" borderId="10" xfId="30" applyNumberFormat="1" applyFont="1" applyFill="1" applyBorder="1" applyAlignment="1" applyProtection="1">
      <alignment horizontal="left" vertical="center"/>
      <protection locked="0"/>
    </xf>
    <xf numFmtId="0" fontId="55" fillId="7" borderId="10" xfId="392" applyFont="1" applyFill="1" applyBorder="1" applyAlignment="1" applyProtection="1">
      <alignment wrapText="1"/>
      <protection locked="0"/>
    </xf>
    <xf numFmtId="0" fontId="55" fillId="7" borderId="10" xfId="392" applyFont="1" applyFill="1" applyBorder="1" applyProtection="1">
      <protection locked="0"/>
    </xf>
    <xf numFmtId="0" fontId="78" fillId="7" borderId="10" xfId="30" applyFont="1" applyFill="1" applyBorder="1" applyAlignment="1" applyProtection="1">
      <alignment vertical="center"/>
      <protection locked="0"/>
    </xf>
    <xf numFmtId="0" fontId="79" fillId="7" borderId="10" xfId="30" applyFont="1" applyFill="1" applyBorder="1" applyAlignment="1" applyProtection="1">
      <alignment vertical="center"/>
      <protection locked="0"/>
    </xf>
    <xf numFmtId="170" fontId="55" fillId="2" borderId="1" xfId="1" applyNumberFormat="1" applyFont="1" applyFill="1" applyBorder="1" applyAlignment="1" applyProtection="1">
      <alignment horizontal="center" vertical="center"/>
      <protection locked="0"/>
    </xf>
    <xf numFmtId="0" fontId="63" fillId="2" borderId="1" xfId="30" applyFont="1" applyFill="1" applyBorder="1" applyAlignment="1" applyProtection="1">
      <alignment horizontal="center" vertical="center"/>
      <protection locked="0"/>
    </xf>
    <xf numFmtId="0" fontId="56" fillId="3" borderId="0" xfId="0" applyFont="1" applyFill="1" applyAlignment="1" applyProtection="1">
      <alignment horizontal="center" vertical="center"/>
    </xf>
    <xf numFmtId="37" fontId="55" fillId="3" borderId="0" xfId="0" applyNumberFormat="1" applyFont="1" applyFill="1" applyAlignment="1" applyProtection="1">
      <alignment horizontal="center" vertical="center"/>
    </xf>
    <xf numFmtId="0" fontId="55" fillId="3" borderId="0" xfId="0" applyFont="1" applyFill="1" applyAlignment="1" applyProtection="1">
      <alignment horizontal="center" vertical="center"/>
    </xf>
    <xf numFmtId="0" fontId="55" fillId="0" borderId="0" xfId="0" applyFont="1" applyAlignment="1">
      <alignment vertical="center"/>
    </xf>
    <xf numFmtId="0" fontId="56" fillId="18" borderId="0" xfId="0" applyFont="1" applyFill="1" applyAlignment="1" applyProtection="1">
      <alignment horizontal="center" vertical="center"/>
    </xf>
    <xf numFmtId="0" fontId="55" fillId="0" borderId="0" xfId="0" applyFont="1" applyAlignment="1">
      <alignment horizontal="right" vertical="center"/>
    </xf>
    <xf numFmtId="37" fontId="56" fillId="18" borderId="0" xfId="0" applyNumberFormat="1" applyFont="1" applyFill="1" applyAlignment="1" applyProtection="1">
      <alignment horizontal="center" vertical="center"/>
    </xf>
    <xf numFmtId="164" fontId="55" fillId="3" borderId="1" xfId="0" applyNumberFormat="1" applyFont="1" applyFill="1" applyBorder="1" applyAlignment="1" applyProtection="1">
      <alignment horizontal="center" vertical="center"/>
    </xf>
    <xf numFmtId="3" fontId="55" fillId="3" borderId="2" xfId="0" applyNumberFormat="1" applyFont="1" applyFill="1" applyBorder="1" applyAlignment="1" applyProtection="1">
      <alignment horizontal="center" vertical="center"/>
    </xf>
    <xf numFmtId="3" fontId="55" fillId="13" borderId="1" xfId="0" applyNumberFormat="1" applyFont="1" applyFill="1" applyBorder="1" applyAlignment="1" applyProtection="1">
      <alignment horizontal="center" vertical="center"/>
    </xf>
    <xf numFmtId="164" fontId="55" fillId="13" borderId="1" xfId="0" applyNumberFormat="1" applyFont="1" applyFill="1" applyBorder="1" applyAlignment="1" applyProtection="1">
      <alignment horizontal="center" vertical="center"/>
    </xf>
    <xf numFmtId="171" fontId="55" fillId="13" borderId="1" xfId="0" applyNumberFormat="1" applyFont="1" applyFill="1" applyBorder="1" applyAlignment="1" applyProtection="1">
      <alignment horizontal="center" vertical="center"/>
    </xf>
    <xf numFmtId="3" fontId="55" fillId="3" borderId="3" xfId="0" applyNumberFormat="1" applyFont="1" applyFill="1" applyBorder="1" applyAlignment="1" applyProtection="1">
      <alignment horizontal="center" vertical="center"/>
    </xf>
    <xf numFmtId="164" fontId="55" fillId="3" borderId="0" xfId="0" applyNumberFormat="1" applyFont="1" applyFill="1" applyBorder="1" applyAlignment="1" applyProtection="1">
      <alignment horizontal="center" vertical="center"/>
    </xf>
    <xf numFmtId="3" fontId="55" fillId="3" borderId="0" xfId="0" applyNumberFormat="1" applyFont="1" applyFill="1" applyBorder="1" applyAlignment="1" applyProtection="1">
      <alignment horizontal="center" vertical="center"/>
    </xf>
    <xf numFmtId="171" fontId="55" fillId="3" borderId="0" xfId="0" applyNumberFormat="1" applyFont="1" applyFill="1" applyBorder="1" applyAlignment="1" applyProtection="1">
      <alignment horizontal="center" vertical="center"/>
    </xf>
    <xf numFmtId="166" fontId="55" fillId="3" borderId="0" xfId="0" applyNumberFormat="1" applyFont="1" applyFill="1" applyAlignment="1" applyProtection="1">
      <alignment horizontal="center" vertical="center"/>
    </xf>
    <xf numFmtId="0" fontId="56" fillId="3" borderId="0" xfId="0" applyFont="1" applyFill="1" applyAlignment="1" applyProtection="1">
      <alignment horizontal="centerContinuous" vertical="center"/>
    </xf>
    <xf numFmtId="0" fontId="56" fillId="3" borderId="0" xfId="0" applyFont="1" applyFill="1" applyAlignment="1" applyProtection="1">
      <alignment horizontal="center" vertical="center" wrapText="1"/>
    </xf>
    <xf numFmtId="0" fontId="55" fillId="3" borderId="0" xfId="0" quotePrefix="1" applyFont="1" applyFill="1" applyAlignment="1" applyProtection="1">
      <alignment horizontal="left" vertical="center"/>
    </xf>
    <xf numFmtId="3" fontId="55" fillId="3" borderId="0" xfId="0" quotePrefix="1" applyNumberFormat="1" applyFont="1" applyFill="1" applyAlignment="1" applyProtection="1">
      <alignment vertical="center"/>
    </xf>
    <xf numFmtId="3" fontId="55" fillId="3" borderId="4" xfId="0" applyNumberFormat="1" applyFont="1" applyFill="1" applyBorder="1" applyAlignment="1" applyProtection="1">
      <alignment vertical="center"/>
    </xf>
    <xf numFmtId="3" fontId="55" fillId="19" borderId="5" xfId="0" applyNumberFormat="1" applyFont="1" applyFill="1" applyBorder="1" applyAlignment="1" applyProtection="1">
      <alignment vertical="center"/>
      <protection locked="0"/>
    </xf>
    <xf numFmtId="0" fontId="55" fillId="3" borderId="0" xfId="0" quotePrefix="1" applyFont="1" applyFill="1" applyAlignment="1" applyProtection="1">
      <alignment horizontal="right" vertical="center"/>
    </xf>
    <xf numFmtId="3" fontId="55" fillId="3" borderId="5" xfId="0" applyNumberFormat="1" applyFont="1" applyFill="1" applyBorder="1" applyAlignment="1" applyProtection="1">
      <alignment vertical="center"/>
    </xf>
    <xf numFmtId="0" fontId="55" fillId="3" borderId="0" xfId="0" quotePrefix="1" applyFont="1" applyFill="1" applyAlignment="1" applyProtection="1">
      <alignment vertical="center"/>
    </xf>
    <xf numFmtId="0" fontId="55" fillId="0" borderId="0" xfId="0" applyFont="1" applyAlignment="1">
      <alignment horizontal="left" vertical="center"/>
    </xf>
    <xf numFmtId="0" fontId="55" fillId="3" borderId="0" xfId="0" quotePrefix="1" applyFont="1" applyFill="1" applyAlignment="1" applyProtection="1">
      <alignment horizontal="left" vertical="top"/>
    </xf>
    <xf numFmtId="3" fontId="55" fillId="3" borderId="4" xfId="0" applyNumberFormat="1" applyFont="1" applyFill="1" applyBorder="1" applyAlignment="1" applyProtection="1">
      <alignment vertical="center"/>
      <protection locked="0"/>
    </xf>
    <xf numFmtId="3" fontId="55" fillId="19" borderId="4" xfId="0" applyNumberFormat="1" applyFont="1" applyFill="1" applyBorder="1" applyAlignment="1" applyProtection="1">
      <alignment vertical="center"/>
    </xf>
    <xf numFmtId="0" fontId="55" fillId="3" borderId="0" xfId="0" quotePrefix="1" applyFont="1" applyFill="1" applyAlignment="1" applyProtection="1">
      <alignment horizontal="left"/>
    </xf>
    <xf numFmtId="181" fontId="55" fillId="3" borderId="4" xfId="0" applyNumberFormat="1" applyFont="1" applyFill="1" applyBorder="1" applyAlignment="1" applyProtection="1">
      <alignment vertical="center"/>
    </xf>
    <xf numFmtId="0" fontId="55" fillId="3" borderId="0" xfId="0" quotePrefix="1" applyFont="1" applyFill="1" applyBorder="1" applyAlignment="1" applyProtection="1">
      <alignment vertical="center"/>
    </xf>
    <xf numFmtId="0" fontId="55" fillId="3" borderId="0" xfId="30" quotePrefix="1" applyFont="1" applyFill="1" applyAlignment="1" applyProtection="1">
      <alignment horizontal="left"/>
    </xf>
    <xf numFmtId="3" fontId="55" fillId="3" borderId="0" xfId="30" applyNumberFormat="1" applyFont="1" applyFill="1" applyBorder="1" applyAlignment="1" applyProtection="1">
      <alignment vertical="center"/>
    </xf>
    <xf numFmtId="10" fontId="55" fillId="3" borderId="4" xfId="30" applyNumberFormat="1" applyFont="1" applyFill="1" applyBorder="1" applyAlignment="1" applyProtection="1">
      <alignment vertical="center"/>
    </xf>
    <xf numFmtId="10" fontId="55" fillId="3" borderId="0" xfId="30" applyNumberFormat="1" applyFont="1" applyFill="1" applyBorder="1" applyAlignment="1" applyProtection="1">
      <alignment vertical="center"/>
    </xf>
    <xf numFmtId="0" fontId="55" fillId="3" borderId="0" xfId="30" applyFont="1" applyFill="1" applyAlignment="1" applyProtection="1">
      <alignment horizontal="left" vertical="center"/>
    </xf>
    <xf numFmtId="3" fontId="55" fillId="3" borderId="4" xfId="30" applyNumberFormat="1" applyFont="1" applyFill="1" applyBorder="1" applyAlignment="1" applyProtection="1">
      <alignment vertical="center"/>
    </xf>
    <xf numFmtId="0" fontId="55" fillId="3" borderId="0" xfId="30" quotePrefix="1" applyFont="1" applyFill="1" applyAlignment="1" applyProtection="1">
      <alignment vertical="center"/>
    </xf>
    <xf numFmtId="3" fontId="55" fillId="3" borderId="0" xfId="30" applyNumberFormat="1" applyFont="1" applyFill="1" applyAlignment="1" applyProtection="1">
      <alignment vertical="center"/>
    </xf>
    <xf numFmtId="0" fontId="56" fillId="3" borderId="0" xfId="30" quotePrefix="1" applyFont="1" applyFill="1" applyAlignment="1" applyProtection="1">
      <alignment vertical="center"/>
    </xf>
    <xf numFmtId="0" fontId="56" fillId="12" borderId="0" xfId="30" applyFont="1" applyFill="1" applyAlignment="1" applyProtection="1">
      <alignment vertical="center"/>
    </xf>
    <xf numFmtId="0" fontId="80" fillId="3" borderId="0" xfId="30" applyFont="1" applyFill="1" applyAlignment="1" applyProtection="1">
      <alignment horizontal="center" vertical="center"/>
    </xf>
    <xf numFmtId="3" fontId="56" fillId="12" borderId="5" xfId="30" applyNumberFormat="1" applyFont="1" applyFill="1" applyBorder="1" applyAlignment="1" applyProtection="1">
      <alignment vertical="center"/>
    </xf>
    <xf numFmtId="0" fontId="80" fillId="3" borderId="0" xfId="30" applyFont="1" applyFill="1" applyAlignment="1" applyProtection="1">
      <alignment horizontal="left" vertical="center"/>
    </xf>
    <xf numFmtId="0" fontId="55" fillId="3" borderId="0" xfId="30" applyFont="1" applyFill="1" applyAlignment="1" applyProtection="1">
      <alignment horizontal="centerContinuous" vertical="center" wrapText="1"/>
    </xf>
    <xf numFmtId="0" fontId="55" fillId="18" borderId="0" xfId="0" applyFont="1" applyFill="1" applyAlignment="1" applyProtection="1">
      <alignment vertical="center"/>
    </xf>
    <xf numFmtId="37" fontId="55" fillId="18" borderId="0" xfId="0" applyNumberFormat="1" applyFont="1" applyFill="1" applyAlignment="1" applyProtection="1">
      <alignment vertical="center"/>
    </xf>
    <xf numFmtId="1" fontId="55" fillId="18" borderId="0" xfId="0" applyNumberFormat="1" applyFont="1" applyFill="1" applyBorder="1" applyAlignment="1" applyProtection="1">
      <alignment horizontal="center" vertical="center"/>
    </xf>
    <xf numFmtId="0" fontId="55" fillId="0" borderId="0" xfId="0" applyFont="1"/>
    <xf numFmtId="0" fontId="56" fillId="18" borderId="0" xfId="0" applyFont="1" applyFill="1" applyAlignment="1" applyProtection="1">
      <alignment horizontal="centerContinuous" vertical="center"/>
    </xf>
    <xf numFmtId="0" fontId="55" fillId="18" borderId="0" xfId="0" applyFont="1" applyFill="1" applyBorder="1" applyAlignment="1" applyProtection="1">
      <alignment horizontal="right" vertical="center"/>
    </xf>
    <xf numFmtId="0" fontId="55" fillId="18" borderId="0" xfId="0" applyFont="1" applyFill="1" applyBorder="1" applyAlignment="1" applyProtection="1">
      <alignment vertical="center"/>
    </xf>
    <xf numFmtId="0" fontId="56" fillId="18" borderId="0" xfId="0" applyFont="1" applyFill="1" applyAlignment="1" applyProtection="1">
      <alignment horizontal="left" vertical="center"/>
    </xf>
    <xf numFmtId="0" fontId="55" fillId="18" borderId="0" xfId="0" applyFont="1" applyFill="1" applyBorder="1" applyAlignment="1" applyProtection="1">
      <alignment horizontal="center" vertical="top"/>
    </xf>
    <xf numFmtId="0" fontId="56" fillId="18" borderId="0" xfId="0" applyFont="1" applyFill="1" applyBorder="1" applyAlignment="1" applyProtection="1">
      <alignment horizontal="center" vertical="center"/>
    </xf>
    <xf numFmtId="0" fontId="56" fillId="18" borderId="0" xfId="0" applyFont="1" applyFill="1" applyBorder="1" applyAlignment="1" applyProtection="1">
      <alignment horizontal="center" vertical="center" wrapText="1"/>
    </xf>
    <xf numFmtId="0" fontId="55" fillId="18" borderId="0" xfId="0" quotePrefix="1" applyFont="1" applyFill="1" applyBorder="1" applyAlignment="1" applyProtection="1">
      <alignment horizontal="left" vertical="center"/>
    </xf>
    <xf numFmtId="3" fontId="56" fillId="18" borderId="0" xfId="0" applyNumberFormat="1" applyFont="1" applyFill="1" applyBorder="1" applyAlignment="1" applyProtection="1">
      <alignment horizontal="left" vertical="center"/>
    </xf>
    <xf numFmtId="3" fontId="55" fillId="18" borderId="0" xfId="0" applyNumberFormat="1" applyFont="1" applyFill="1" applyBorder="1" applyAlignment="1" applyProtection="1">
      <alignment vertical="center"/>
    </xf>
    <xf numFmtId="3" fontId="55" fillId="18" borderId="0" xfId="0" quotePrefix="1" applyNumberFormat="1" applyFont="1" applyFill="1" applyBorder="1" applyAlignment="1" applyProtection="1">
      <alignment vertical="center"/>
    </xf>
    <xf numFmtId="3" fontId="55" fillId="18" borderId="0" xfId="0" applyNumberFormat="1" applyFont="1" applyFill="1" applyBorder="1" applyAlignment="1" applyProtection="1">
      <alignment vertical="center"/>
      <protection locked="0"/>
    </xf>
    <xf numFmtId="3" fontId="55" fillId="18" borderId="0" xfId="0" quotePrefix="1" applyNumberFormat="1" applyFont="1" applyFill="1" applyAlignment="1" applyProtection="1">
      <alignment vertical="center"/>
    </xf>
    <xf numFmtId="3" fontId="55" fillId="18" borderId="0" xfId="0" applyNumberFormat="1" applyFont="1" applyFill="1" applyBorder="1" applyAlignment="1" applyProtection="1"/>
    <xf numFmtId="0" fontId="56" fillId="18" borderId="0" xfId="0" quotePrefix="1" applyFont="1" applyFill="1" applyBorder="1" applyAlignment="1" applyProtection="1">
      <alignment horizontal="left" vertical="center"/>
    </xf>
    <xf numFmtId="0" fontId="56" fillId="18" borderId="0" xfId="0" applyFont="1" applyFill="1" applyBorder="1" applyAlignment="1" applyProtection="1">
      <alignment vertical="center"/>
    </xf>
    <xf numFmtId="3" fontId="56" fillId="18" borderId="0" xfId="0" quotePrefix="1" applyNumberFormat="1" applyFont="1" applyFill="1" applyBorder="1" applyAlignment="1" applyProtection="1">
      <alignment vertical="center"/>
    </xf>
    <xf numFmtId="3" fontId="56" fillId="18" borderId="0" xfId="0" applyNumberFormat="1" applyFont="1" applyFill="1" applyBorder="1" applyAlignment="1" applyProtection="1">
      <alignment vertical="center"/>
    </xf>
    <xf numFmtId="3" fontId="55" fillId="18" borderId="4" xfId="0" applyNumberFormat="1" applyFont="1" applyFill="1" applyBorder="1" applyAlignment="1" applyProtection="1">
      <alignment vertical="center"/>
    </xf>
    <xf numFmtId="0" fontId="55" fillId="18" borderId="0" xfId="0" quotePrefix="1" applyFont="1" applyFill="1" applyBorder="1" applyAlignment="1" applyProtection="1">
      <alignment horizontal="right" vertical="center"/>
    </xf>
    <xf numFmtId="0" fontId="55" fillId="18" borderId="0" xfId="0" quotePrefix="1" applyFont="1" applyFill="1" applyBorder="1" applyAlignment="1" applyProtection="1">
      <alignment vertical="center"/>
    </xf>
    <xf numFmtId="3" fontId="56" fillId="18" borderId="5" xfId="0" applyNumberFormat="1" applyFont="1" applyFill="1" applyBorder="1" applyAlignment="1" applyProtection="1">
      <alignment vertical="center"/>
    </xf>
    <xf numFmtId="3" fontId="55" fillId="19" borderId="0" xfId="0" applyNumberFormat="1" applyFont="1" applyFill="1" applyBorder="1" applyAlignment="1" applyProtection="1">
      <alignment vertical="center"/>
    </xf>
    <xf numFmtId="0" fontId="55" fillId="18" borderId="0" xfId="0" applyFont="1" applyFill="1" applyBorder="1" applyAlignment="1" applyProtection="1">
      <alignment horizontal="left" vertical="center"/>
    </xf>
    <xf numFmtId="3" fontId="56" fillId="18" borderId="0" xfId="0" applyNumberFormat="1" applyFont="1" applyFill="1" applyBorder="1" applyAlignment="1" applyProtection="1">
      <alignment horizontal="center" vertical="center"/>
    </xf>
    <xf numFmtId="173" fontId="55" fillId="19" borderId="0" xfId="0" applyNumberFormat="1" applyFont="1" applyFill="1" applyBorder="1" applyAlignment="1" applyProtection="1">
      <alignment vertical="center"/>
    </xf>
    <xf numFmtId="0" fontId="55" fillId="18" borderId="0" xfId="30" quotePrefix="1" applyFont="1" applyFill="1" applyBorder="1" applyAlignment="1" applyProtection="1">
      <alignment vertical="center"/>
    </xf>
    <xf numFmtId="0" fontId="55" fillId="18" borderId="0" xfId="30" applyFont="1" applyFill="1" applyBorder="1" applyAlignment="1" applyProtection="1">
      <alignment vertical="center"/>
    </xf>
    <xf numFmtId="3" fontId="55" fillId="18" borderId="0" xfId="30" applyNumberFormat="1" applyFont="1" applyFill="1" applyBorder="1" applyAlignment="1" applyProtection="1">
      <alignment vertical="center"/>
    </xf>
    <xf numFmtId="0" fontId="55" fillId="18" borderId="0" xfId="30" quotePrefix="1" applyFont="1" applyFill="1" applyBorder="1" applyAlignment="1" applyProtection="1">
      <alignment horizontal="left" vertical="center"/>
    </xf>
    <xf numFmtId="10" fontId="55" fillId="18" borderId="0" xfId="30" applyNumberFormat="1" applyFont="1" applyFill="1" applyBorder="1" applyAlignment="1" applyProtection="1">
      <alignment vertical="center"/>
    </xf>
    <xf numFmtId="0" fontId="56" fillId="18" borderId="0" xfId="30" applyFont="1" applyFill="1" applyBorder="1" applyAlignment="1" applyProtection="1">
      <alignment vertical="center"/>
    </xf>
    <xf numFmtId="0" fontId="55" fillId="18" borderId="0" xfId="30" applyFont="1" applyFill="1" applyBorder="1" applyAlignment="1" applyProtection="1">
      <alignment horizontal="left" vertical="center"/>
    </xf>
    <xf numFmtId="3" fontId="56" fillId="18" borderId="0" xfId="30" applyNumberFormat="1" applyFont="1" applyFill="1" applyBorder="1" applyAlignment="1" applyProtection="1">
      <alignment vertical="center"/>
    </xf>
    <xf numFmtId="0" fontId="56" fillId="18" borderId="0" xfId="30" quotePrefix="1" applyFont="1" applyFill="1" applyBorder="1" applyAlignment="1" applyProtection="1">
      <alignment vertical="center"/>
    </xf>
    <xf numFmtId="0" fontId="80" fillId="18" borderId="0" xfId="30" applyFont="1" applyFill="1" applyBorder="1" applyAlignment="1" applyProtection="1">
      <alignment horizontal="center" vertical="center"/>
    </xf>
    <xf numFmtId="0" fontId="80" fillId="18" borderId="0" xfId="30" applyFont="1" applyFill="1" applyAlignment="1" applyProtection="1">
      <alignment horizontal="center" vertical="center"/>
    </xf>
    <xf numFmtId="0" fontId="80" fillId="18" borderId="0" xfId="30" applyFont="1" applyFill="1" applyAlignment="1" applyProtection="1">
      <alignment horizontal="left" vertical="center"/>
    </xf>
    <xf numFmtId="0" fontId="55" fillId="18" borderId="0" xfId="30" applyFont="1" applyFill="1" applyAlignment="1" applyProtection="1">
      <alignment horizontal="left" vertical="center"/>
    </xf>
    <xf numFmtId="0" fontId="80" fillId="0" borderId="0" xfId="30" applyFont="1" applyFill="1" applyAlignment="1" applyProtection="1">
      <alignment horizontal="center" vertical="center"/>
    </xf>
    <xf numFmtId="0" fontId="80" fillId="0" borderId="0" xfId="30" applyFont="1" applyFill="1" applyAlignment="1" applyProtection="1">
      <alignment horizontal="left" vertical="center"/>
    </xf>
    <xf numFmtId="0" fontId="55" fillId="0" borderId="0" xfId="30" applyFont="1" applyFill="1" applyAlignment="1" applyProtection="1">
      <alignment horizontal="left" vertical="center"/>
    </xf>
    <xf numFmtId="3" fontId="55" fillId="0" borderId="0" xfId="30" applyNumberFormat="1" applyFont="1" applyFill="1" applyBorder="1" applyAlignment="1" applyProtection="1">
      <alignment vertical="center"/>
    </xf>
    <xf numFmtId="0" fontId="55" fillId="0" borderId="0" xfId="30" applyFont="1" applyFill="1" applyAlignment="1" applyProtection="1">
      <alignment horizontal="centerContinuous" vertical="center" wrapText="1"/>
    </xf>
    <xf numFmtId="0" fontId="55" fillId="0" borderId="0" xfId="30" applyFont="1" applyFill="1" applyAlignment="1" applyProtection="1">
      <alignment horizontal="left" vertical="center" wrapText="1"/>
    </xf>
    <xf numFmtId="0" fontId="55" fillId="0" borderId="0" xfId="0" applyFont="1" applyFill="1"/>
    <xf numFmtId="37" fontId="12" fillId="3" borderId="0" xfId="0" applyNumberFormat="1" applyFont="1" applyFill="1" applyAlignment="1" applyProtection="1">
      <alignment horizontal="center" vertical="center"/>
    </xf>
    <xf numFmtId="0" fontId="13" fillId="0" borderId="0" xfId="0" applyFont="1" applyAlignment="1">
      <alignment horizontal="center" vertical="center"/>
    </xf>
    <xf numFmtId="37" fontId="10" fillId="3" borderId="0" xfId="0" applyNumberFormat="1" applyFont="1" applyFill="1" applyAlignment="1" applyProtection="1">
      <alignment horizontal="center" vertical="center"/>
    </xf>
    <xf numFmtId="0" fontId="0" fillId="0" borderId="0" xfId="0" applyAlignment="1">
      <alignment horizontal="center" vertical="center"/>
    </xf>
    <xf numFmtId="37" fontId="3" fillId="3" borderId="0" xfId="30" applyNumberFormat="1" applyFont="1" applyFill="1" applyAlignment="1" applyProtection="1">
      <alignment vertical="center" wrapText="1"/>
    </xf>
    <xf numFmtId="0" fontId="4" fillId="3" borderId="13" xfId="30" applyFont="1" applyFill="1" applyBorder="1" applyAlignment="1" applyProtection="1">
      <alignment vertical="center" wrapText="1"/>
    </xf>
    <xf numFmtId="0" fontId="2" fillId="0" borderId="14" xfId="30" applyBorder="1" applyAlignment="1">
      <alignment vertical="center" wrapText="1"/>
    </xf>
    <xf numFmtId="0" fontId="2" fillId="0" borderId="6" xfId="30" applyBorder="1" applyAlignment="1">
      <alignment vertical="center" wrapText="1"/>
    </xf>
    <xf numFmtId="0" fontId="2" fillId="0" borderId="16" xfId="30" applyBorder="1" applyAlignment="1">
      <alignment vertical="center" wrapText="1"/>
    </xf>
    <xf numFmtId="0" fontId="2" fillId="0" borderId="12" xfId="30" applyBorder="1" applyAlignment="1">
      <alignment vertical="center" wrapText="1"/>
    </xf>
    <xf numFmtId="0" fontId="2" fillId="0" borderId="7" xfId="30" applyBorder="1" applyAlignment="1">
      <alignment vertical="center" wrapText="1"/>
    </xf>
    <xf numFmtId="0" fontId="14" fillId="3" borderId="0" xfId="0" applyFont="1" applyFill="1" applyBorder="1" applyAlignment="1">
      <alignment vertical="center"/>
    </xf>
    <xf numFmtId="0" fontId="16" fillId="0" borderId="0" xfId="0" applyFont="1" applyAlignment="1">
      <alignment vertical="center"/>
    </xf>
    <xf numFmtId="37" fontId="10" fillId="3" borderId="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4" fillId="5" borderId="9" xfId="0" applyFont="1" applyFill="1" applyBorder="1" applyAlignment="1">
      <alignment vertical="center" wrapText="1"/>
    </xf>
    <xf numFmtId="0" fontId="0" fillId="0" borderId="9" xfId="0" applyBorder="1" applyAlignment="1">
      <alignment vertical="center" wrapText="1"/>
    </xf>
    <xf numFmtId="0" fontId="3" fillId="4" borderId="10" xfId="0" applyFont="1" applyFill="1" applyBorder="1" applyAlignment="1">
      <alignment horizontal="center" vertical="center"/>
    </xf>
    <xf numFmtId="0" fontId="1" fillId="4" borderId="8" xfId="0" applyFont="1" applyFill="1" applyBorder="1" applyAlignment="1">
      <alignment horizontal="center" vertical="center"/>
    </xf>
    <xf numFmtId="0" fontId="4" fillId="0" borderId="0" xfId="480" applyFont="1" applyAlignment="1">
      <alignment horizontal="left" vertical="center" wrapText="1"/>
    </xf>
    <xf numFmtId="0" fontId="24" fillId="0" borderId="0" xfId="480" applyAlignment="1">
      <alignment horizontal="left" vertical="center" wrapText="1"/>
    </xf>
    <xf numFmtId="0" fontId="10" fillId="0" borderId="0" xfId="480" applyFont="1" applyAlignment="1">
      <alignment horizontal="left" vertical="center"/>
    </xf>
    <xf numFmtId="37" fontId="57" fillId="3" borderId="0" xfId="0" applyNumberFormat="1" applyFont="1" applyFill="1" applyAlignment="1" applyProtection="1">
      <alignment horizontal="center" vertical="center"/>
    </xf>
    <xf numFmtId="0" fontId="56" fillId="3" borderId="0" xfId="0" applyFont="1" applyFill="1" applyAlignment="1" applyProtection="1">
      <alignment horizontal="center" vertical="center"/>
    </xf>
    <xf numFmtId="37" fontId="55" fillId="3" borderId="0" xfId="0" applyNumberFormat="1" applyFont="1" applyFill="1" applyAlignment="1" applyProtection="1">
      <alignment horizontal="center" vertical="center"/>
    </xf>
    <xf numFmtId="0" fontId="55" fillId="0" borderId="0" xfId="0" applyFont="1" applyAlignment="1" applyProtection="1">
      <alignment horizontal="center" vertical="center"/>
    </xf>
    <xf numFmtId="0" fontId="55" fillId="3" borderId="0" xfId="0" applyFont="1" applyFill="1" applyAlignment="1" applyProtection="1">
      <alignment horizontal="center" vertical="center"/>
    </xf>
    <xf numFmtId="0" fontId="55" fillId="0" borderId="0" xfId="0" applyFont="1" applyAlignment="1">
      <alignment vertical="center"/>
    </xf>
    <xf numFmtId="0" fontId="59" fillId="4" borderId="2" xfId="0" applyFont="1" applyFill="1" applyBorder="1" applyAlignment="1" applyProtection="1">
      <alignment horizontal="center" vertical="center" wrapText="1" shrinkToFit="1"/>
    </xf>
    <xf numFmtId="0" fontId="55" fillId="0" borderId="3" xfId="0" applyFont="1" applyBorder="1" applyAlignment="1">
      <alignment horizontal="center" vertical="center" wrapText="1"/>
    </xf>
    <xf numFmtId="0" fontId="56" fillId="18" borderId="0" xfId="0" applyFont="1" applyFill="1" applyAlignment="1" applyProtection="1">
      <alignment horizontal="center" vertical="center"/>
    </xf>
    <xf numFmtId="0" fontId="55" fillId="3" borderId="0" xfId="31" applyFont="1" applyFill="1" applyAlignment="1">
      <alignment horizontal="center" vertical="center"/>
    </xf>
    <xf numFmtId="0" fontId="55" fillId="0" borderId="0" xfId="0" applyFont="1" applyAlignment="1">
      <alignment horizontal="center" vertical="center"/>
    </xf>
    <xf numFmtId="0" fontId="55" fillId="3" borderId="0" xfId="30" applyFont="1" applyFill="1" applyAlignment="1" applyProtection="1">
      <alignment horizontal="center" vertical="center"/>
    </xf>
    <xf numFmtId="0" fontId="3" fillId="18" borderId="0" xfId="0" applyFont="1" applyFill="1" applyAlignment="1" applyProtection="1">
      <alignment horizontal="center" vertical="center"/>
    </xf>
    <xf numFmtId="0" fontId="4" fillId="18" borderId="0" xfId="30" applyFont="1" applyFill="1" applyAlignment="1" applyProtection="1">
      <alignment horizontal="center" vertical="center"/>
    </xf>
    <xf numFmtId="0" fontId="56" fillId="18" borderId="0" xfId="0" applyFont="1" applyFill="1" applyBorder="1" applyAlignment="1" applyProtection="1">
      <alignment horizontal="center" vertical="center"/>
    </xf>
    <xf numFmtId="0" fontId="55" fillId="18" borderId="0" xfId="0" applyFont="1" applyFill="1" applyBorder="1" applyAlignment="1">
      <alignment horizontal="center" vertical="center"/>
    </xf>
    <xf numFmtId="0" fontId="55" fillId="0" borderId="0" xfId="30" applyFont="1" applyFill="1" applyAlignment="1" applyProtection="1">
      <alignment horizontal="center" vertical="center"/>
    </xf>
    <xf numFmtId="0" fontId="55" fillId="0" borderId="0" xfId="31" applyFont="1" applyFill="1" applyAlignment="1">
      <alignment horizontal="center" vertical="center"/>
    </xf>
    <xf numFmtId="37" fontId="55" fillId="3" borderId="10" xfId="0" applyNumberFormat="1" applyFont="1" applyFill="1" applyBorder="1" applyAlignment="1" applyProtection="1">
      <alignment horizontal="center" vertical="center"/>
    </xf>
    <xf numFmtId="0" fontId="55" fillId="0" borderId="5" xfId="0" applyFont="1" applyBorder="1" applyAlignment="1">
      <alignment horizontal="center" vertical="center"/>
    </xf>
    <xf numFmtId="0" fontId="55" fillId="0" borderId="8" xfId="0" applyFont="1" applyBorder="1" applyAlignment="1">
      <alignment horizontal="center" vertical="center"/>
    </xf>
    <xf numFmtId="37" fontId="56" fillId="3" borderId="0" xfId="30" applyNumberFormat="1" applyFont="1" applyFill="1" applyAlignment="1" applyProtection="1">
      <alignment horizontal="center" vertical="center"/>
    </xf>
    <xf numFmtId="0" fontId="55" fillId="0" borderId="0" xfId="30" applyFont="1" applyAlignment="1">
      <alignment horizontal="center" vertical="center"/>
    </xf>
    <xf numFmtId="0" fontId="55" fillId="3" borderId="12" xfId="0" applyFont="1" applyFill="1" applyBorder="1" applyAlignment="1" applyProtection="1">
      <alignment horizontal="center" vertical="center"/>
    </xf>
    <xf numFmtId="0" fontId="55" fillId="0" borderId="7" xfId="0" applyFont="1" applyBorder="1" applyAlignment="1" applyProtection="1">
      <alignment vertical="center"/>
    </xf>
    <xf numFmtId="1" fontId="55" fillId="3" borderId="12" xfId="0" applyNumberFormat="1" applyFont="1" applyFill="1" applyBorder="1" applyAlignment="1" applyProtection="1">
      <alignment horizontal="center" vertical="center"/>
    </xf>
    <xf numFmtId="0" fontId="55" fillId="0" borderId="7" xfId="0" applyFont="1" applyBorder="1" applyAlignment="1" applyProtection="1">
      <alignment horizontal="center" vertical="center"/>
    </xf>
    <xf numFmtId="0" fontId="10" fillId="12" borderId="0" xfId="500" applyFont="1" applyFill="1" applyAlignment="1">
      <alignment horizontal="center"/>
    </xf>
    <xf numFmtId="0" fontId="2" fillId="12" borderId="0" xfId="40" applyFill="1" applyAlignment="1">
      <alignment horizontal="center"/>
    </xf>
    <xf numFmtId="0" fontId="3" fillId="12" borderId="0" xfId="40" applyFont="1" applyFill="1" applyAlignment="1">
      <alignment horizontal="center" vertical="center"/>
    </xf>
    <xf numFmtId="0" fontId="10" fillId="12" borderId="0" xfId="40" applyFont="1" applyFill="1" applyAlignment="1">
      <alignment horizontal="center" vertical="center"/>
    </xf>
    <xf numFmtId="0" fontId="4" fillId="12" borderId="0" xfId="40" applyFont="1" applyFill="1" applyAlignment="1">
      <alignment vertical="center" wrapText="1"/>
    </xf>
    <xf numFmtId="0" fontId="55" fillId="3" borderId="9" xfId="0" applyNumberFormat="1" applyFont="1" applyFill="1" applyBorder="1" applyAlignment="1" applyProtection="1">
      <alignment horizontal="right" vertical="center"/>
    </xf>
    <xf numFmtId="0" fontId="55" fillId="0" borderId="9" xfId="0" applyFont="1" applyBorder="1" applyAlignment="1">
      <alignment horizontal="right" vertical="center"/>
    </xf>
    <xf numFmtId="0" fontId="55" fillId="3" borderId="0" xfId="0" applyNumberFormat="1" applyFont="1" applyFill="1" applyBorder="1" applyAlignment="1" applyProtection="1">
      <alignment horizontal="right" vertical="center"/>
    </xf>
    <xf numFmtId="0" fontId="55" fillId="0" borderId="0" xfId="0" applyFont="1" applyBorder="1" applyAlignment="1">
      <alignment horizontal="right" vertical="center"/>
    </xf>
    <xf numFmtId="0" fontId="55" fillId="3" borderId="4" xfId="0" applyNumberFormat="1" applyFont="1" applyFill="1" applyBorder="1" applyAlignment="1" applyProtection="1">
      <alignment horizontal="right" vertical="center"/>
    </xf>
    <xf numFmtId="0" fontId="55" fillId="0" borderId="4" xfId="0" applyFont="1" applyBorder="1" applyAlignment="1">
      <alignment horizontal="right" vertical="center"/>
    </xf>
    <xf numFmtId="0" fontId="64" fillId="12" borderId="13" xfId="58" applyFont="1" applyFill="1" applyBorder="1" applyAlignment="1" applyProtection="1">
      <alignment horizontal="center" vertical="center"/>
    </xf>
    <xf numFmtId="0" fontId="64" fillId="12" borderId="9" xfId="58" applyFont="1" applyFill="1" applyBorder="1" applyAlignment="1" applyProtection="1">
      <alignment horizontal="center" vertical="center"/>
    </xf>
    <xf numFmtId="0" fontId="55" fillId="0" borderId="14" xfId="58" applyFont="1" applyBorder="1" applyAlignment="1" applyProtection="1">
      <alignment vertical="center"/>
    </xf>
    <xf numFmtId="3" fontId="55" fillId="3" borderId="9" xfId="63" applyNumberFormat="1" applyFont="1" applyFill="1" applyBorder="1" applyAlignment="1" applyProtection="1">
      <alignment horizontal="right" vertical="center"/>
    </xf>
    <xf numFmtId="0" fontId="55" fillId="0" borderId="14" xfId="63" applyFont="1" applyBorder="1" applyAlignment="1">
      <alignment horizontal="right" vertical="center"/>
    </xf>
    <xf numFmtId="0" fontId="55" fillId="3" borderId="0" xfId="63" applyFont="1" applyFill="1" applyAlignment="1" applyProtection="1">
      <alignment horizontal="right" vertical="center"/>
    </xf>
    <xf numFmtId="0" fontId="55" fillId="0" borderId="16" xfId="63" applyFont="1" applyBorder="1" applyAlignment="1">
      <alignment horizontal="right" vertical="center"/>
    </xf>
    <xf numFmtId="0" fontId="55" fillId="0" borderId="0" xfId="0" applyFont="1" applyAlignment="1">
      <alignment horizontal="right" vertical="center"/>
    </xf>
    <xf numFmtId="0" fontId="55" fillId="0" borderId="9" xfId="0" applyFont="1" applyBorder="1" applyAlignment="1">
      <alignment vertical="center"/>
    </xf>
    <xf numFmtId="0" fontId="55" fillId="0" borderId="14" xfId="0" applyFont="1" applyBorder="1" applyAlignment="1">
      <alignment vertical="center"/>
    </xf>
    <xf numFmtId="173" fontId="64" fillId="12" borderId="13" xfId="0" applyNumberFormat="1" applyFont="1" applyFill="1" applyBorder="1" applyAlignment="1" applyProtection="1">
      <alignment horizontal="center"/>
    </xf>
    <xf numFmtId="0" fontId="57" fillId="0" borderId="9" xfId="0" applyFont="1" applyBorder="1" applyAlignment="1"/>
    <xf numFmtId="0" fontId="57" fillId="0" borderId="14" xfId="0" applyFont="1" applyBorder="1" applyAlignment="1"/>
    <xf numFmtId="173" fontId="31" fillId="12" borderId="13" xfId="0" applyNumberFormat="1" applyFont="1" applyFill="1" applyBorder="1" applyAlignment="1" applyProtection="1">
      <alignment horizontal="center"/>
    </xf>
    <xf numFmtId="173" fontId="31" fillId="12" borderId="9" xfId="0" applyNumberFormat="1" applyFont="1" applyFill="1" applyBorder="1" applyAlignment="1" applyProtection="1">
      <alignment horizontal="center"/>
    </xf>
    <xf numFmtId="173" fontId="31" fillId="12" borderId="14" xfId="0" applyNumberFormat="1" applyFont="1" applyFill="1" applyBorder="1" applyAlignment="1" applyProtection="1">
      <alignment horizontal="center"/>
    </xf>
    <xf numFmtId="0" fontId="34" fillId="12" borderId="13" xfId="58" applyFont="1" applyFill="1" applyBorder="1" applyAlignment="1" applyProtection="1">
      <alignment horizontal="center" vertical="center"/>
    </xf>
    <xf numFmtId="0" fontId="0" fillId="0" borderId="9" xfId="0" applyBorder="1" applyAlignment="1">
      <alignment horizontal="center" vertical="center"/>
    </xf>
    <xf numFmtId="0" fontId="0" fillId="0" borderId="14" xfId="0" applyBorder="1" applyAlignment="1">
      <alignment vertical="center"/>
    </xf>
    <xf numFmtId="0" fontId="13" fillId="0" borderId="9" xfId="0" applyFont="1" applyBorder="1" applyAlignment="1"/>
    <xf numFmtId="0" fontId="13" fillId="0" borderId="14" xfId="0" applyFont="1" applyBorder="1" applyAlignment="1"/>
    <xf numFmtId="0" fontId="31" fillId="12" borderId="13" xfId="30" applyFont="1" applyFill="1" applyBorder="1" applyAlignment="1" applyProtection="1">
      <alignment horizontal="center" vertical="center"/>
    </xf>
    <xf numFmtId="0" fontId="31" fillId="12" borderId="9" xfId="30" applyFont="1" applyFill="1" applyBorder="1" applyAlignment="1" applyProtection="1">
      <alignment horizontal="center" vertical="center"/>
    </xf>
    <xf numFmtId="0" fontId="31" fillId="12" borderId="14" xfId="30" applyFont="1" applyFill="1" applyBorder="1" applyAlignment="1" applyProtection="1">
      <alignment horizontal="center" vertical="center"/>
    </xf>
    <xf numFmtId="0" fontId="31" fillId="12" borderId="13" xfId="0" applyFont="1" applyFill="1" applyBorder="1" applyAlignment="1" applyProtection="1">
      <alignment horizontal="center" vertical="center"/>
    </xf>
    <xf numFmtId="0" fontId="0" fillId="0" borderId="9" xfId="0" applyBorder="1" applyAlignment="1">
      <alignment vertical="center"/>
    </xf>
    <xf numFmtId="0" fontId="4" fillId="3"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3" fontId="4" fillId="3" borderId="9" xfId="63" applyNumberFormat="1" applyFont="1" applyFill="1" applyBorder="1" applyAlignment="1" applyProtection="1">
      <alignment horizontal="right" vertical="center"/>
    </xf>
    <xf numFmtId="0" fontId="2" fillId="0" borderId="14" xfId="63" applyBorder="1" applyAlignment="1">
      <alignment horizontal="right" vertical="center"/>
    </xf>
    <xf numFmtId="0" fontId="4" fillId="3" borderId="0" xfId="63" applyFont="1" applyFill="1" applyAlignment="1" applyProtection="1">
      <alignment horizontal="right" vertical="center"/>
    </xf>
    <xf numFmtId="0" fontId="4" fillId="0" borderId="16" xfId="63" applyFont="1" applyBorder="1" applyAlignment="1">
      <alignment horizontal="right" vertical="center"/>
    </xf>
    <xf numFmtId="0" fontId="56" fillId="3" borderId="10" xfId="0" applyFont="1" applyFill="1" applyBorder="1" applyAlignment="1">
      <alignment vertical="center"/>
    </xf>
    <xf numFmtId="0" fontId="56" fillId="3" borderId="8" xfId="0" applyFont="1" applyFill="1" applyBorder="1" applyAlignment="1">
      <alignment vertical="center"/>
    </xf>
    <xf numFmtId="0" fontId="57" fillId="12" borderId="13" xfId="59" applyFont="1" applyFill="1" applyBorder="1" applyAlignment="1" applyProtection="1">
      <alignment horizontal="center"/>
    </xf>
    <xf numFmtId="0" fontId="55" fillId="0" borderId="9" xfId="0" applyFont="1" applyBorder="1" applyAlignment="1">
      <alignment horizontal="center"/>
    </xf>
    <xf numFmtId="0" fontId="55" fillId="0" borderId="14" xfId="0" applyFont="1" applyBorder="1" applyAlignment="1">
      <alignment horizontal="center"/>
    </xf>
    <xf numFmtId="0" fontId="55" fillId="0" borderId="9" xfId="59" applyFont="1" applyBorder="1" applyAlignment="1" applyProtection="1">
      <alignment horizontal="center"/>
    </xf>
    <xf numFmtId="0" fontId="55" fillId="0" borderId="14" xfId="59" applyFont="1" applyBorder="1" applyAlignment="1" applyProtection="1">
      <alignment horizontal="center"/>
    </xf>
    <xf numFmtId="0" fontId="57" fillId="12" borderId="9" xfId="59" applyFont="1" applyFill="1" applyBorder="1" applyAlignment="1" applyProtection="1">
      <alignment horizontal="center"/>
    </xf>
    <xf numFmtId="0" fontId="57" fillId="12" borderId="14" xfId="59" applyFont="1" applyFill="1" applyBorder="1" applyAlignment="1" applyProtection="1">
      <alignment horizontal="center"/>
    </xf>
    <xf numFmtId="49" fontId="56" fillId="3" borderId="4" xfId="0" applyNumberFormat="1" applyFont="1" applyFill="1" applyBorder="1" applyAlignment="1" applyProtection="1">
      <alignment horizontal="center" vertical="center"/>
      <protection locked="0"/>
    </xf>
    <xf numFmtId="0" fontId="56" fillId="3" borderId="4" xfId="0" applyNumberFormat="1" applyFont="1" applyFill="1" applyBorder="1" applyAlignment="1" applyProtection="1">
      <alignment horizontal="center" vertical="center"/>
      <protection locked="0"/>
    </xf>
    <xf numFmtId="37" fontId="56" fillId="18" borderId="0" xfId="0" applyNumberFormat="1" applyFont="1" applyFill="1" applyAlignment="1" applyProtection="1">
      <alignment horizontal="center" vertical="center"/>
    </xf>
    <xf numFmtId="37" fontId="55" fillId="12" borderId="0" xfId="0" applyNumberFormat="1" applyFont="1" applyFill="1" applyAlignment="1" applyProtection="1">
      <alignment horizontal="center" vertical="center"/>
    </xf>
    <xf numFmtId="37" fontId="55" fillId="12" borderId="0" xfId="86" applyNumberFormat="1" applyFont="1" applyFill="1" applyAlignment="1" applyProtection="1">
      <alignment horizontal="center"/>
    </xf>
    <xf numFmtId="0" fontId="4" fillId="3" borderId="0" xfId="0" applyFont="1" applyFill="1" applyAlignment="1">
      <alignment horizontal="right" vertical="center"/>
    </xf>
    <xf numFmtId="0" fontId="0" fillId="0" borderId="0" xfId="0" applyAlignment="1">
      <alignment vertical="center"/>
    </xf>
    <xf numFmtId="0" fontId="0" fillId="0" borderId="0" xfId="0"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36" fillId="12" borderId="25" xfId="0" applyFont="1" applyFill="1" applyBorder="1" applyAlignment="1">
      <alignment vertical="top" wrapText="1"/>
    </xf>
    <xf numFmtId="0" fontId="36" fillId="0" borderId="0" xfId="0" applyFont="1" applyAlignment="1">
      <alignment vertical="top" wrapText="1"/>
    </xf>
    <xf numFmtId="0" fontId="36" fillId="0" borderId="21" xfId="0" applyFont="1" applyBorder="1" applyAlignment="1">
      <alignment vertical="top" wrapText="1"/>
    </xf>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0" borderId="21" xfId="0" applyFont="1" applyBorder="1" applyAlignment="1">
      <alignment horizontal="center"/>
    </xf>
    <xf numFmtId="171" fontId="36" fillId="14" borderId="4" xfId="0" applyNumberFormat="1" applyFont="1" applyFill="1" applyBorder="1" applyAlignment="1" applyProtection="1">
      <alignment horizontal="center"/>
      <protection locked="0"/>
    </xf>
    <xf numFmtId="177" fontId="36" fillId="0" borderId="21" xfId="0" applyNumberFormat="1" applyFont="1" applyBorder="1" applyAlignment="1">
      <alignment horizontal="center"/>
    </xf>
    <xf numFmtId="0" fontId="36" fillId="12" borderId="9" xfId="0" applyFont="1" applyFill="1" applyBorder="1" applyAlignment="1">
      <alignment horizontal="center"/>
    </xf>
    <xf numFmtId="176" fontId="36" fillId="14" borderId="4" xfId="0" applyNumberFormat="1" applyFont="1" applyFill="1" applyBorder="1" applyAlignment="1" applyProtection="1">
      <alignment horizontal="center"/>
      <protection locked="0"/>
    </xf>
    <xf numFmtId="0" fontId="44" fillId="12" borderId="18" xfId="0" applyFont="1" applyFill="1" applyBorder="1" applyAlignment="1">
      <alignment horizontal="center" vertical="center"/>
    </xf>
    <xf numFmtId="0" fontId="44" fillId="12" borderId="0" xfId="0" applyFont="1" applyFill="1" applyAlignment="1">
      <alignment horizontal="center" wrapText="1"/>
    </xf>
    <xf numFmtId="0" fontId="36" fillId="12" borderId="0" xfId="0" applyFont="1" applyFill="1" applyAlignment="1">
      <alignment wrapText="1"/>
    </xf>
    <xf numFmtId="5" fontId="36" fillId="12" borderId="4" xfId="0" applyNumberFormat="1" applyFont="1" applyFill="1" applyBorder="1" applyAlignment="1">
      <alignment horizontal="center"/>
    </xf>
    <xf numFmtId="0" fontId="36" fillId="12" borderId="0" xfId="0" applyFont="1" applyFill="1" applyBorder="1" applyAlignment="1">
      <alignment horizontal="center"/>
    </xf>
    <xf numFmtId="0" fontId="36" fillId="0" borderId="18" xfId="0" applyFont="1" applyBorder="1" applyAlignment="1">
      <alignment horizontal="center" vertical="center"/>
    </xf>
    <xf numFmtId="0" fontId="36" fillId="0" borderId="0" xfId="0" applyFont="1" applyAlignment="1">
      <alignment wrapText="1"/>
    </xf>
    <xf numFmtId="176" fontId="36" fillId="14" borderId="20" xfId="0" applyNumberFormat="1" applyFont="1" applyFill="1" applyBorder="1" applyAlignment="1" applyProtection="1">
      <alignment horizontal="center"/>
      <protection locked="0"/>
    </xf>
    <xf numFmtId="0" fontId="36" fillId="12" borderId="0" xfId="0" applyFont="1" applyFill="1" applyBorder="1" applyAlignment="1"/>
    <xf numFmtId="0" fontId="36" fillId="0" borderId="0" xfId="0" applyFont="1" applyBorder="1" applyAlignment="1"/>
    <xf numFmtId="0" fontId="36" fillId="12" borderId="23" xfId="0" applyFont="1" applyFill="1" applyBorder="1" applyAlignment="1"/>
    <xf numFmtId="0" fontId="36" fillId="12" borderId="24" xfId="0" applyFont="1" applyFill="1" applyBorder="1" applyAlignment="1"/>
    <xf numFmtId="0" fontId="44" fillId="12" borderId="0" xfId="0" applyFont="1" applyFill="1" applyAlignment="1">
      <alignment horizontal="center"/>
    </xf>
    <xf numFmtId="0" fontId="36" fillId="12" borderId="0" xfId="0" applyFont="1" applyFill="1" applyBorder="1" applyAlignment="1">
      <alignment wrapText="1"/>
    </xf>
    <xf numFmtId="0" fontId="44" fillId="12" borderId="0" xfId="0" applyFont="1" applyFill="1" applyBorder="1" applyAlignment="1">
      <alignment horizontal="center" wrapText="1"/>
    </xf>
    <xf numFmtId="0" fontId="36" fillId="0" borderId="0" xfId="0" applyFont="1" applyAlignment="1">
      <alignment horizontal="center" wrapText="1"/>
    </xf>
    <xf numFmtId="0" fontId="44" fillId="0" borderId="0" xfId="0" applyFont="1" applyAlignment="1">
      <alignment horizontal="center" wrapText="1"/>
    </xf>
    <xf numFmtId="0" fontId="44" fillId="12" borderId="0" xfId="0" applyFont="1" applyFill="1" applyAlignment="1">
      <alignment horizontal="center" vertical="center"/>
    </xf>
    <xf numFmtId="0" fontId="44" fillId="0" borderId="0" xfId="0" applyFont="1" applyAlignment="1">
      <alignment horizontal="center" vertical="center"/>
    </xf>
    <xf numFmtId="176" fontId="36" fillId="12" borderId="0" xfId="0" applyNumberFormat="1" applyFont="1" applyFill="1" applyAlignment="1"/>
    <xf numFmtId="176" fontId="36" fillId="12" borderId="0" xfId="0" applyNumberFormat="1" applyFont="1" applyFill="1" applyAlignment="1">
      <alignment horizontal="center"/>
    </xf>
  </cellXfs>
  <cellStyles count="515">
    <cellStyle name="Comma" xfId="1" builtinId="3"/>
    <cellStyle name="Comma 11 2" xfId="2" xr:uid="{00000000-0005-0000-0000-000001000000}"/>
    <cellStyle name="Comma 16" xfId="3" xr:uid="{00000000-0005-0000-0000-000002000000}"/>
    <cellStyle name="Comma 16 2" xfId="4" xr:uid="{00000000-0005-0000-0000-000003000000}"/>
    <cellStyle name="Comma 16 3" xfId="5" xr:uid="{00000000-0005-0000-0000-000004000000}"/>
    <cellStyle name="Comma 17" xfId="6" xr:uid="{00000000-0005-0000-0000-000005000000}"/>
    <cellStyle name="Comma 2 2" xfId="7" xr:uid="{00000000-0005-0000-0000-000006000000}"/>
    <cellStyle name="Comma 3 2" xfId="8" xr:uid="{00000000-0005-0000-0000-000007000000}"/>
    <cellStyle name="Comma 3 3" xfId="9" xr:uid="{00000000-0005-0000-0000-000008000000}"/>
    <cellStyle name="Comma 4 2" xfId="10" xr:uid="{00000000-0005-0000-0000-000009000000}"/>
    <cellStyle name="Comma 6 2" xfId="11" xr:uid="{00000000-0005-0000-0000-00000A000000}"/>
    <cellStyle name="Comma 7" xfId="12" xr:uid="{00000000-0005-0000-0000-00000B000000}"/>
    <cellStyle name="Comma 7 2" xfId="13" xr:uid="{00000000-0005-0000-0000-00000C000000}"/>
    <cellStyle name="Comma 7 3" xfId="14" xr:uid="{00000000-0005-0000-0000-00000D000000}"/>
    <cellStyle name="Hyperlink" xfId="15" builtinId="8"/>
    <cellStyle name="Hyperlink 16" xfId="16" xr:uid="{00000000-0005-0000-0000-00000F000000}"/>
    <cellStyle name="Hyperlink 2 2" xfId="17" xr:uid="{00000000-0005-0000-0000-000010000000}"/>
    <cellStyle name="Hyperlink 2 3" xfId="18" xr:uid="{00000000-0005-0000-0000-000011000000}"/>
    <cellStyle name="Hyperlink 3 2" xfId="19" xr:uid="{00000000-0005-0000-0000-000012000000}"/>
    <cellStyle name="Hyperlink 3 3" xfId="20" xr:uid="{00000000-0005-0000-0000-000013000000}"/>
    <cellStyle name="Hyperlink 3 4" xfId="21" xr:uid="{00000000-0005-0000-0000-000014000000}"/>
    <cellStyle name="Hyperlink 4 2" xfId="22" xr:uid="{00000000-0005-0000-0000-000015000000}"/>
    <cellStyle name="Hyperlink 7" xfId="23" xr:uid="{00000000-0005-0000-0000-000016000000}"/>
    <cellStyle name="Hyperlink 7 2" xfId="24" xr:uid="{00000000-0005-0000-0000-000017000000}"/>
    <cellStyle name="Hyperlink 7 3" xfId="25" xr:uid="{00000000-0005-0000-0000-000018000000}"/>
    <cellStyle name="Hyperlink 8" xfId="26" xr:uid="{00000000-0005-0000-0000-000019000000}"/>
    <cellStyle name="Hyperlink 8 2" xfId="27" xr:uid="{00000000-0005-0000-0000-00001A000000}"/>
    <cellStyle name="Normal" xfId="0" builtinId="0"/>
    <cellStyle name="Normal 10" xfId="28" xr:uid="{00000000-0005-0000-0000-00001C000000}"/>
    <cellStyle name="Normal 10 2" xfId="29" xr:uid="{00000000-0005-0000-0000-00001D000000}"/>
    <cellStyle name="Normal 10 2 2" xfId="30" xr:uid="{00000000-0005-0000-0000-00001E000000}"/>
    <cellStyle name="Normal 10 2 2 2" xfId="31" xr:uid="{00000000-0005-0000-0000-00001F000000}"/>
    <cellStyle name="Normal 10 2 2 3" xfId="32" xr:uid="{00000000-0005-0000-0000-000020000000}"/>
    <cellStyle name="Normal 10 2 3" xfId="33" xr:uid="{00000000-0005-0000-0000-000021000000}"/>
    <cellStyle name="Normal 10 3" xfId="34" xr:uid="{00000000-0005-0000-0000-000022000000}"/>
    <cellStyle name="Normal 10 3 2" xfId="35" xr:uid="{00000000-0005-0000-0000-000023000000}"/>
    <cellStyle name="Normal 10 3 3" xfId="36" xr:uid="{00000000-0005-0000-0000-000024000000}"/>
    <cellStyle name="Normal 10 4" xfId="37" xr:uid="{00000000-0005-0000-0000-000025000000}"/>
    <cellStyle name="Normal 10 4 2" xfId="38" xr:uid="{00000000-0005-0000-0000-000026000000}"/>
    <cellStyle name="Normal 10 4 3" xfId="39" xr:uid="{00000000-0005-0000-0000-000027000000}"/>
    <cellStyle name="Normal 10 5" xfId="40" xr:uid="{00000000-0005-0000-0000-000028000000}"/>
    <cellStyle name="Normal 10 5 2" xfId="41" xr:uid="{00000000-0005-0000-0000-000029000000}"/>
    <cellStyle name="Normal 10 5 3" xfId="42" xr:uid="{00000000-0005-0000-0000-00002A000000}"/>
    <cellStyle name="Normal 10 6" xfId="43" xr:uid="{00000000-0005-0000-0000-00002B000000}"/>
    <cellStyle name="Normal 10 6 2" xfId="44" xr:uid="{00000000-0005-0000-0000-00002C000000}"/>
    <cellStyle name="Normal 10 6 3" xfId="45" xr:uid="{00000000-0005-0000-0000-00002D000000}"/>
    <cellStyle name="Normal 10 7" xfId="46" xr:uid="{00000000-0005-0000-0000-00002E000000}"/>
    <cellStyle name="Normal 10 7 2" xfId="47" xr:uid="{00000000-0005-0000-0000-00002F000000}"/>
    <cellStyle name="Normal 10 7 3" xfId="48" xr:uid="{00000000-0005-0000-0000-000030000000}"/>
    <cellStyle name="Normal 11 2" xfId="49" xr:uid="{00000000-0005-0000-0000-000031000000}"/>
    <cellStyle name="Normal 11 2 2" xfId="50" xr:uid="{00000000-0005-0000-0000-000032000000}"/>
    <cellStyle name="Normal 11 2 3" xfId="51" xr:uid="{00000000-0005-0000-0000-000033000000}"/>
    <cellStyle name="Normal 11 3" xfId="52" xr:uid="{00000000-0005-0000-0000-000034000000}"/>
    <cellStyle name="Normal 11 4" xfId="53" xr:uid="{00000000-0005-0000-0000-000035000000}"/>
    <cellStyle name="Normal 11 5" xfId="54" xr:uid="{00000000-0005-0000-0000-000036000000}"/>
    <cellStyle name="Normal 11 5 2" xfId="55" xr:uid="{00000000-0005-0000-0000-000037000000}"/>
    <cellStyle name="Normal 11 5 3" xfId="56" xr:uid="{00000000-0005-0000-0000-000038000000}"/>
    <cellStyle name="Normal 11 6" xfId="57" xr:uid="{00000000-0005-0000-0000-000039000000}"/>
    <cellStyle name="Normal 12" xfId="58" xr:uid="{00000000-0005-0000-0000-00003A000000}"/>
    <cellStyle name="Normal 12 10" xfId="59" xr:uid="{00000000-0005-0000-0000-00003B000000}"/>
    <cellStyle name="Normal 12 11" xfId="60" xr:uid="{00000000-0005-0000-0000-00003C000000}"/>
    <cellStyle name="Normal 12 12" xfId="61" xr:uid="{00000000-0005-0000-0000-00003D000000}"/>
    <cellStyle name="Normal 12 13" xfId="62" xr:uid="{00000000-0005-0000-0000-00003E000000}"/>
    <cellStyle name="Normal 12 2" xfId="63" xr:uid="{00000000-0005-0000-0000-00003F000000}"/>
    <cellStyle name="Normal 12 2 2" xfId="64" xr:uid="{00000000-0005-0000-0000-000040000000}"/>
    <cellStyle name="Normal 12 3" xfId="65" xr:uid="{00000000-0005-0000-0000-000041000000}"/>
    <cellStyle name="Normal 12 4" xfId="66" xr:uid="{00000000-0005-0000-0000-000042000000}"/>
    <cellStyle name="Normal 12 5" xfId="67" xr:uid="{00000000-0005-0000-0000-000043000000}"/>
    <cellStyle name="Normal 12 6" xfId="68" xr:uid="{00000000-0005-0000-0000-000044000000}"/>
    <cellStyle name="Normal 12 7" xfId="69" xr:uid="{00000000-0005-0000-0000-000045000000}"/>
    <cellStyle name="Normal 12 8" xfId="70" xr:uid="{00000000-0005-0000-0000-000046000000}"/>
    <cellStyle name="Normal 12 9" xfId="71" xr:uid="{00000000-0005-0000-0000-000047000000}"/>
    <cellStyle name="Normal 13" xfId="72" xr:uid="{00000000-0005-0000-0000-000048000000}"/>
    <cellStyle name="Normal 13 10" xfId="73" xr:uid="{00000000-0005-0000-0000-000049000000}"/>
    <cellStyle name="Normal 13 11" xfId="74" xr:uid="{00000000-0005-0000-0000-00004A000000}"/>
    <cellStyle name="Normal 13 12" xfId="75" xr:uid="{00000000-0005-0000-0000-00004B000000}"/>
    <cellStyle name="Normal 13 13" xfId="76" xr:uid="{00000000-0005-0000-0000-00004C000000}"/>
    <cellStyle name="Normal 13 2" xfId="77" xr:uid="{00000000-0005-0000-0000-00004D000000}"/>
    <cellStyle name="Normal 13 2 2" xfId="78" xr:uid="{00000000-0005-0000-0000-00004E000000}"/>
    <cellStyle name="Normal 13 3" xfId="79" xr:uid="{00000000-0005-0000-0000-00004F000000}"/>
    <cellStyle name="Normal 13 4" xfId="80" xr:uid="{00000000-0005-0000-0000-000050000000}"/>
    <cellStyle name="Normal 13 5" xfId="81" xr:uid="{00000000-0005-0000-0000-000051000000}"/>
    <cellStyle name="Normal 13 6" xfId="82" xr:uid="{00000000-0005-0000-0000-000052000000}"/>
    <cellStyle name="Normal 13 7" xfId="83" xr:uid="{00000000-0005-0000-0000-000053000000}"/>
    <cellStyle name="Normal 13 8" xfId="84" xr:uid="{00000000-0005-0000-0000-000054000000}"/>
    <cellStyle name="Normal 13 9" xfId="85" xr:uid="{00000000-0005-0000-0000-000055000000}"/>
    <cellStyle name="Normal 14" xfId="86" xr:uid="{00000000-0005-0000-0000-000056000000}"/>
    <cellStyle name="Normal 14 2" xfId="87" xr:uid="{00000000-0005-0000-0000-000057000000}"/>
    <cellStyle name="Normal 14 3" xfId="88" xr:uid="{00000000-0005-0000-0000-000058000000}"/>
    <cellStyle name="Normal 14 4" xfId="89" xr:uid="{00000000-0005-0000-0000-000059000000}"/>
    <cellStyle name="Normal 14 5" xfId="90" xr:uid="{00000000-0005-0000-0000-00005A000000}"/>
    <cellStyle name="Normal 14 6" xfId="91" xr:uid="{00000000-0005-0000-0000-00005B000000}"/>
    <cellStyle name="Normal 14 7" xfId="92" xr:uid="{00000000-0005-0000-0000-00005C000000}"/>
    <cellStyle name="Normal 14 7 2" xfId="93" xr:uid="{00000000-0005-0000-0000-00005D000000}"/>
    <cellStyle name="Normal 14 7 3" xfId="94" xr:uid="{00000000-0005-0000-0000-00005E000000}"/>
    <cellStyle name="Normal 15" xfId="95" xr:uid="{00000000-0005-0000-0000-00005F000000}"/>
    <cellStyle name="Normal 15 2" xfId="96" xr:uid="{00000000-0005-0000-0000-000060000000}"/>
    <cellStyle name="Normal 15 3" xfId="97" xr:uid="{00000000-0005-0000-0000-000061000000}"/>
    <cellStyle name="Normal 15 4" xfId="98" xr:uid="{00000000-0005-0000-0000-000062000000}"/>
    <cellStyle name="Normal 15 5" xfId="99" xr:uid="{00000000-0005-0000-0000-000063000000}"/>
    <cellStyle name="Normal 16" xfId="100" xr:uid="{00000000-0005-0000-0000-000064000000}"/>
    <cellStyle name="Normal 16 2" xfId="101" xr:uid="{00000000-0005-0000-0000-000065000000}"/>
    <cellStyle name="Normal 16 3" xfId="102" xr:uid="{00000000-0005-0000-0000-000066000000}"/>
    <cellStyle name="Normal 16 4" xfId="103" xr:uid="{00000000-0005-0000-0000-000067000000}"/>
    <cellStyle name="Normal 16 5" xfId="104" xr:uid="{00000000-0005-0000-0000-000068000000}"/>
    <cellStyle name="Normal 17 2" xfId="105" xr:uid="{00000000-0005-0000-0000-000069000000}"/>
    <cellStyle name="Normal 17 3" xfId="106" xr:uid="{00000000-0005-0000-0000-00006A000000}"/>
    <cellStyle name="Normal 17 4" xfId="107" xr:uid="{00000000-0005-0000-0000-00006B000000}"/>
    <cellStyle name="Normal 17 5" xfId="108" xr:uid="{00000000-0005-0000-0000-00006C000000}"/>
    <cellStyle name="Normal 18" xfId="109" xr:uid="{00000000-0005-0000-0000-00006D000000}"/>
    <cellStyle name="Normal 18 2" xfId="110" xr:uid="{00000000-0005-0000-0000-00006E000000}"/>
    <cellStyle name="Normal 18 2 2" xfId="111" xr:uid="{00000000-0005-0000-0000-00006F000000}"/>
    <cellStyle name="Normal 18 2 3" xfId="112" xr:uid="{00000000-0005-0000-0000-000070000000}"/>
    <cellStyle name="Normal 18 3" xfId="113" xr:uid="{00000000-0005-0000-0000-000071000000}"/>
    <cellStyle name="Normal 18 4" xfId="114" xr:uid="{00000000-0005-0000-0000-000072000000}"/>
    <cellStyle name="Normal 18 5" xfId="115" xr:uid="{00000000-0005-0000-0000-000073000000}"/>
    <cellStyle name="Normal 18 6" xfId="116" xr:uid="{00000000-0005-0000-0000-000074000000}"/>
    <cellStyle name="Normal 18 7" xfId="117" xr:uid="{00000000-0005-0000-0000-000075000000}"/>
    <cellStyle name="Normal 18 8" xfId="118" xr:uid="{00000000-0005-0000-0000-000076000000}"/>
    <cellStyle name="Normal 18 9" xfId="119" xr:uid="{00000000-0005-0000-0000-000077000000}"/>
    <cellStyle name="Normal 19 2" xfId="120" xr:uid="{00000000-0005-0000-0000-000078000000}"/>
    <cellStyle name="Normal 19 2 2" xfId="121" xr:uid="{00000000-0005-0000-0000-000079000000}"/>
    <cellStyle name="Normal 19 2 3" xfId="122" xr:uid="{00000000-0005-0000-0000-00007A000000}"/>
    <cellStyle name="Normal 19 3" xfId="123" xr:uid="{00000000-0005-0000-0000-00007B000000}"/>
    <cellStyle name="Normal 19 4" xfId="124" xr:uid="{00000000-0005-0000-0000-00007C000000}"/>
    <cellStyle name="Normal 19 5" xfId="125" xr:uid="{00000000-0005-0000-0000-00007D000000}"/>
    <cellStyle name="Normal 19 6" xfId="126" xr:uid="{00000000-0005-0000-0000-00007E000000}"/>
    <cellStyle name="Normal 19 7" xfId="127" xr:uid="{00000000-0005-0000-0000-00007F000000}"/>
    <cellStyle name="Normal 19 8" xfId="128" xr:uid="{00000000-0005-0000-0000-000080000000}"/>
    <cellStyle name="Normal 2 10" xfId="129" xr:uid="{00000000-0005-0000-0000-000081000000}"/>
    <cellStyle name="Normal 2 10 10" xfId="130" xr:uid="{00000000-0005-0000-0000-000082000000}"/>
    <cellStyle name="Normal 2 10 11" xfId="131" xr:uid="{00000000-0005-0000-0000-000083000000}"/>
    <cellStyle name="Normal 2 10 11 2" xfId="132" xr:uid="{00000000-0005-0000-0000-000084000000}"/>
    <cellStyle name="Normal 2 10 11 2 2" xfId="133" xr:uid="{00000000-0005-0000-0000-000085000000}"/>
    <cellStyle name="Normal 2 10 11 2 2 2" xfId="134" xr:uid="{00000000-0005-0000-0000-000086000000}"/>
    <cellStyle name="Normal 2 10 11 2 2 3" xfId="135" xr:uid="{00000000-0005-0000-0000-000087000000}"/>
    <cellStyle name="Normal 2 10 11 3" xfId="136" xr:uid="{00000000-0005-0000-0000-000088000000}"/>
    <cellStyle name="Normal 2 10 11 4" xfId="137" xr:uid="{00000000-0005-0000-0000-000089000000}"/>
    <cellStyle name="Normal 2 10 11 5" xfId="138" xr:uid="{00000000-0005-0000-0000-00008A000000}"/>
    <cellStyle name="Normal 2 10 12" xfId="139" xr:uid="{00000000-0005-0000-0000-00008B000000}"/>
    <cellStyle name="Normal 2 10 2" xfId="140" xr:uid="{00000000-0005-0000-0000-00008C000000}"/>
    <cellStyle name="Normal 2 10 2 2" xfId="141" xr:uid="{00000000-0005-0000-0000-00008D000000}"/>
    <cellStyle name="Normal 2 10 3" xfId="142" xr:uid="{00000000-0005-0000-0000-00008E000000}"/>
    <cellStyle name="Normal 2 10 3 2" xfId="143" xr:uid="{00000000-0005-0000-0000-00008F000000}"/>
    <cellStyle name="Normal 2 10 4" xfId="144" xr:uid="{00000000-0005-0000-0000-000090000000}"/>
    <cellStyle name="Normal 2 10 4 2" xfId="145" xr:uid="{00000000-0005-0000-0000-000091000000}"/>
    <cellStyle name="Normal 2 10 5" xfId="146" xr:uid="{00000000-0005-0000-0000-000092000000}"/>
    <cellStyle name="Normal 2 10 5 2" xfId="147" xr:uid="{00000000-0005-0000-0000-000093000000}"/>
    <cellStyle name="Normal 2 10 6" xfId="148" xr:uid="{00000000-0005-0000-0000-000094000000}"/>
    <cellStyle name="Normal 2 10 6 2" xfId="149" xr:uid="{00000000-0005-0000-0000-000095000000}"/>
    <cellStyle name="Normal 2 10 7" xfId="150" xr:uid="{00000000-0005-0000-0000-000096000000}"/>
    <cellStyle name="Normal 2 10 7 2" xfId="151" xr:uid="{00000000-0005-0000-0000-000097000000}"/>
    <cellStyle name="Normal 2 10 8" xfId="152" xr:uid="{00000000-0005-0000-0000-000098000000}"/>
    <cellStyle name="Normal 2 10 8 2" xfId="153" xr:uid="{00000000-0005-0000-0000-000099000000}"/>
    <cellStyle name="Normal 2 10 9" xfId="154" xr:uid="{00000000-0005-0000-0000-00009A000000}"/>
    <cellStyle name="Normal 2 11" xfId="155" xr:uid="{00000000-0005-0000-0000-00009B000000}"/>
    <cellStyle name="Normal 2 11 10" xfId="156" xr:uid="{00000000-0005-0000-0000-00009C000000}"/>
    <cellStyle name="Normal 2 11 11" xfId="157" xr:uid="{00000000-0005-0000-0000-00009D000000}"/>
    <cellStyle name="Normal 2 11 2" xfId="158" xr:uid="{00000000-0005-0000-0000-00009E000000}"/>
    <cellStyle name="Normal 2 11 2 2" xfId="159" xr:uid="{00000000-0005-0000-0000-00009F000000}"/>
    <cellStyle name="Normal 2 11 3" xfId="160" xr:uid="{00000000-0005-0000-0000-0000A0000000}"/>
    <cellStyle name="Normal 2 11 3 2" xfId="161" xr:uid="{00000000-0005-0000-0000-0000A1000000}"/>
    <cellStyle name="Normal 2 11 4" xfId="162" xr:uid="{00000000-0005-0000-0000-0000A2000000}"/>
    <cellStyle name="Normal 2 11 4 2" xfId="163" xr:uid="{00000000-0005-0000-0000-0000A3000000}"/>
    <cellStyle name="Normal 2 11 5" xfId="164" xr:uid="{00000000-0005-0000-0000-0000A4000000}"/>
    <cellStyle name="Normal 2 11 5 2" xfId="165" xr:uid="{00000000-0005-0000-0000-0000A5000000}"/>
    <cellStyle name="Normal 2 11 6" xfId="166" xr:uid="{00000000-0005-0000-0000-0000A6000000}"/>
    <cellStyle name="Normal 2 11 6 2" xfId="167" xr:uid="{00000000-0005-0000-0000-0000A7000000}"/>
    <cellStyle name="Normal 2 11 7" xfId="168" xr:uid="{00000000-0005-0000-0000-0000A8000000}"/>
    <cellStyle name="Normal 2 11 7 2" xfId="169" xr:uid="{00000000-0005-0000-0000-0000A9000000}"/>
    <cellStyle name="Normal 2 11 8" xfId="170" xr:uid="{00000000-0005-0000-0000-0000AA000000}"/>
    <cellStyle name="Normal 2 11 8 2" xfId="171" xr:uid="{00000000-0005-0000-0000-0000AB000000}"/>
    <cellStyle name="Normal 2 11 9" xfId="172" xr:uid="{00000000-0005-0000-0000-0000AC000000}"/>
    <cellStyle name="Normal 2 12" xfId="173" xr:uid="{00000000-0005-0000-0000-0000AD000000}"/>
    <cellStyle name="Normal 2 13" xfId="174" xr:uid="{00000000-0005-0000-0000-0000AE000000}"/>
    <cellStyle name="Normal 2 14" xfId="175" xr:uid="{00000000-0005-0000-0000-0000AF000000}"/>
    <cellStyle name="Normal 2 15" xfId="176" xr:uid="{00000000-0005-0000-0000-0000B0000000}"/>
    <cellStyle name="Normal 2 16" xfId="177" xr:uid="{00000000-0005-0000-0000-0000B1000000}"/>
    <cellStyle name="Normal 2 17" xfId="178" xr:uid="{00000000-0005-0000-0000-0000B2000000}"/>
    <cellStyle name="Normal 2 17 2" xfId="179" xr:uid="{00000000-0005-0000-0000-0000B3000000}"/>
    <cellStyle name="Normal 2 17 3" xfId="180" xr:uid="{00000000-0005-0000-0000-0000B4000000}"/>
    <cellStyle name="Normal 2 2" xfId="181" xr:uid="{00000000-0005-0000-0000-0000B5000000}"/>
    <cellStyle name="Normal 2 2 10" xfId="182" xr:uid="{00000000-0005-0000-0000-0000B6000000}"/>
    <cellStyle name="Normal 2 2 10 2" xfId="183" xr:uid="{00000000-0005-0000-0000-0000B7000000}"/>
    <cellStyle name="Normal 2 2 11" xfId="184" xr:uid="{00000000-0005-0000-0000-0000B8000000}"/>
    <cellStyle name="Normal 2 2 11 2" xfId="185" xr:uid="{00000000-0005-0000-0000-0000B9000000}"/>
    <cellStyle name="Normal 2 2 12" xfId="186" xr:uid="{00000000-0005-0000-0000-0000BA000000}"/>
    <cellStyle name="Normal 2 2 12 2" xfId="187" xr:uid="{00000000-0005-0000-0000-0000BB000000}"/>
    <cellStyle name="Normal 2 2 12 2 2" xfId="188" xr:uid="{00000000-0005-0000-0000-0000BC000000}"/>
    <cellStyle name="Normal 2 2 12 2 3" xfId="189" xr:uid="{00000000-0005-0000-0000-0000BD000000}"/>
    <cellStyle name="Normal 2 2 12 2 4" xfId="190" xr:uid="{00000000-0005-0000-0000-0000BE000000}"/>
    <cellStyle name="Normal 2 2 12 3" xfId="191" xr:uid="{00000000-0005-0000-0000-0000BF000000}"/>
    <cellStyle name="Normal 2 2 12 4" xfId="192" xr:uid="{00000000-0005-0000-0000-0000C0000000}"/>
    <cellStyle name="Normal 2 2 13" xfId="193" xr:uid="{00000000-0005-0000-0000-0000C1000000}"/>
    <cellStyle name="Normal 2 2 13 2" xfId="194" xr:uid="{00000000-0005-0000-0000-0000C2000000}"/>
    <cellStyle name="Normal 2 2 13 2 2" xfId="195" xr:uid="{00000000-0005-0000-0000-0000C3000000}"/>
    <cellStyle name="Normal 2 2 13 2 3" xfId="196" xr:uid="{00000000-0005-0000-0000-0000C4000000}"/>
    <cellStyle name="Normal 2 2 13 2 4" xfId="197" xr:uid="{00000000-0005-0000-0000-0000C5000000}"/>
    <cellStyle name="Normal 2 2 13 3" xfId="198" xr:uid="{00000000-0005-0000-0000-0000C6000000}"/>
    <cellStyle name="Normal 2 2 13 4" xfId="199" xr:uid="{00000000-0005-0000-0000-0000C7000000}"/>
    <cellStyle name="Normal 2 2 14" xfId="200" xr:uid="{00000000-0005-0000-0000-0000C8000000}"/>
    <cellStyle name="Normal 2 2 14 2" xfId="201" xr:uid="{00000000-0005-0000-0000-0000C9000000}"/>
    <cellStyle name="Normal 2 2 15" xfId="202" xr:uid="{00000000-0005-0000-0000-0000CA000000}"/>
    <cellStyle name="Normal 2 2 15 2" xfId="203" xr:uid="{00000000-0005-0000-0000-0000CB000000}"/>
    <cellStyle name="Normal 2 2 16" xfId="204" xr:uid="{00000000-0005-0000-0000-0000CC000000}"/>
    <cellStyle name="Normal 2 2 16 2" xfId="205" xr:uid="{00000000-0005-0000-0000-0000CD000000}"/>
    <cellStyle name="Normal 2 2 16 3" xfId="206" xr:uid="{00000000-0005-0000-0000-0000CE000000}"/>
    <cellStyle name="Normal 2 2 17" xfId="207" xr:uid="{00000000-0005-0000-0000-0000CF000000}"/>
    <cellStyle name="Normal 2 2 18" xfId="208" xr:uid="{00000000-0005-0000-0000-0000D0000000}"/>
    <cellStyle name="Normal 2 2 19" xfId="209" xr:uid="{00000000-0005-0000-0000-0000D1000000}"/>
    <cellStyle name="Normal 2 2 2" xfId="210" xr:uid="{00000000-0005-0000-0000-0000D2000000}"/>
    <cellStyle name="Normal 2 2 2 2" xfId="211" xr:uid="{00000000-0005-0000-0000-0000D3000000}"/>
    <cellStyle name="Normal 2 2 2 2 2" xfId="212" xr:uid="{00000000-0005-0000-0000-0000D4000000}"/>
    <cellStyle name="Normal 2 2 2 2 3" xfId="213" xr:uid="{00000000-0005-0000-0000-0000D5000000}"/>
    <cellStyle name="Normal 2 2 2 2 3 2" xfId="214" xr:uid="{00000000-0005-0000-0000-0000D6000000}"/>
    <cellStyle name="Normal 2 2 2 2 3 3" xfId="215" xr:uid="{00000000-0005-0000-0000-0000D7000000}"/>
    <cellStyle name="Normal 2 2 2 3" xfId="216" xr:uid="{00000000-0005-0000-0000-0000D8000000}"/>
    <cellStyle name="Normal 2 2 2 3 2" xfId="217" xr:uid="{00000000-0005-0000-0000-0000D9000000}"/>
    <cellStyle name="Normal 2 2 2 3 3" xfId="218" xr:uid="{00000000-0005-0000-0000-0000DA000000}"/>
    <cellStyle name="Normal 2 2 2 3 4" xfId="219" xr:uid="{00000000-0005-0000-0000-0000DB000000}"/>
    <cellStyle name="Normal 2 2 2 4" xfId="220" xr:uid="{00000000-0005-0000-0000-0000DC000000}"/>
    <cellStyle name="Normal 2 2 2 4 2" xfId="221" xr:uid="{00000000-0005-0000-0000-0000DD000000}"/>
    <cellStyle name="Normal 2 2 2 5" xfId="222" xr:uid="{00000000-0005-0000-0000-0000DE000000}"/>
    <cellStyle name="Normal 2 2 2 5 2" xfId="223" xr:uid="{00000000-0005-0000-0000-0000DF000000}"/>
    <cellStyle name="Normal 2 2 2 5 3" xfId="224" xr:uid="{00000000-0005-0000-0000-0000E0000000}"/>
    <cellStyle name="Normal 2 2 2 5 4" xfId="225" xr:uid="{00000000-0005-0000-0000-0000E1000000}"/>
    <cellStyle name="Normal 2 2 2 6" xfId="226" xr:uid="{00000000-0005-0000-0000-0000E2000000}"/>
    <cellStyle name="Normal 2 2 2 6 2" xfId="227" xr:uid="{00000000-0005-0000-0000-0000E3000000}"/>
    <cellStyle name="Normal 2 2 2 7" xfId="228" xr:uid="{00000000-0005-0000-0000-0000E4000000}"/>
    <cellStyle name="Normal 2 2 2 7 2" xfId="229" xr:uid="{00000000-0005-0000-0000-0000E5000000}"/>
    <cellStyle name="Normal 2 2 2 7 3" xfId="230" xr:uid="{00000000-0005-0000-0000-0000E6000000}"/>
    <cellStyle name="Normal 2 2 2 8" xfId="231" xr:uid="{00000000-0005-0000-0000-0000E7000000}"/>
    <cellStyle name="Normal 2 2 20" xfId="232" xr:uid="{00000000-0005-0000-0000-0000E8000000}"/>
    <cellStyle name="Normal 2 2 21" xfId="233" xr:uid="{00000000-0005-0000-0000-0000E9000000}"/>
    <cellStyle name="Normal 2 2 22" xfId="234" xr:uid="{00000000-0005-0000-0000-0000EA000000}"/>
    <cellStyle name="Normal 2 2 3" xfId="235" xr:uid="{00000000-0005-0000-0000-0000EB000000}"/>
    <cellStyle name="Normal 2 2 3 2" xfId="236" xr:uid="{00000000-0005-0000-0000-0000EC000000}"/>
    <cellStyle name="Normal 2 2 4" xfId="237" xr:uid="{00000000-0005-0000-0000-0000ED000000}"/>
    <cellStyle name="Normal 2 2 4 2" xfId="238" xr:uid="{00000000-0005-0000-0000-0000EE000000}"/>
    <cellStyle name="Normal 2 2 5" xfId="239" xr:uid="{00000000-0005-0000-0000-0000EF000000}"/>
    <cellStyle name="Normal 2 2 5 2" xfId="240" xr:uid="{00000000-0005-0000-0000-0000F0000000}"/>
    <cellStyle name="Normal 2 2 6" xfId="241" xr:uid="{00000000-0005-0000-0000-0000F1000000}"/>
    <cellStyle name="Normal 2 2 6 2" xfId="242" xr:uid="{00000000-0005-0000-0000-0000F2000000}"/>
    <cellStyle name="Normal 2 2 7" xfId="243" xr:uid="{00000000-0005-0000-0000-0000F3000000}"/>
    <cellStyle name="Normal 2 2 7 2" xfId="244" xr:uid="{00000000-0005-0000-0000-0000F4000000}"/>
    <cellStyle name="Normal 2 2 8" xfId="245" xr:uid="{00000000-0005-0000-0000-0000F5000000}"/>
    <cellStyle name="Normal 2 2 8 2" xfId="246" xr:uid="{00000000-0005-0000-0000-0000F6000000}"/>
    <cellStyle name="Normal 2 2 9" xfId="247" xr:uid="{00000000-0005-0000-0000-0000F7000000}"/>
    <cellStyle name="Normal 2 2 9 2" xfId="248" xr:uid="{00000000-0005-0000-0000-0000F8000000}"/>
    <cellStyle name="Normal 2 3" xfId="249" xr:uid="{00000000-0005-0000-0000-0000F9000000}"/>
    <cellStyle name="Normal 2 3 10" xfId="250" xr:uid="{00000000-0005-0000-0000-0000FA000000}"/>
    <cellStyle name="Normal 2 3 11" xfId="251" xr:uid="{00000000-0005-0000-0000-0000FB000000}"/>
    <cellStyle name="Normal 2 3 12" xfId="252" xr:uid="{00000000-0005-0000-0000-0000FC000000}"/>
    <cellStyle name="Normal 2 3 13" xfId="253" xr:uid="{00000000-0005-0000-0000-0000FD000000}"/>
    <cellStyle name="Normal 2 3 14" xfId="254" xr:uid="{00000000-0005-0000-0000-0000FE000000}"/>
    <cellStyle name="Normal 2 3 15" xfId="255" xr:uid="{00000000-0005-0000-0000-0000FF000000}"/>
    <cellStyle name="Normal 2 3 2" xfId="256" xr:uid="{00000000-0005-0000-0000-000000010000}"/>
    <cellStyle name="Normal 2 3 2 2" xfId="257" xr:uid="{00000000-0005-0000-0000-000001010000}"/>
    <cellStyle name="Normal 2 3 2 2 2" xfId="258" xr:uid="{00000000-0005-0000-0000-000002010000}"/>
    <cellStyle name="Normal 2 3 2 2 3" xfId="259" xr:uid="{00000000-0005-0000-0000-000003010000}"/>
    <cellStyle name="Normal 2 3 2 3" xfId="260" xr:uid="{00000000-0005-0000-0000-000004010000}"/>
    <cellStyle name="Normal 2 3 2 4" xfId="261" xr:uid="{00000000-0005-0000-0000-000005010000}"/>
    <cellStyle name="Normal 2 3 2 5" xfId="262" xr:uid="{00000000-0005-0000-0000-000006010000}"/>
    <cellStyle name="Normal 2 3 3" xfId="263" xr:uid="{00000000-0005-0000-0000-000007010000}"/>
    <cellStyle name="Normal 2 3 3 2" xfId="264" xr:uid="{00000000-0005-0000-0000-000008010000}"/>
    <cellStyle name="Normal 2 3 3 3" xfId="265" xr:uid="{00000000-0005-0000-0000-000009010000}"/>
    <cellStyle name="Normal 2 3 4" xfId="266" xr:uid="{00000000-0005-0000-0000-00000A010000}"/>
    <cellStyle name="Normal 2 3 5" xfId="267" xr:uid="{00000000-0005-0000-0000-00000B010000}"/>
    <cellStyle name="Normal 2 3 6" xfId="268" xr:uid="{00000000-0005-0000-0000-00000C010000}"/>
    <cellStyle name="Normal 2 3 7" xfId="269" xr:uid="{00000000-0005-0000-0000-00000D010000}"/>
    <cellStyle name="Normal 2 3 8" xfId="270" xr:uid="{00000000-0005-0000-0000-00000E010000}"/>
    <cellStyle name="Normal 2 3 9" xfId="271" xr:uid="{00000000-0005-0000-0000-00000F010000}"/>
    <cellStyle name="Normal 2 4" xfId="272" xr:uid="{00000000-0005-0000-0000-000010010000}"/>
    <cellStyle name="Normal 2 4 10" xfId="273" xr:uid="{00000000-0005-0000-0000-000011010000}"/>
    <cellStyle name="Normal 2 4 11" xfId="274" xr:uid="{00000000-0005-0000-0000-000012010000}"/>
    <cellStyle name="Normal 2 4 12" xfId="275" xr:uid="{00000000-0005-0000-0000-000013010000}"/>
    <cellStyle name="Normal 2 4 12 2" xfId="276" xr:uid="{00000000-0005-0000-0000-000014010000}"/>
    <cellStyle name="Normal 2 4 12 3" xfId="277" xr:uid="{00000000-0005-0000-0000-000015010000}"/>
    <cellStyle name="Normal 2 4 13" xfId="278" xr:uid="{00000000-0005-0000-0000-000016010000}"/>
    <cellStyle name="Normal 2 4 13 2" xfId="279" xr:uid="{00000000-0005-0000-0000-000017010000}"/>
    <cellStyle name="Normal 2 4 13 3" xfId="280" xr:uid="{00000000-0005-0000-0000-000018010000}"/>
    <cellStyle name="Normal 2 4 2" xfId="281" xr:uid="{00000000-0005-0000-0000-000019010000}"/>
    <cellStyle name="Normal 2 4 2 2" xfId="282" xr:uid="{00000000-0005-0000-0000-00001A010000}"/>
    <cellStyle name="Normal 2 4 2 2 2" xfId="283" xr:uid="{00000000-0005-0000-0000-00001B010000}"/>
    <cellStyle name="Normal 2 4 2 2 3" xfId="284" xr:uid="{00000000-0005-0000-0000-00001C010000}"/>
    <cellStyle name="Normal 2 4 2 3" xfId="285" xr:uid="{00000000-0005-0000-0000-00001D010000}"/>
    <cellStyle name="Normal 2 4 2 4" xfId="286" xr:uid="{00000000-0005-0000-0000-00001E010000}"/>
    <cellStyle name="Normal 2 4 2 5" xfId="287" xr:uid="{00000000-0005-0000-0000-00001F010000}"/>
    <cellStyle name="Normal 2 4 3" xfId="288" xr:uid="{00000000-0005-0000-0000-000020010000}"/>
    <cellStyle name="Normal 2 4 3 2" xfId="289" xr:uid="{00000000-0005-0000-0000-000021010000}"/>
    <cellStyle name="Normal 2 4 3 3" xfId="290" xr:uid="{00000000-0005-0000-0000-000022010000}"/>
    <cellStyle name="Normal 2 4 4" xfId="291" xr:uid="{00000000-0005-0000-0000-000023010000}"/>
    <cellStyle name="Normal 2 4 5" xfId="292" xr:uid="{00000000-0005-0000-0000-000024010000}"/>
    <cellStyle name="Normal 2 4 6" xfId="293" xr:uid="{00000000-0005-0000-0000-000025010000}"/>
    <cellStyle name="Normal 2 4 7" xfId="294" xr:uid="{00000000-0005-0000-0000-000026010000}"/>
    <cellStyle name="Normal 2 4 8" xfId="295" xr:uid="{00000000-0005-0000-0000-000027010000}"/>
    <cellStyle name="Normal 2 4 9" xfId="296" xr:uid="{00000000-0005-0000-0000-000028010000}"/>
    <cellStyle name="Normal 2 5" xfId="297" xr:uid="{00000000-0005-0000-0000-000029010000}"/>
    <cellStyle name="Normal 2 5 10" xfId="298" xr:uid="{00000000-0005-0000-0000-00002A010000}"/>
    <cellStyle name="Normal 2 5 11" xfId="299" xr:uid="{00000000-0005-0000-0000-00002B010000}"/>
    <cellStyle name="Normal 2 5 12" xfId="300" xr:uid="{00000000-0005-0000-0000-00002C010000}"/>
    <cellStyle name="Normal 2 5 12 2" xfId="301" xr:uid="{00000000-0005-0000-0000-00002D010000}"/>
    <cellStyle name="Normal 2 5 12 3" xfId="302" xr:uid="{00000000-0005-0000-0000-00002E010000}"/>
    <cellStyle name="Normal 2 5 2" xfId="303" xr:uid="{00000000-0005-0000-0000-00002F010000}"/>
    <cellStyle name="Normal 2 5 2 2" xfId="304" xr:uid="{00000000-0005-0000-0000-000030010000}"/>
    <cellStyle name="Normal 2 5 3" xfId="305" xr:uid="{00000000-0005-0000-0000-000031010000}"/>
    <cellStyle name="Normal 2 5 3 2" xfId="306" xr:uid="{00000000-0005-0000-0000-000032010000}"/>
    <cellStyle name="Normal 2 5 4" xfId="307" xr:uid="{00000000-0005-0000-0000-000033010000}"/>
    <cellStyle name="Normal 2 5 5" xfId="308" xr:uid="{00000000-0005-0000-0000-000034010000}"/>
    <cellStyle name="Normal 2 5 6" xfId="309" xr:uid="{00000000-0005-0000-0000-000035010000}"/>
    <cellStyle name="Normal 2 5 7" xfId="310" xr:uid="{00000000-0005-0000-0000-000036010000}"/>
    <cellStyle name="Normal 2 5 8" xfId="311" xr:uid="{00000000-0005-0000-0000-000037010000}"/>
    <cellStyle name="Normal 2 5 9" xfId="312" xr:uid="{00000000-0005-0000-0000-000038010000}"/>
    <cellStyle name="Normal 2 6" xfId="313" xr:uid="{00000000-0005-0000-0000-000039010000}"/>
    <cellStyle name="Normal 2 6 10" xfId="314" xr:uid="{00000000-0005-0000-0000-00003A010000}"/>
    <cellStyle name="Normal 2 6 11" xfId="315" xr:uid="{00000000-0005-0000-0000-00003B010000}"/>
    <cellStyle name="Normal 2 6 12" xfId="316" xr:uid="{00000000-0005-0000-0000-00003C010000}"/>
    <cellStyle name="Normal 2 6 2" xfId="317" xr:uid="{00000000-0005-0000-0000-00003D010000}"/>
    <cellStyle name="Normal 2 6 2 2" xfId="318" xr:uid="{00000000-0005-0000-0000-00003E010000}"/>
    <cellStyle name="Normal 2 6 3" xfId="319" xr:uid="{00000000-0005-0000-0000-00003F010000}"/>
    <cellStyle name="Normal 2 6 3 2" xfId="320" xr:uid="{00000000-0005-0000-0000-000040010000}"/>
    <cellStyle name="Normal 2 6 4" xfId="321" xr:uid="{00000000-0005-0000-0000-000041010000}"/>
    <cellStyle name="Normal 2 6 5" xfId="322" xr:uid="{00000000-0005-0000-0000-000042010000}"/>
    <cellStyle name="Normal 2 6 6" xfId="323" xr:uid="{00000000-0005-0000-0000-000043010000}"/>
    <cellStyle name="Normal 2 6 7" xfId="324" xr:uid="{00000000-0005-0000-0000-000044010000}"/>
    <cellStyle name="Normal 2 6 8" xfId="325" xr:uid="{00000000-0005-0000-0000-000045010000}"/>
    <cellStyle name="Normal 2 6 9" xfId="326" xr:uid="{00000000-0005-0000-0000-000046010000}"/>
    <cellStyle name="Normal 2 7" xfId="327" xr:uid="{00000000-0005-0000-0000-000047010000}"/>
    <cellStyle name="Normal 2 7 10" xfId="328" xr:uid="{00000000-0005-0000-0000-000048010000}"/>
    <cellStyle name="Normal 2 7 11" xfId="329" xr:uid="{00000000-0005-0000-0000-000049010000}"/>
    <cellStyle name="Normal 2 7 2" xfId="330" xr:uid="{00000000-0005-0000-0000-00004A010000}"/>
    <cellStyle name="Normal 2 7 2 2" xfId="331" xr:uid="{00000000-0005-0000-0000-00004B010000}"/>
    <cellStyle name="Normal 2 7 2 3" xfId="332" xr:uid="{00000000-0005-0000-0000-00004C010000}"/>
    <cellStyle name="Normal 2 7 3" xfId="333" xr:uid="{00000000-0005-0000-0000-00004D010000}"/>
    <cellStyle name="Normal 2 7 3 2" xfId="334" xr:uid="{00000000-0005-0000-0000-00004E010000}"/>
    <cellStyle name="Normal 2 7 4" xfId="335" xr:uid="{00000000-0005-0000-0000-00004F010000}"/>
    <cellStyle name="Normal 2 7 4 2" xfId="336" xr:uid="{00000000-0005-0000-0000-000050010000}"/>
    <cellStyle name="Normal 2 7 5" xfId="337" xr:uid="{00000000-0005-0000-0000-000051010000}"/>
    <cellStyle name="Normal 2 7 5 2" xfId="338" xr:uid="{00000000-0005-0000-0000-000052010000}"/>
    <cellStyle name="Normal 2 7 6" xfId="339" xr:uid="{00000000-0005-0000-0000-000053010000}"/>
    <cellStyle name="Normal 2 7 6 2" xfId="340" xr:uid="{00000000-0005-0000-0000-000054010000}"/>
    <cellStyle name="Normal 2 7 7" xfId="341" xr:uid="{00000000-0005-0000-0000-000055010000}"/>
    <cellStyle name="Normal 2 7 7 2" xfId="342" xr:uid="{00000000-0005-0000-0000-000056010000}"/>
    <cellStyle name="Normal 2 7 8" xfId="343" xr:uid="{00000000-0005-0000-0000-000057010000}"/>
    <cellStyle name="Normal 2 7 8 2" xfId="344" xr:uid="{00000000-0005-0000-0000-000058010000}"/>
    <cellStyle name="Normal 2 7 9" xfId="345" xr:uid="{00000000-0005-0000-0000-000059010000}"/>
    <cellStyle name="Normal 2 8" xfId="346" xr:uid="{00000000-0005-0000-0000-00005A010000}"/>
    <cellStyle name="Normal 2 8 10" xfId="347" xr:uid="{00000000-0005-0000-0000-00005B010000}"/>
    <cellStyle name="Normal 2 8 11" xfId="348" xr:uid="{00000000-0005-0000-0000-00005C010000}"/>
    <cellStyle name="Normal 2 8 2" xfId="349" xr:uid="{00000000-0005-0000-0000-00005D010000}"/>
    <cellStyle name="Normal 2 8 2 2" xfId="350" xr:uid="{00000000-0005-0000-0000-00005E010000}"/>
    <cellStyle name="Normal 2 8 3" xfId="351" xr:uid="{00000000-0005-0000-0000-00005F010000}"/>
    <cellStyle name="Normal 2 8 3 2" xfId="352" xr:uid="{00000000-0005-0000-0000-000060010000}"/>
    <cellStyle name="Normal 2 8 4" xfId="353" xr:uid="{00000000-0005-0000-0000-000061010000}"/>
    <cellStyle name="Normal 2 8 4 2" xfId="354" xr:uid="{00000000-0005-0000-0000-000062010000}"/>
    <cellStyle name="Normal 2 8 5" xfId="355" xr:uid="{00000000-0005-0000-0000-000063010000}"/>
    <cellStyle name="Normal 2 8 5 2" xfId="356" xr:uid="{00000000-0005-0000-0000-000064010000}"/>
    <cellStyle name="Normal 2 8 6" xfId="357" xr:uid="{00000000-0005-0000-0000-000065010000}"/>
    <cellStyle name="Normal 2 8 6 2" xfId="358" xr:uid="{00000000-0005-0000-0000-000066010000}"/>
    <cellStyle name="Normal 2 8 7" xfId="359" xr:uid="{00000000-0005-0000-0000-000067010000}"/>
    <cellStyle name="Normal 2 8 7 2" xfId="360" xr:uid="{00000000-0005-0000-0000-000068010000}"/>
    <cellStyle name="Normal 2 8 8" xfId="361" xr:uid="{00000000-0005-0000-0000-000069010000}"/>
    <cellStyle name="Normal 2 8 8 2" xfId="362" xr:uid="{00000000-0005-0000-0000-00006A010000}"/>
    <cellStyle name="Normal 2 8 9" xfId="363" xr:uid="{00000000-0005-0000-0000-00006B010000}"/>
    <cellStyle name="Normal 2 9" xfId="364" xr:uid="{00000000-0005-0000-0000-00006C010000}"/>
    <cellStyle name="Normal 2 9 10" xfId="365" xr:uid="{00000000-0005-0000-0000-00006D010000}"/>
    <cellStyle name="Normal 2 9 11" xfId="366" xr:uid="{00000000-0005-0000-0000-00006E010000}"/>
    <cellStyle name="Normal 2 9 2" xfId="367" xr:uid="{00000000-0005-0000-0000-00006F010000}"/>
    <cellStyle name="Normal 2 9 2 2" xfId="368" xr:uid="{00000000-0005-0000-0000-000070010000}"/>
    <cellStyle name="Normal 2 9 3" xfId="369" xr:uid="{00000000-0005-0000-0000-000071010000}"/>
    <cellStyle name="Normal 2 9 3 2" xfId="370" xr:uid="{00000000-0005-0000-0000-000072010000}"/>
    <cellStyle name="Normal 2 9 4" xfId="371" xr:uid="{00000000-0005-0000-0000-000073010000}"/>
    <cellStyle name="Normal 2 9 4 2" xfId="372" xr:uid="{00000000-0005-0000-0000-000074010000}"/>
    <cellStyle name="Normal 2 9 5" xfId="373" xr:uid="{00000000-0005-0000-0000-000075010000}"/>
    <cellStyle name="Normal 2 9 5 2" xfId="374" xr:uid="{00000000-0005-0000-0000-000076010000}"/>
    <cellStyle name="Normal 2 9 6" xfId="375" xr:uid="{00000000-0005-0000-0000-000077010000}"/>
    <cellStyle name="Normal 2 9 6 2" xfId="376" xr:uid="{00000000-0005-0000-0000-000078010000}"/>
    <cellStyle name="Normal 2 9 7" xfId="377" xr:uid="{00000000-0005-0000-0000-000079010000}"/>
    <cellStyle name="Normal 2 9 7 2" xfId="378" xr:uid="{00000000-0005-0000-0000-00007A010000}"/>
    <cellStyle name="Normal 2 9 8" xfId="379" xr:uid="{00000000-0005-0000-0000-00007B010000}"/>
    <cellStyle name="Normal 2 9 8 2" xfId="380" xr:uid="{00000000-0005-0000-0000-00007C010000}"/>
    <cellStyle name="Normal 2 9 9" xfId="381" xr:uid="{00000000-0005-0000-0000-00007D010000}"/>
    <cellStyle name="Normal 20" xfId="382" xr:uid="{00000000-0005-0000-0000-00007E010000}"/>
    <cellStyle name="Normal 20 2" xfId="383" xr:uid="{00000000-0005-0000-0000-00007F010000}"/>
    <cellStyle name="Normal 20 3" xfId="384" xr:uid="{00000000-0005-0000-0000-000080010000}"/>
    <cellStyle name="Normal 21" xfId="385" xr:uid="{00000000-0005-0000-0000-000081010000}"/>
    <cellStyle name="Normal 21 2" xfId="386" xr:uid="{00000000-0005-0000-0000-000082010000}"/>
    <cellStyle name="Normal 21 2 2" xfId="387" xr:uid="{00000000-0005-0000-0000-000083010000}"/>
    <cellStyle name="Normal 21 2 3" xfId="388" xr:uid="{00000000-0005-0000-0000-000084010000}"/>
    <cellStyle name="Normal 21 3" xfId="389" xr:uid="{00000000-0005-0000-0000-000085010000}"/>
    <cellStyle name="Normal 21 4" xfId="390" xr:uid="{00000000-0005-0000-0000-000086010000}"/>
    <cellStyle name="Normal 21 5" xfId="391" xr:uid="{00000000-0005-0000-0000-000087010000}"/>
    <cellStyle name="Normal 22" xfId="392" xr:uid="{00000000-0005-0000-0000-000088010000}"/>
    <cellStyle name="Normal 22 2" xfId="393" xr:uid="{00000000-0005-0000-0000-000089010000}"/>
    <cellStyle name="Normal 22 3" xfId="394" xr:uid="{00000000-0005-0000-0000-00008A010000}"/>
    <cellStyle name="Normal 23" xfId="395" xr:uid="{00000000-0005-0000-0000-00008B010000}"/>
    <cellStyle name="Normal 23 2" xfId="396" xr:uid="{00000000-0005-0000-0000-00008C010000}"/>
    <cellStyle name="Normal 23 3" xfId="397" xr:uid="{00000000-0005-0000-0000-00008D010000}"/>
    <cellStyle name="Normal 24" xfId="398" xr:uid="{00000000-0005-0000-0000-00008E010000}"/>
    <cellStyle name="Normal 24 2" xfId="399" xr:uid="{00000000-0005-0000-0000-00008F010000}"/>
    <cellStyle name="Normal 24 3" xfId="400" xr:uid="{00000000-0005-0000-0000-000090010000}"/>
    <cellStyle name="Normal 25" xfId="401" xr:uid="{00000000-0005-0000-0000-000091010000}"/>
    <cellStyle name="Normal 25 2" xfId="402" xr:uid="{00000000-0005-0000-0000-000092010000}"/>
    <cellStyle name="Normal 25 3" xfId="403" xr:uid="{00000000-0005-0000-0000-000093010000}"/>
    <cellStyle name="Normal 26" xfId="404" xr:uid="{00000000-0005-0000-0000-000094010000}"/>
    <cellStyle name="Normal 27" xfId="405" xr:uid="{00000000-0005-0000-0000-000095010000}"/>
    <cellStyle name="Normal 27 2" xfId="406" xr:uid="{00000000-0005-0000-0000-000096010000}"/>
    <cellStyle name="Normal 3" xfId="407" xr:uid="{00000000-0005-0000-0000-000097010000}"/>
    <cellStyle name="Normal 3 10" xfId="408" xr:uid="{00000000-0005-0000-0000-000098010000}"/>
    <cellStyle name="Normal 3 10 2" xfId="409" xr:uid="{00000000-0005-0000-0000-000099010000}"/>
    <cellStyle name="Normal 3 11" xfId="410" xr:uid="{00000000-0005-0000-0000-00009A010000}"/>
    <cellStyle name="Normal 3 12" xfId="411" xr:uid="{00000000-0005-0000-0000-00009B010000}"/>
    <cellStyle name="Normal 3 13" xfId="412" xr:uid="{00000000-0005-0000-0000-00009C010000}"/>
    <cellStyle name="Normal 3 14" xfId="413" xr:uid="{00000000-0005-0000-0000-00009D010000}"/>
    <cellStyle name="Normal 3 15" xfId="414" xr:uid="{00000000-0005-0000-0000-00009E010000}"/>
    <cellStyle name="Normal 3 2" xfId="415" xr:uid="{00000000-0005-0000-0000-00009F010000}"/>
    <cellStyle name="Normal 3 2 2" xfId="416" xr:uid="{00000000-0005-0000-0000-0000A0010000}"/>
    <cellStyle name="Normal 3 2 2 2" xfId="417" xr:uid="{00000000-0005-0000-0000-0000A1010000}"/>
    <cellStyle name="Normal 3 2 2 3" xfId="418" xr:uid="{00000000-0005-0000-0000-0000A2010000}"/>
    <cellStyle name="Normal 3 2 3" xfId="419" xr:uid="{00000000-0005-0000-0000-0000A3010000}"/>
    <cellStyle name="Normal 3 2 4" xfId="420" xr:uid="{00000000-0005-0000-0000-0000A4010000}"/>
    <cellStyle name="Normal 3 2 5" xfId="421" xr:uid="{00000000-0005-0000-0000-0000A5010000}"/>
    <cellStyle name="Normal 3 3" xfId="422" xr:uid="{00000000-0005-0000-0000-0000A6010000}"/>
    <cellStyle name="Normal 3 3 2" xfId="423" xr:uid="{00000000-0005-0000-0000-0000A7010000}"/>
    <cellStyle name="Normal 3 3 2 2" xfId="424" xr:uid="{00000000-0005-0000-0000-0000A8010000}"/>
    <cellStyle name="Normal 3 3 2 3" xfId="425" xr:uid="{00000000-0005-0000-0000-0000A9010000}"/>
    <cellStyle name="Normal 3 3 3" xfId="426" xr:uid="{00000000-0005-0000-0000-0000AA010000}"/>
    <cellStyle name="Normal 3 3 4" xfId="427" xr:uid="{00000000-0005-0000-0000-0000AB010000}"/>
    <cellStyle name="Normal 3 4" xfId="428" xr:uid="{00000000-0005-0000-0000-0000AC010000}"/>
    <cellStyle name="Normal 3 5" xfId="429" xr:uid="{00000000-0005-0000-0000-0000AD010000}"/>
    <cellStyle name="Normal 3 6" xfId="430" xr:uid="{00000000-0005-0000-0000-0000AE010000}"/>
    <cellStyle name="Normal 3 7" xfId="431" xr:uid="{00000000-0005-0000-0000-0000AF010000}"/>
    <cellStyle name="Normal 3 7 2" xfId="432" xr:uid="{00000000-0005-0000-0000-0000B0010000}"/>
    <cellStyle name="Normal 3 7 3" xfId="433" xr:uid="{00000000-0005-0000-0000-0000B1010000}"/>
    <cellStyle name="Normal 3 8" xfId="434" xr:uid="{00000000-0005-0000-0000-0000B2010000}"/>
    <cellStyle name="Normal 3 8 2" xfId="435" xr:uid="{00000000-0005-0000-0000-0000B3010000}"/>
    <cellStyle name="Normal 3 8 3" xfId="436" xr:uid="{00000000-0005-0000-0000-0000B4010000}"/>
    <cellStyle name="Normal 3 9" xfId="437" xr:uid="{00000000-0005-0000-0000-0000B5010000}"/>
    <cellStyle name="Normal 3 9 2" xfId="438" xr:uid="{00000000-0005-0000-0000-0000B6010000}"/>
    <cellStyle name="Normal 3 9 3" xfId="439" xr:uid="{00000000-0005-0000-0000-0000B7010000}"/>
    <cellStyle name="Normal 4" xfId="440" xr:uid="{00000000-0005-0000-0000-0000B8010000}"/>
    <cellStyle name="Normal 4 10" xfId="441" xr:uid="{00000000-0005-0000-0000-0000B9010000}"/>
    <cellStyle name="Normal 4 11" xfId="442" xr:uid="{00000000-0005-0000-0000-0000BA010000}"/>
    <cellStyle name="Normal 4 12" xfId="443" xr:uid="{00000000-0005-0000-0000-0000BB010000}"/>
    <cellStyle name="Normal 4 13" xfId="444" xr:uid="{00000000-0005-0000-0000-0000BC010000}"/>
    <cellStyle name="Normal 4 2" xfId="445" xr:uid="{00000000-0005-0000-0000-0000BD010000}"/>
    <cellStyle name="Normal 4 2 2" xfId="446" xr:uid="{00000000-0005-0000-0000-0000BE010000}"/>
    <cellStyle name="Normal 4 2 2 2" xfId="447" xr:uid="{00000000-0005-0000-0000-0000BF010000}"/>
    <cellStyle name="Normal 4 2 2 3" xfId="448" xr:uid="{00000000-0005-0000-0000-0000C0010000}"/>
    <cellStyle name="Normal 4 2 2 3 2" xfId="449" xr:uid="{00000000-0005-0000-0000-0000C1010000}"/>
    <cellStyle name="Normal 4 2 3" xfId="450" xr:uid="{00000000-0005-0000-0000-0000C2010000}"/>
    <cellStyle name="Normal 4 2 4" xfId="451" xr:uid="{00000000-0005-0000-0000-0000C3010000}"/>
    <cellStyle name="Normal 4 2 5" xfId="452" xr:uid="{00000000-0005-0000-0000-0000C4010000}"/>
    <cellStyle name="Normal 4 3" xfId="453" xr:uid="{00000000-0005-0000-0000-0000C5010000}"/>
    <cellStyle name="Normal 4 3 2" xfId="454" xr:uid="{00000000-0005-0000-0000-0000C6010000}"/>
    <cellStyle name="Normal 4 3 3" xfId="455" xr:uid="{00000000-0005-0000-0000-0000C7010000}"/>
    <cellStyle name="Normal 4 4" xfId="456" xr:uid="{00000000-0005-0000-0000-0000C8010000}"/>
    <cellStyle name="Normal 4 5" xfId="457" xr:uid="{00000000-0005-0000-0000-0000C9010000}"/>
    <cellStyle name="Normal 4 5 2" xfId="458" xr:uid="{00000000-0005-0000-0000-0000CA010000}"/>
    <cellStyle name="Normal 4 5 3" xfId="459" xr:uid="{00000000-0005-0000-0000-0000CB010000}"/>
    <cellStyle name="Normal 4 6" xfId="460" xr:uid="{00000000-0005-0000-0000-0000CC010000}"/>
    <cellStyle name="Normal 4 6 2" xfId="461" xr:uid="{00000000-0005-0000-0000-0000CD010000}"/>
    <cellStyle name="Normal 4 6 3" xfId="462" xr:uid="{00000000-0005-0000-0000-0000CE010000}"/>
    <cellStyle name="Normal 4 7" xfId="463" xr:uid="{00000000-0005-0000-0000-0000CF010000}"/>
    <cellStyle name="Normal 4 8" xfId="464" xr:uid="{00000000-0005-0000-0000-0000D0010000}"/>
    <cellStyle name="Normal 4 9" xfId="465" xr:uid="{00000000-0005-0000-0000-0000D1010000}"/>
    <cellStyle name="Normal 5 2" xfId="466" xr:uid="{00000000-0005-0000-0000-0000D2010000}"/>
    <cellStyle name="Normal 5 3" xfId="467" xr:uid="{00000000-0005-0000-0000-0000D3010000}"/>
    <cellStyle name="Normal 5 3 2" xfId="468" xr:uid="{00000000-0005-0000-0000-0000D4010000}"/>
    <cellStyle name="Normal 5 3 3" xfId="469" xr:uid="{00000000-0005-0000-0000-0000D5010000}"/>
    <cellStyle name="Normal 5 4" xfId="470" xr:uid="{00000000-0005-0000-0000-0000D6010000}"/>
    <cellStyle name="Normal 5 5" xfId="471" xr:uid="{00000000-0005-0000-0000-0000D7010000}"/>
    <cellStyle name="Normal 5 5 2" xfId="472" xr:uid="{00000000-0005-0000-0000-0000D8010000}"/>
    <cellStyle name="Normal 5 5 3" xfId="473" xr:uid="{00000000-0005-0000-0000-0000D9010000}"/>
    <cellStyle name="Normal 5 6" xfId="474" xr:uid="{00000000-0005-0000-0000-0000DA010000}"/>
    <cellStyle name="Normal 6" xfId="475" xr:uid="{00000000-0005-0000-0000-0000DB010000}"/>
    <cellStyle name="Normal 6 2" xfId="476" xr:uid="{00000000-0005-0000-0000-0000DC010000}"/>
    <cellStyle name="Normal 6 3" xfId="477" xr:uid="{00000000-0005-0000-0000-0000DD010000}"/>
    <cellStyle name="Normal 6 4" xfId="478" xr:uid="{00000000-0005-0000-0000-0000DE010000}"/>
    <cellStyle name="Normal 6 5" xfId="479" xr:uid="{00000000-0005-0000-0000-0000DF010000}"/>
    <cellStyle name="Normal 7 2" xfId="480" xr:uid="{00000000-0005-0000-0000-0000E0010000}"/>
    <cellStyle name="Normal 7 2 2" xfId="481" xr:uid="{00000000-0005-0000-0000-0000E1010000}"/>
    <cellStyle name="Normal 7 2 2 2" xfId="482" xr:uid="{00000000-0005-0000-0000-0000E2010000}"/>
    <cellStyle name="Normal 7 2 2 3" xfId="483" xr:uid="{00000000-0005-0000-0000-0000E3010000}"/>
    <cellStyle name="Normal 7 2 3" xfId="484" xr:uid="{00000000-0005-0000-0000-0000E4010000}"/>
    <cellStyle name="Normal 7 2 4" xfId="485" xr:uid="{00000000-0005-0000-0000-0000E5010000}"/>
    <cellStyle name="Normal 7 2 4 2" xfId="486" xr:uid="{00000000-0005-0000-0000-0000E6010000}"/>
    <cellStyle name="Normal 7 2 4 3" xfId="487" xr:uid="{00000000-0005-0000-0000-0000E7010000}"/>
    <cellStyle name="Normal 7 2 5" xfId="488" xr:uid="{00000000-0005-0000-0000-0000E8010000}"/>
    <cellStyle name="Normal 7 3" xfId="489" xr:uid="{00000000-0005-0000-0000-0000E9010000}"/>
    <cellStyle name="Normal 7 4" xfId="490" xr:uid="{00000000-0005-0000-0000-0000EA010000}"/>
    <cellStyle name="Normal 7 4 2" xfId="491" xr:uid="{00000000-0005-0000-0000-0000EB010000}"/>
    <cellStyle name="Normal 7 4 3" xfId="492" xr:uid="{00000000-0005-0000-0000-0000EC010000}"/>
    <cellStyle name="Normal 7 5" xfId="493" xr:uid="{00000000-0005-0000-0000-0000ED010000}"/>
    <cellStyle name="Normal 7 5 2" xfId="494" xr:uid="{00000000-0005-0000-0000-0000EE010000}"/>
    <cellStyle name="Normal 7 5 3" xfId="495" xr:uid="{00000000-0005-0000-0000-0000EF010000}"/>
    <cellStyle name="Normal 7 5 4" xfId="496" xr:uid="{00000000-0005-0000-0000-0000F0010000}"/>
    <cellStyle name="Normal 7 5 5" xfId="497" xr:uid="{00000000-0005-0000-0000-0000F1010000}"/>
    <cellStyle name="Normal 7 6" xfId="498" xr:uid="{00000000-0005-0000-0000-0000F2010000}"/>
    <cellStyle name="Normal 7 7" xfId="499" xr:uid="{00000000-0005-0000-0000-0000F3010000}"/>
    <cellStyle name="Normal 8 2" xfId="500" xr:uid="{00000000-0005-0000-0000-0000F4010000}"/>
    <cellStyle name="Normal 8 3" xfId="501" xr:uid="{00000000-0005-0000-0000-0000F5010000}"/>
    <cellStyle name="Normal 9 2" xfId="502" xr:uid="{00000000-0005-0000-0000-0000F6010000}"/>
    <cellStyle name="Normal 9 2 2" xfId="503" xr:uid="{00000000-0005-0000-0000-0000F7010000}"/>
    <cellStyle name="Normal 9 2 3" xfId="504" xr:uid="{00000000-0005-0000-0000-0000F8010000}"/>
    <cellStyle name="Normal 9 3" xfId="505" xr:uid="{00000000-0005-0000-0000-0000F9010000}"/>
    <cellStyle name="Normal 9 4" xfId="506" xr:uid="{00000000-0005-0000-0000-0000FA010000}"/>
    <cellStyle name="Normal 9 5" xfId="507" xr:uid="{00000000-0005-0000-0000-0000FB010000}"/>
    <cellStyle name="Normal 9 5 2" xfId="508" xr:uid="{00000000-0005-0000-0000-0000FC010000}"/>
    <cellStyle name="Normal 9 5 3" xfId="509" xr:uid="{00000000-0005-0000-0000-0000FD010000}"/>
    <cellStyle name="Normal 9 6" xfId="510" xr:uid="{00000000-0005-0000-0000-0000FE010000}"/>
    <cellStyle name="Normal 9 6 2" xfId="511" xr:uid="{00000000-0005-0000-0000-0000FF010000}"/>
    <cellStyle name="Normal 9 6 3" xfId="512" xr:uid="{00000000-0005-0000-0000-000000020000}"/>
    <cellStyle name="Normal_debt" xfId="513" xr:uid="{00000000-0005-0000-0000-000001020000}"/>
    <cellStyle name="Normal_lpform" xfId="514" xr:uid="{00000000-0005-0000-0000-000002020000}"/>
  </cellStyles>
  <dxfs count="84">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702905</xdr:colOff>
      <xdr:row>64</xdr:row>
      <xdr:rowOff>38100</xdr:rowOff>
    </xdr:to>
    <xdr:pic>
      <xdr:nvPicPr>
        <xdr:cNvPr id="2" name="Picture 1">
          <a:extLst>
            <a:ext uri="{FF2B5EF4-FFF2-40B4-BE49-F238E27FC236}">
              <a16:creationId xmlns:a16="http://schemas.microsoft.com/office/drawing/2014/main" id="{85748494-1E4C-4AB5-AAE5-CD58ED730C22}"/>
            </a:ext>
          </a:extLst>
        </xdr:cNvPr>
        <xdr:cNvPicPr>
          <a:picLocks noChangeAspect="1"/>
        </xdr:cNvPicPr>
      </xdr:nvPicPr>
      <xdr:blipFill>
        <a:blip xmlns:r="http://schemas.openxmlformats.org/officeDocument/2006/relationships" r:embed="rId1"/>
        <a:stretch>
          <a:fillRect/>
        </a:stretch>
      </xdr:blipFill>
      <xdr:spPr>
        <a:xfrm>
          <a:off x="0" y="0"/>
          <a:ext cx="9420185" cy="1223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778972</xdr:colOff>
      <xdr:row>44</xdr:row>
      <xdr:rowOff>106680</xdr:rowOff>
    </xdr:to>
    <xdr:pic>
      <xdr:nvPicPr>
        <xdr:cNvPr id="3" name="Picture 2">
          <a:extLst>
            <a:ext uri="{FF2B5EF4-FFF2-40B4-BE49-F238E27FC236}">
              <a16:creationId xmlns:a16="http://schemas.microsoft.com/office/drawing/2014/main" id="{5361A94B-DAB1-43FD-AACB-1E73075AE367}"/>
            </a:ext>
          </a:extLst>
        </xdr:cNvPr>
        <xdr:cNvPicPr>
          <a:picLocks noChangeAspect="1"/>
        </xdr:cNvPicPr>
      </xdr:nvPicPr>
      <xdr:blipFill>
        <a:blip xmlns:r="http://schemas.openxmlformats.org/officeDocument/2006/relationships" r:embed="rId1"/>
        <a:stretch>
          <a:fillRect/>
        </a:stretch>
      </xdr:blipFill>
      <xdr:spPr>
        <a:xfrm>
          <a:off x="0" y="1"/>
          <a:ext cx="8703772" cy="848867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ina Bond" id="{5D82D434-9CAD-4833-90F7-9B509E0A24FD}" userId="2d6e3dea8c764b2f"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40" dT="2019-07-11T01:03:52.82" personId="{5D82D434-9CAD-4833-90F7-9B509E0A24FD}" id="{74236671-DA07-479F-8D03-8E09F5EBAE57}">
    <text>25K for sweeper down payment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megan.schulz@ks.gov"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2"/>
  <sheetViews>
    <sheetView topLeftCell="A25" zoomScale="80" workbookViewId="0">
      <selection activeCell="M18" sqref="M18"/>
    </sheetView>
  </sheetViews>
  <sheetFormatPr defaultColWidth="8.88671875" defaultRowHeight="15.75" x14ac:dyDescent="0.2"/>
  <cols>
    <col min="1" max="1" width="75.77734375" style="3" customWidth="1"/>
    <col min="2" max="16384" width="8.88671875" style="3"/>
  </cols>
  <sheetData>
    <row r="1" spans="1:1" x14ac:dyDescent="0.2">
      <c r="A1" s="2" t="s">
        <v>939</v>
      </c>
    </row>
    <row r="3" spans="1:1" ht="34.5" customHeight="1" x14ac:dyDescent="0.25">
      <c r="A3" s="390" t="s">
        <v>1039</v>
      </c>
    </row>
    <row r="4" spans="1:1" x14ac:dyDescent="0.2">
      <c r="A4" s="4"/>
    </row>
    <row r="5" spans="1:1" ht="85.5" customHeight="1" x14ac:dyDescent="0.2">
      <c r="A5" s="5" t="s">
        <v>228</v>
      </c>
    </row>
    <row r="6" spans="1:1" x14ac:dyDescent="0.2">
      <c r="A6" s="5"/>
    </row>
    <row r="7" spans="1:1" ht="55.5" customHeight="1" x14ac:dyDescent="0.2">
      <c r="A7" s="5" t="s">
        <v>858</v>
      </c>
    </row>
    <row r="8" spans="1:1" x14ac:dyDescent="0.2">
      <c r="A8" s="5"/>
    </row>
    <row r="9" spans="1:1" x14ac:dyDescent="0.2">
      <c r="A9" s="2" t="s">
        <v>231</v>
      </c>
    </row>
    <row r="10" spans="1:1" x14ac:dyDescent="0.2">
      <c r="A10" s="2"/>
    </row>
    <row r="11" spans="1:1" x14ac:dyDescent="0.2">
      <c r="A11" s="4" t="s">
        <v>233</v>
      </c>
    </row>
    <row r="13" spans="1:1" ht="38.25" customHeight="1" x14ac:dyDescent="0.2">
      <c r="A13" s="6" t="s">
        <v>583</v>
      </c>
    </row>
    <row r="14" spans="1:1" ht="14.25" customHeight="1" x14ac:dyDescent="0.2">
      <c r="A14" s="6"/>
    </row>
    <row r="16" spans="1:1" x14ac:dyDescent="0.2">
      <c r="A16" s="2" t="s">
        <v>284</v>
      </c>
    </row>
    <row r="18" spans="1:1" ht="34.5" customHeight="1" x14ac:dyDescent="0.2">
      <c r="A18" s="5" t="s">
        <v>232</v>
      </c>
    </row>
    <row r="19" spans="1:1" ht="12" customHeight="1" x14ac:dyDescent="0.2">
      <c r="A19" s="5"/>
    </row>
    <row r="20" spans="1:1" ht="16.5" customHeight="1" x14ac:dyDescent="0.2">
      <c r="A20" s="7" t="s">
        <v>197</v>
      </c>
    </row>
    <row r="21" spans="1:1" ht="9.75" customHeight="1" x14ac:dyDescent="0.2">
      <c r="A21" s="8"/>
    </row>
    <row r="22" spans="1:1" x14ac:dyDescent="0.2">
      <c r="A22" s="9" t="s">
        <v>208</v>
      </c>
    </row>
    <row r="23" spans="1:1" x14ac:dyDescent="0.2">
      <c r="A23" s="10"/>
    </row>
    <row r="24" spans="1:1" ht="85.5" customHeight="1" x14ac:dyDescent="0.2">
      <c r="A24" s="11" t="s">
        <v>216</v>
      </c>
    </row>
    <row r="25" spans="1:1" ht="19.5" customHeight="1" x14ac:dyDescent="0.2">
      <c r="A25" s="5"/>
    </row>
    <row r="26" spans="1:1" ht="19.5" customHeight="1" x14ac:dyDescent="0.2">
      <c r="A26" s="12" t="s">
        <v>198</v>
      </c>
    </row>
    <row r="28" spans="1:1" x14ac:dyDescent="0.2">
      <c r="A28" s="13" t="s">
        <v>229</v>
      </c>
    </row>
    <row r="30" spans="1:1" ht="20.25" customHeight="1" x14ac:dyDescent="0.2">
      <c r="A30" s="5" t="s">
        <v>230</v>
      </c>
    </row>
    <row r="32" spans="1:1" x14ac:dyDescent="0.2">
      <c r="A32" s="2" t="s">
        <v>81</v>
      </c>
    </row>
    <row r="34" spans="1:1" ht="69" customHeight="1" x14ac:dyDescent="0.2">
      <c r="A34" s="5" t="s">
        <v>686</v>
      </c>
    </row>
    <row r="35" spans="1:1" ht="38.25" customHeight="1" x14ac:dyDescent="0.2">
      <c r="A35" s="5" t="s">
        <v>217</v>
      </c>
    </row>
    <row r="36" spans="1:1" ht="51" customHeight="1" x14ac:dyDescent="0.2">
      <c r="A36" s="14" t="s">
        <v>199</v>
      </c>
    </row>
    <row r="37" spans="1:1" ht="11.25" customHeight="1" x14ac:dyDescent="0.2"/>
    <row r="38" spans="1:1" ht="80.25" customHeight="1" x14ac:dyDescent="0.2">
      <c r="A38" s="5" t="s">
        <v>687</v>
      </c>
    </row>
    <row r="39" spans="1:1" ht="67.5" customHeight="1" x14ac:dyDescent="0.2">
      <c r="A39" s="5" t="s">
        <v>260</v>
      </c>
    </row>
    <row r="40" spans="1:1" ht="103.5" customHeight="1" x14ac:dyDescent="0.2">
      <c r="A40" s="5" t="s">
        <v>261</v>
      </c>
    </row>
    <row r="41" spans="1:1" ht="12.75" customHeight="1" x14ac:dyDescent="0.2"/>
    <row r="42" spans="1:1" ht="74.099999999999994" customHeight="1" x14ac:dyDescent="0.2">
      <c r="A42" s="377" t="s">
        <v>859</v>
      </c>
    </row>
    <row r="43" spans="1:1" ht="69.95" customHeight="1" x14ac:dyDescent="0.2">
      <c r="A43" s="150" t="s">
        <v>550</v>
      </c>
    </row>
    <row r="44" spans="1:1" ht="69.95" customHeight="1" x14ac:dyDescent="0.2">
      <c r="A44" s="378" t="s">
        <v>860</v>
      </c>
    </row>
    <row r="45" spans="1:1" ht="12.75" customHeight="1" x14ac:dyDescent="0.2"/>
    <row r="46" spans="1:1" ht="67.5" customHeight="1" x14ac:dyDescent="0.2">
      <c r="A46" s="5" t="s">
        <v>551</v>
      </c>
    </row>
    <row r="47" spans="1:1" ht="37.5" customHeight="1" x14ac:dyDescent="0.2">
      <c r="A47" s="5" t="s">
        <v>552</v>
      </c>
    </row>
    <row r="48" spans="1:1" ht="91.5" customHeight="1" x14ac:dyDescent="0.2">
      <c r="A48" s="5" t="s">
        <v>1040</v>
      </c>
    </row>
    <row r="49" spans="1:1" ht="108" customHeight="1" x14ac:dyDescent="0.2">
      <c r="A49" s="379" t="s">
        <v>895</v>
      </c>
    </row>
    <row r="50" spans="1:1" ht="13.5" customHeight="1" x14ac:dyDescent="0.2">
      <c r="A50" s="5"/>
    </row>
    <row r="51" spans="1:1" ht="70.5" customHeight="1" x14ac:dyDescent="0.2">
      <c r="A51" s="5" t="s">
        <v>932</v>
      </c>
    </row>
    <row r="52" spans="1:1" ht="155.25" customHeight="1" x14ac:dyDescent="0.2">
      <c r="A52" s="5" t="s">
        <v>933</v>
      </c>
    </row>
    <row r="53" spans="1:1" ht="42.75" customHeight="1" x14ac:dyDescent="0.2">
      <c r="A53" s="5" t="s">
        <v>934</v>
      </c>
    </row>
    <row r="54" spans="1:1" ht="15.75" customHeight="1" x14ac:dyDescent="0.2">
      <c r="A54" s="5"/>
    </row>
    <row r="55" spans="1:1" ht="83.25" customHeight="1" x14ac:dyDescent="0.2">
      <c r="A55" s="379" t="s">
        <v>861</v>
      </c>
    </row>
    <row r="56" spans="1:1" ht="12.75" customHeight="1" x14ac:dyDescent="0.2"/>
    <row r="57" spans="1:1" ht="71.25" customHeight="1" x14ac:dyDescent="0.2">
      <c r="A57" s="5" t="s">
        <v>553</v>
      </c>
    </row>
    <row r="58" spans="1:1" ht="45" customHeight="1" x14ac:dyDescent="0.2">
      <c r="A58" s="5" t="s">
        <v>558</v>
      </c>
    </row>
    <row r="59" spans="1:1" ht="97.5" customHeight="1" x14ac:dyDescent="0.2">
      <c r="A59" s="5" t="s">
        <v>584</v>
      </c>
    </row>
    <row r="60" spans="1:1" ht="42.75" customHeight="1" x14ac:dyDescent="0.2">
      <c r="A60" s="136" t="s">
        <v>559</v>
      </c>
    </row>
    <row r="61" spans="1:1" ht="14.25" customHeight="1" x14ac:dyDescent="0.2"/>
    <row r="62" spans="1:1" s="5" customFormat="1" ht="58.5" customHeight="1" x14ac:dyDescent="0.2">
      <c r="A62" s="5" t="s">
        <v>554</v>
      </c>
    </row>
    <row r="64" spans="1:1" ht="69" customHeight="1" x14ac:dyDescent="0.2">
      <c r="A64" s="5" t="s">
        <v>555</v>
      </c>
    </row>
    <row r="65" spans="1:1" ht="15.75" customHeight="1" x14ac:dyDescent="0.2">
      <c r="A65" s="5"/>
    </row>
    <row r="66" spans="1:1" ht="167.25" customHeight="1" x14ac:dyDescent="0.2">
      <c r="A66" s="379" t="s">
        <v>862</v>
      </c>
    </row>
    <row r="67" spans="1:1" ht="11.25" customHeight="1" x14ac:dyDescent="0.2"/>
    <row r="68" spans="1:1" ht="104.25" customHeight="1" x14ac:dyDescent="0.2">
      <c r="A68" s="5" t="s">
        <v>863</v>
      </c>
    </row>
    <row r="69" spans="1:1" ht="72.75" customHeight="1" x14ac:dyDescent="0.2">
      <c r="A69" s="379" t="s">
        <v>887</v>
      </c>
    </row>
    <row r="70" spans="1:1" ht="117" customHeight="1" x14ac:dyDescent="0.2">
      <c r="A70" s="380" t="s">
        <v>864</v>
      </c>
    </row>
    <row r="71" spans="1:1" ht="93" customHeight="1" x14ac:dyDescent="0.2">
      <c r="A71" s="380" t="s">
        <v>865</v>
      </c>
    </row>
    <row r="72" spans="1:1" ht="104.25" customHeight="1" x14ac:dyDescent="0.2">
      <c r="A72" s="380" t="s">
        <v>866</v>
      </c>
    </row>
    <row r="73" spans="1:1" ht="77.25" customHeight="1" x14ac:dyDescent="0.2">
      <c r="A73" s="5" t="s">
        <v>867</v>
      </c>
    </row>
    <row r="74" spans="1:1" ht="112.5" customHeight="1" x14ac:dyDescent="0.2">
      <c r="A74" s="379" t="s">
        <v>868</v>
      </c>
    </row>
    <row r="75" spans="1:1" ht="138" customHeight="1" x14ac:dyDescent="0.2">
      <c r="A75" s="5" t="s">
        <v>869</v>
      </c>
    </row>
    <row r="76" spans="1:1" ht="81" customHeight="1" x14ac:dyDescent="0.2">
      <c r="A76" s="5" t="s">
        <v>870</v>
      </c>
    </row>
    <row r="77" spans="1:1" ht="78.75" customHeight="1" x14ac:dyDescent="0.2">
      <c r="A77" s="5" t="s">
        <v>871</v>
      </c>
    </row>
    <row r="78" spans="1:1" ht="99.75" customHeight="1" x14ac:dyDescent="0.2">
      <c r="A78" s="5" t="s">
        <v>872</v>
      </c>
    </row>
    <row r="79" spans="1:1" ht="57" customHeight="1" x14ac:dyDescent="0.2">
      <c r="A79" s="5" t="s">
        <v>873</v>
      </c>
    </row>
    <row r="80" spans="1:1" ht="111" customHeight="1" x14ac:dyDescent="0.2">
      <c r="A80" s="5" t="s">
        <v>874</v>
      </c>
    </row>
    <row r="81" spans="1:1" ht="111.75" customHeight="1" x14ac:dyDescent="0.2">
      <c r="A81" s="253" t="s">
        <v>875</v>
      </c>
    </row>
    <row r="82" spans="1:1" ht="110.25" customHeight="1" x14ac:dyDescent="0.2">
      <c r="A82" s="254" t="s">
        <v>876</v>
      </c>
    </row>
    <row r="83" spans="1:1" ht="51.75" customHeight="1" x14ac:dyDescent="0.2">
      <c r="A83" s="255" t="s">
        <v>877</v>
      </c>
    </row>
    <row r="84" spans="1:1" ht="78.75" customHeight="1" x14ac:dyDescent="0.2">
      <c r="A84" s="379" t="s">
        <v>878</v>
      </c>
    </row>
    <row r="85" spans="1:1" ht="78.75" customHeight="1" x14ac:dyDescent="0.2">
      <c r="A85" s="379" t="s">
        <v>888</v>
      </c>
    </row>
    <row r="86" spans="1:1" ht="46.5" customHeight="1" x14ac:dyDescent="0.2">
      <c r="A86" s="381" t="s">
        <v>889</v>
      </c>
    </row>
    <row r="87" spans="1:1" ht="53.25" customHeight="1" x14ac:dyDescent="0.2">
      <c r="A87" s="380" t="s">
        <v>890</v>
      </c>
    </row>
    <row r="88" spans="1:1" ht="125.25" customHeight="1" x14ac:dyDescent="0.2">
      <c r="A88" s="380" t="s">
        <v>891</v>
      </c>
    </row>
    <row r="89" spans="1:1" ht="149.25" customHeight="1" x14ac:dyDescent="0.2">
      <c r="A89" s="380" t="s">
        <v>892</v>
      </c>
    </row>
    <row r="90" spans="1:1" ht="87" customHeight="1" x14ac:dyDescent="0.2">
      <c r="A90" s="382" t="s">
        <v>893</v>
      </c>
    </row>
    <row r="91" spans="1:1" ht="84" customHeight="1" x14ac:dyDescent="0.2">
      <c r="A91" s="383" t="s">
        <v>894</v>
      </c>
    </row>
    <row r="92" spans="1:1" ht="30.75" customHeight="1" x14ac:dyDescent="0.2"/>
    <row r="93" spans="1:1" ht="162" customHeight="1" x14ac:dyDescent="0.2">
      <c r="A93" s="5" t="s">
        <v>879</v>
      </c>
    </row>
    <row r="94" spans="1:1" ht="159.75" customHeight="1" x14ac:dyDescent="0.2">
      <c r="A94" s="5" t="s">
        <v>880</v>
      </c>
    </row>
    <row r="95" spans="1:1" ht="45" customHeight="1" x14ac:dyDescent="0.2">
      <c r="A95" s="5" t="s">
        <v>881</v>
      </c>
    </row>
    <row r="96" spans="1:1" ht="45" customHeight="1" x14ac:dyDescent="0.2">
      <c r="A96" s="5" t="s">
        <v>882</v>
      </c>
    </row>
    <row r="97" spans="1:1" ht="15" customHeight="1" x14ac:dyDescent="0.2"/>
    <row r="98" spans="1:1" ht="72" customHeight="1" x14ac:dyDescent="0.2">
      <c r="A98" s="379" t="s">
        <v>883</v>
      </c>
    </row>
    <row r="99" spans="1:1" x14ac:dyDescent="0.2">
      <c r="A99" s="384"/>
    </row>
    <row r="100" spans="1:1" ht="54" customHeight="1" x14ac:dyDescent="0.2">
      <c r="A100" s="380" t="s">
        <v>884</v>
      </c>
    </row>
    <row r="101" spans="1:1" ht="101.25" customHeight="1" x14ac:dyDescent="0.2">
      <c r="A101" s="380" t="s">
        <v>885</v>
      </c>
    </row>
    <row r="102" spans="1:1" ht="131.25" customHeight="1" x14ac:dyDescent="0.2">
      <c r="A102" s="380" t="s">
        <v>886</v>
      </c>
    </row>
  </sheetData>
  <phoneticPr fontId="0" type="noConversion"/>
  <pageMargins left="0.5" right="0.5" top="0.5" bottom="0.5" header="0.5" footer="0.25"/>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fitToPage="1"/>
  </sheetPr>
  <dimension ref="A1:J70"/>
  <sheetViews>
    <sheetView topLeftCell="A7" workbookViewId="0">
      <selection activeCell="J18" sqref="J18"/>
    </sheetView>
  </sheetViews>
  <sheetFormatPr defaultColWidth="8.6640625" defaultRowHeight="15.75" x14ac:dyDescent="0.25"/>
  <cols>
    <col min="1" max="1" width="3.6640625" style="973" customWidth="1"/>
    <col min="2" max="7" width="8.6640625" style="973"/>
    <col min="8" max="8" width="15.77734375" style="973" customWidth="1"/>
    <col min="9" max="9" width="3.77734375" style="973" customWidth="1"/>
    <col min="10" max="16384" width="8.6640625" style="973"/>
  </cols>
  <sheetData>
    <row r="1" spans="1:10" x14ac:dyDescent="0.25">
      <c r="A1" s="970"/>
      <c r="B1" s="970"/>
      <c r="C1" s="971" t="str">
        <f>inputPrYr!D3</f>
        <v>UNIFIED GREELEY COUNTY - MUNICIPAL SERVICE DISTRICT</v>
      </c>
      <c r="D1" s="970"/>
      <c r="E1" s="970"/>
      <c r="F1" s="970"/>
      <c r="G1" s="970"/>
      <c r="H1" s="970"/>
      <c r="I1" s="970"/>
      <c r="J1" s="972">
        <f>inputPrYr!C6</f>
        <v>2020</v>
      </c>
    </row>
    <row r="2" spans="1:10" x14ac:dyDescent="0.25">
      <c r="A2" s="970"/>
      <c r="B2" s="970"/>
      <c r="C2" s="970"/>
      <c r="D2" s="970"/>
      <c r="E2" s="970"/>
      <c r="F2" s="970"/>
      <c r="G2" s="970"/>
      <c r="H2" s="970"/>
      <c r="I2" s="970"/>
      <c r="J2" s="970"/>
    </row>
    <row r="3" spans="1:10" x14ac:dyDescent="0.25">
      <c r="A3" s="929"/>
      <c r="B3" s="974"/>
      <c r="C3" s="974"/>
      <c r="D3" s="927"/>
      <c r="E3" s="974"/>
      <c r="F3" s="974"/>
      <c r="G3" s="974"/>
      <c r="H3" s="974"/>
      <c r="I3" s="974"/>
      <c r="J3" s="974"/>
    </row>
    <row r="4" spans="1:10" x14ac:dyDescent="0.25">
      <c r="A4" s="975"/>
      <c r="B4" s="976"/>
      <c r="C4" s="977"/>
      <c r="D4" s="978"/>
      <c r="E4" s="1056"/>
      <c r="F4" s="1056"/>
      <c r="G4" s="1056"/>
      <c r="H4" s="979"/>
      <c r="I4" s="976"/>
      <c r="J4" s="980"/>
    </row>
    <row r="5" spans="1:10" x14ac:dyDescent="0.25">
      <c r="A5" s="981"/>
      <c r="B5" s="976"/>
      <c r="C5" s="982" t="s">
        <v>1012</v>
      </c>
      <c r="D5" s="976"/>
      <c r="E5" s="983"/>
      <c r="F5" s="983"/>
      <c r="G5" s="983"/>
      <c r="H5" s="984"/>
      <c r="I5" s="983"/>
      <c r="J5" s="983"/>
    </row>
    <row r="6" spans="1:10" x14ac:dyDescent="0.25">
      <c r="A6" s="981"/>
      <c r="B6" s="976"/>
      <c r="C6" s="982"/>
      <c r="D6" s="976"/>
      <c r="E6" s="983"/>
      <c r="F6" s="983"/>
      <c r="G6" s="983"/>
      <c r="H6" s="984"/>
      <c r="I6" s="983"/>
      <c r="J6" s="983"/>
    </row>
    <row r="7" spans="1:10" x14ac:dyDescent="0.25">
      <c r="A7" s="981"/>
      <c r="B7" s="976"/>
      <c r="C7" s="976"/>
      <c r="D7" s="976"/>
      <c r="E7" s="983"/>
      <c r="F7" s="983"/>
      <c r="G7" s="983"/>
      <c r="H7" s="984"/>
      <c r="I7" s="983"/>
      <c r="J7" s="985"/>
    </row>
    <row r="8" spans="1:10" x14ac:dyDescent="0.25">
      <c r="A8" s="981" t="s">
        <v>1013</v>
      </c>
      <c r="B8" s="970" t="str">
        <f>CONCATENATE("Library levy  - ",J1," budget:")</f>
        <v>Library levy  - 2020 budget:</v>
      </c>
      <c r="C8" s="983"/>
      <c r="D8" s="976"/>
      <c r="E8" s="983"/>
      <c r="F8" s="983"/>
      <c r="G8" s="983"/>
      <c r="H8" s="984"/>
      <c r="I8" s="986" t="s">
        <v>95</v>
      </c>
      <c r="J8" s="952"/>
    </row>
    <row r="9" spans="1:10" x14ac:dyDescent="0.25">
      <c r="A9" s="981"/>
      <c r="B9" s="970" t="str">
        <f>CONCATENATE("Other tax entity levy - ",J1," budget:")</f>
        <v>Other tax entity levy - 2020 budget:</v>
      </c>
      <c r="C9" s="976"/>
      <c r="D9" s="976"/>
      <c r="E9" s="983"/>
      <c r="F9" s="983"/>
      <c r="G9" s="983"/>
      <c r="H9" s="983"/>
      <c r="I9" s="986" t="s">
        <v>95</v>
      </c>
      <c r="J9" s="952"/>
    </row>
    <row r="10" spans="1:10" x14ac:dyDescent="0.25">
      <c r="A10" s="976"/>
      <c r="B10" s="970" t="str">
        <f>CONCATENATE("Other tax entity levy  - ",J1," budget:")</f>
        <v>Other tax entity levy  - 2020 budget:</v>
      </c>
      <c r="C10" s="976"/>
      <c r="D10" s="976"/>
      <c r="E10" s="983"/>
      <c r="F10" s="987"/>
      <c r="G10" s="983"/>
      <c r="H10" s="983"/>
      <c r="I10" s="986" t="s">
        <v>95</v>
      </c>
      <c r="J10" s="952"/>
    </row>
    <row r="11" spans="1:10" x14ac:dyDescent="0.25">
      <c r="A11" s="1056"/>
      <c r="B11" s="1057"/>
      <c r="C11" s="1057"/>
      <c r="D11" s="1057"/>
      <c r="E11" s="1057"/>
      <c r="F11" s="1057"/>
      <c r="G11" s="1057"/>
      <c r="H11" s="1057"/>
      <c r="I11" s="1057"/>
      <c r="J11" s="1057"/>
    </row>
    <row r="12" spans="1:10" x14ac:dyDescent="0.25">
      <c r="A12" s="976"/>
      <c r="B12" s="976"/>
      <c r="C12" s="976"/>
      <c r="D12" s="976"/>
      <c r="E12" s="983"/>
      <c r="F12" s="983"/>
      <c r="G12" s="983"/>
      <c r="H12" s="983"/>
      <c r="I12" s="983"/>
      <c r="J12" s="983"/>
    </row>
    <row r="13" spans="1:10" x14ac:dyDescent="0.25">
      <c r="A13" s="988" t="s">
        <v>1014</v>
      </c>
      <c r="B13" s="989" t="s">
        <v>1015</v>
      </c>
      <c r="C13" s="989"/>
      <c r="D13" s="989"/>
      <c r="E13" s="990"/>
      <c r="F13" s="990"/>
      <c r="G13" s="991"/>
      <c r="H13" s="983"/>
      <c r="I13" s="986" t="s">
        <v>95</v>
      </c>
      <c r="J13" s="992">
        <f>SUM(J8:J10)</f>
        <v>0</v>
      </c>
    </row>
    <row r="14" spans="1:10" x14ac:dyDescent="0.25">
      <c r="A14" s="988"/>
      <c r="B14" s="989"/>
      <c r="C14" s="989"/>
      <c r="D14" s="989"/>
      <c r="E14" s="990"/>
      <c r="F14" s="990"/>
      <c r="G14" s="991"/>
      <c r="H14" s="983"/>
      <c r="I14" s="986"/>
      <c r="J14" s="983"/>
    </row>
    <row r="15" spans="1:10" x14ac:dyDescent="0.25">
      <c r="A15" s="988">
        <v>29</v>
      </c>
      <c r="B15" s="989" t="s">
        <v>1043</v>
      </c>
      <c r="C15" s="989"/>
      <c r="D15" s="989"/>
      <c r="E15" s="990"/>
      <c r="F15" s="990"/>
      <c r="G15" s="991"/>
      <c r="H15" s="983"/>
      <c r="I15" s="986" t="s">
        <v>95</v>
      </c>
      <c r="J15" s="952"/>
    </row>
    <row r="16" spans="1:10" x14ac:dyDescent="0.25">
      <c r="A16" s="988"/>
      <c r="B16" s="989"/>
      <c r="C16" s="989"/>
      <c r="D16" s="989"/>
      <c r="E16" s="990"/>
      <c r="F16" s="990"/>
      <c r="G16" s="991"/>
      <c r="H16" s="983"/>
      <c r="I16" s="986"/>
      <c r="J16" s="983"/>
    </row>
    <row r="17" spans="1:10" x14ac:dyDescent="0.25">
      <c r="A17" s="993"/>
      <c r="B17" s="994"/>
      <c r="C17" s="976"/>
      <c r="D17" s="976"/>
      <c r="E17" s="984"/>
      <c r="F17" s="984"/>
      <c r="G17" s="983"/>
      <c r="H17" s="983"/>
      <c r="I17" s="983"/>
      <c r="J17" s="983"/>
    </row>
    <row r="18" spans="1:10" x14ac:dyDescent="0.25">
      <c r="A18" s="988" t="s">
        <v>1042</v>
      </c>
      <c r="B18" s="989" t="s">
        <v>1016</v>
      </c>
      <c r="C18" s="989"/>
      <c r="D18" s="989"/>
      <c r="E18" s="990"/>
      <c r="F18" s="990"/>
      <c r="G18" s="991"/>
      <c r="H18" s="991"/>
      <c r="I18" s="983"/>
      <c r="J18" s="995">
        <f>Comp1!J8+Comp1!J45+Comp2!J48+Comp3!J13+J15</f>
        <v>309258</v>
      </c>
    </row>
    <row r="19" spans="1:10" x14ac:dyDescent="0.25">
      <c r="A19" s="975"/>
      <c r="B19" s="976"/>
      <c r="C19" s="976"/>
      <c r="D19" s="994"/>
      <c r="E19" s="983"/>
      <c r="F19" s="984"/>
      <c r="G19" s="983"/>
      <c r="H19" s="983"/>
      <c r="I19" s="983"/>
      <c r="J19" s="983"/>
    </row>
    <row r="20" spans="1:10" x14ac:dyDescent="0.25">
      <c r="A20" s="975"/>
      <c r="B20" s="976"/>
      <c r="C20" s="976"/>
      <c r="D20" s="994"/>
      <c r="E20" s="983"/>
      <c r="F20" s="984"/>
      <c r="G20" s="983"/>
      <c r="H20" s="983"/>
      <c r="I20" s="983"/>
      <c r="J20" s="983"/>
    </row>
    <row r="21" spans="1:10" x14ac:dyDescent="0.25">
      <c r="A21" s="975"/>
      <c r="B21" s="976"/>
      <c r="C21" s="976"/>
      <c r="D21" s="994"/>
      <c r="E21" s="983"/>
      <c r="F21" s="984"/>
      <c r="G21" s="983"/>
      <c r="H21" s="983"/>
      <c r="I21" s="983"/>
      <c r="J21" s="983"/>
    </row>
    <row r="22" spans="1:10" x14ac:dyDescent="0.25">
      <c r="A22" s="994"/>
      <c r="B22" s="976"/>
      <c r="C22" s="976"/>
      <c r="D22" s="994"/>
      <c r="E22" s="983"/>
      <c r="F22" s="984"/>
      <c r="G22" s="983"/>
      <c r="H22" s="983"/>
      <c r="I22" s="983"/>
      <c r="J22" s="983"/>
    </row>
    <row r="23" spans="1:10" x14ac:dyDescent="0.25">
      <c r="A23" s="994"/>
      <c r="B23" s="976"/>
      <c r="C23" s="976"/>
      <c r="D23" s="976"/>
      <c r="E23" s="983"/>
      <c r="F23" s="983"/>
      <c r="G23" s="983"/>
      <c r="H23" s="983"/>
      <c r="I23" s="983"/>
      <c r="J23" s="983"/>
    </row>
    <row r="24" spans="1:10" x14ac:dyDescent="0.25">
      <c r="A24" s="994"/>
      <c r="B24" s="982"/>
      <c r="C24" s="982" t="s">
        <v>1017</v>
      </c>
      <c r="D24" s="976"/>
      <c r="E24" s="983"/>
      <c r="F24" s="983"/>
      <c r="G24" s="983"/>
      <c r="H24" s="983"/>
      <c r="I24" s="983"/>
      <c r="J24" s="983"/>
    </row>
    <row r="25" spans="1:10" x14ac:dyDescent="0.25">
      <c r="A25" s="994"/>
      <c r="B25" s="982"/>
      <c r="C25" s="982"/>
      <c r="D25" s="976"/>
      <c r="E25" s="983"/>
      <c r="F25" s="983"/>
      <c r="G25" s="983"/>
      <c r="H25" s="983"/>
      <c r="I25" s="983"/>
      <c r="J25" s="983"/>
    </row>
    <row r="26" spans="1:10" x14ac:dyDescent="0.25">
      <c r="A26" s="994"/>
      <c r="B26" s="976" t="s">
        <v>1018</v>
      </c>
      <c r="C26" s="982"/>
      <c r="D26" s="976"/>
      <c r="E26" s="983"/>
      <c r="F26" s="983"/>
      <c r="G26" s="983"/>
      <c r="H26" s="983"/>
      <c r="I26" s="983"/>
      <c r="J26" s="983"/>
    </row>
    <row r="27" spans="1:10" x14ac:dyDescent="0.25">
      <c r="A27" s="994"/>
      <c r="B27" s="976"/>
      <c r="C27" s="982"/>
      <c r="D27" s="976"/>
      <c r="E27" s="983"/>
      <c r="F27" s="983"/>
      <c r="G27" s="983"/>
      <c r="H27" s="983"/>
      <c r="I27" s="983"/>
      <c r="J27" s="983"/>
    </row>
    <row r="28" spans="1:10" x14ac:dyDescent="0.25">
      <c r="A28" s="994"/>
      <c r="B28" s="976"/>
      <c r="C28" s="976"/>
      <c r="D28" s="976"/>
      <c r="E28" s="983"/>
      <c r="F28" s="983"/>
      <c r="G28" s="983"/>
      <c r="H28" s="983"/>
      <c r="I28" s="983"/>
      <c r="J28" s="983"/>
    </row>
    <row r="29" spans="1:10" x14ac:dyDescent="0.25">
      <c r="A29" s="994"/>
      <c r="B29" s="976"/>
      <c r="C29" s="976" t="str">
        <f>CONCATENATE(J1-4, " Tax Levy (Less Levy for other Governmental Units)")</f>
        <v>2016 Tax Levy (Less Levy for other Governmental Units)</v>
      </c>
      <c r="D29" s="994"/>
      <c r="E29" s="983"/>
      <c r="F29" s="983"/>
      <c r="G29" s="983"/>
      <c r="H29" s="996"/>
      <c r="I29" s="983"/>
      <c r="J29" s="983"/>
    </row>
    <row r="30" spans="1:10" x14ac:dyDescent="0.25">
      <c r="A30" s="994"/>
      <c r="B30" s="976"/>
      <c r="C30" s="976" t="str">
        <f>CONCATENATE(J1-3, " Tax Levy (Less Levy for other Governmental Units)")</f>
        <v>2017 Tax Levy (Less Levy for other Governmental Units)</v>
      </c>
      <c r="D30" s="994"/>
      <c r="E30" s="983"/>
      <c r="F30" s="983"/>
      <c r="G30" s="983"/>
      <c r="H30" s="996"/>
      <c r="I30" s="983"/>
      <c r="J30" s="983" t="str">
        <f>IF(H30&lt;H29,"Decline","None")</f>
        <v>None</v>
      </c>
    </row>
    <row r="31" spans="1:10" x14ac:dyDescent="0.25">
      <c r="A31" s="994"/>
      <c r="B31" s="976"/>
      <c r="C31" s="976" t="str">
        <f>CONCATENATE(J1-2, " Tax Levy (Less Levy for other Governmental Units)")</f>
        <v>2018 Tax Levy (Less Levy for other Governmental Units)</v>
      </c>
      <c r="D31" s="994"/>
      <c r="E31" s="983"/>
      <c r="F31" s="983"/>
      <c r="G31" s="983"/>
      <c r="H31" s="996"/>
      <c r="I31" s="983"/>
      <c r="J31" s="983" t="str">
        <f>IF(H31&lt;H30,"Decline","None")</f>
        <v>None</v>
      </c>
    </row>
    <row r="32" spans="1:10" x14ac:dyDescent="0.25">
      <c r="A32" s="994"/>
      <c r="B32" s="976"/>
      <c r="C32" s="976" t="str">
        <f>CONCATENATE(J1-1, " Tax Levy (Less Levy for other Governmental Units)")</f>
        <v>2019 Tax Levy (Less Levy for other Governmental Units)</v>
      </c>
      <c r="D32" s="994"/>
      <c r="E32" s="983"/>
      <c r="F32" s="983"/>
      <c r="G32" s="983"/>
      <c r="H32" s="996"/>
      <c r="I32" s="983"/>
      <c r="J32" s="983" t="str">
        <f>IF(H32&lt;H31,"Decline","None")</f>
        <v>None</v>
      </c>
    </row>
    <row r="33" spans="1:10" x14ac:dyDescent="0.25">
      <c r="A33" s="994"/>
      <c r="B33" s="976"/>
      <c r="C33" s="976"/>
      <c r="D33" s="994"/>
      <c r="E33" s="983"/>
      <c r="F33" s="983"/>
      <c r="G33" s="983"/>
      <c r="H33" s="983"/>
      <c r="I33" s="983"/>
      <c r="J33" s="983"/>
    </row>
    <row r="34" spans="1:10" x14ac:dyDescent="0.25">
      <c r="A34" s="994"/>
      <c r="B34" s="976"/>
      <c r="C34" s="997" t="s">
        <v>1019</v>
      </c>
      <c r="D34" s="994"/>
      <c r="E34" s="983"/>
      <c r="F34" s="983"/>
      <c r="G34" s="983"/>
      <c r="H34" s="983" t="e">
        <f>AVERAGE(H30:H32)</f>
        <v>#DIV/0!</v>
      </c>
      <c r="I34" s="983"/>
      <c r="J34" s="983"/>
    </row>
    <row r="35" spans="1:10" x14ac:dyDescent="0.25">
      <c r="A35" s="994"/>
      <c r="B35" s="976"/>
      <c r="C35" s="997" t="str">
        <f>CONCATENATE("CPI Adjustment of   ",  inputPrYr!C10)</f>
        <v>CPI Adjustment of   0.025</v>
      </c>
      <c r="D35" s="994"/>
      <c r="E35" s="983"/>
      <c r="F35" s="983"/>
      <c r="G35" s="983"/>
      <c r="H35" s="983" t="e">
        <f>H34*inputPrYr!C10</f>
        <v>#DIV/0!</v>
      </c>
      <c r="I35" s="983"/>
      <c r="J35" s="983"/>
    </row>
    <row r="36" spans="1:10" x14ac:dyDescent="0.25">
      <c r="A36" s="994"/>
      <c r="B36" s="976"/>
      <c r="C36" s="976" t="s">
        <v>1020</v>
      </c>
      <c r="D36" s="994"/>
      <c r="E36" s="983"/>
      <c r="F36" s="983"/>
      <c r="G36" s="983"/>
      <c r="H36" s="983" t="e">
        <f>SUM(H34:H35)</f>
        <v>#DIV/0!</v>
      </c>
      <c r="I36" s="983"/>
      <c r="J36" s="983"/>
    </row>
    <row r="37" spans="1:10" x14ac:dyDescent="0.25">
      <c r="A37" s="994"/>
      <c r="B37" s="976"/>
      <c r="C37" s="976"/>
      <c r="D37" s="994"/>
      <c r="E37" s="983"/>
      <c r="F37" s="983"/>
      <c r="G37" s="983"/>
      <c r="H37" s="983"/>
      <c r="I37" s="983"/>
      <c r="J37" s="983"/>
    </row>
    <row r="38" spans="1:10" x14ac:dyDescent="0.25">
      <c r="A38" s="994"/>
      <c r="B38" s="976"/>
      <c r="C38" s="976" t="str">
        <f>CONCATENATE(J1, " Total Tax Levy (Less Levy for Other Governmental Units)")</f>
        <v>2020 Total Tax Levy (Less Levy for Other Governmental Units)</v>
      </c>
      <c r="D38" s="994"/>
      <c r="E38" s="983"/>
      <c r="F38" s="983"/>
      <c r="G38" s="983"/>
      <c r="H38" s="983"/>
      <c r="I38" s="983"/>
      <c r="J38" s="983"/>
    </row>
    <row r="39" spans="1:10" x14ac:dyDescent="0.25">
      <c r="A39" s="994"/>
      <c r="B39" s="994"/>
      <c r="C39" s="976"/>
      <c r="D39" s="994"/>
      <c r="E39" s="983"/>
      <c r="F39" s="983"/>
      <c r="G39" s="983"/>
      <c r="H39" s="983"/>
      <c r="I39" s="983"/>
      <c r="J39" s="983"/>
    </row>
    <row r="40" spans="1:10" x14ac:dyDescent="0.25">
      <c r="A40" s="994"/>
      <c r="B40" s="976"/>
      <c r="C40" s="989" t="s">
        <v>1021</v>
      </c>
      <c r="D40" s="989"/>
      <c r="E40" s="991"/>
      <c r="F40" s="990"/>
      <c r="G40" s="991"/>
      <c r="H40" s="998" t="e">
        <f>IF(H36&gt;H38,"Yes","No")</f>
        <v>#DIV/0!</v>
      </c>
      <c r="I40" s="983"/>
      <c r="J40" s="983"/>
    </row>
    <row r="41" spans="1:10" x14ac:dyDescent="0.25">
      <c r="A41" s="976"/>
      <c r="B41" s="976"/>
      <c r="C41" s="976"/>
      <c r="D41" s="994"/>
      <c r="E41" s="983"/>
      <c r="F41" s="983"/>
      <c r="G41" s="983"/>
      <c r="H41" s="983"/>
      <c r="I41" s="983"/>
      <c r="J41" s="983"/>
    </row>
    <row r="42" spans="1:10" x14ac:dyDescent="0.25">
      <c r="A42" s="994"/>
      <c r="B42" s="976"/>
      <c r="C42" s="976"/>
      <c r="D42" s="976" t="s">
        <v>1022</v>
      </c>
      <c r="E42" s="983"/>
      <c r="F42" s="983"/>
      <c r="G42" s="983"/>
      <c r="H42" s="983"/>
      <c r="I42" s="983"/>
      <c r="J42" s="983"/>
    </row>
    <row r="43" spans="1:10" x14ac:dyDescent="0.25">
      <c r="A43" s="994"/>
      <c r="B43" s="994"/>
      <c r="C43" s="976"/>
      <c r="D43" s="976"/>
      <c r="E43" s="983"/>
      <c r="F43" s="983"/>
      <c r="G43" s="983"/>
      <c r="H43" s="983"/>
      <c r="I43" s="983"/>
      <c r="J43" s="983"/>
    </row>
    <row r="44" spans="1:10" x14ac:dyDescent="0.25">
      <c r="A44" s="994"/>
      <c r="B44" s="976"/>
      <c r="C44" s="982" t="s">
        <v>1023</v>
      </c>
      <c r="D44" s="976"/>
      <c r="E44" s="983"/>
      <c r="F44" s="983"/>
      <c r="G44" s="983"/>
      <c r="H44" s="983"/>
      <c r="I44" s="984"/>
      <c r="J44" s="983"/>
    </row>
    <row r="45" spans="1:10" x14ac:dyDescent="0.25">
      <c r="A45" s="994"/>
      <c r="B45" s="994"/>
      <c r="C45" s="976"/>
      <c r="D45" s="976"/>
      <c r="E45" s="983"/>
      <c r="F45" s="983"/>
      <c r="G45" s="983"/>
      <c r="H45" s="983"/>
      <c r="I45" s="984"/>
      <c r="J45" s="983"/>
    </row>
    <row r="46" spans="1:10" x14ac:dyDescent="0.25">
      <c r="A46" s="994"/>
      <c r="B46" s="976"/>
      <c r="C46" s="976" t="s">
        <v>1024</v>
      </c>
      <c r="D46" s="976"/>
      <c r="E46" s="983"/>
      <c r="F46" s="983"/>
      <c r="G46" s="983"/>
      <c r="H46" s="996"/>
      <c r="I46" s="984"/>
      <c r="J46" s="983"/>
    </row>
    <row r="47" spans="1:10" x14ac:dyDescent="0.25">
      <c r="A47" s="994"/>
      <c r="B47" s="976"/>
      <c r="C47" s="976"/>
      <c r="D47" s="976"/>
      <c r="E47" s="983"/>
      <c r="F47" s="983"/>
      <c r="G47" s="983"/>
      <c r="H47" s="983"/>
      <c r="I47" s="984"/>
      <c r="J47" s="983"/>
    </row>
    <row r="48" spans="1:10" x14ac:dyDescent="0.25">
      <c r="A48" s="994"/>
      <c r="B48" s="994"/>
      <c r="C48" s="976"/>
      <c r="D48" s="976"/>
      <c r="E48" s="983"/>
      <c r="F48" s="983"/>
      <c r="G48" s="983"/>
      <c r="H48" s="983"/>
      <c r="I48" s="984"/>
      <c r="J48" s="983"/>
    </row>
    <row r="49" spans="1:10" x14ac:dyDescent="0.25">
      <c r="A49" s="994"/>
      <c r="B49" s="976"/>
      <c r="C49" s="976" t="str">
        <f>CONCATENATE(J1, " Tax Levy (Less Levy for other Governmental Units)")</f>
        <v>2020 Tax Levy (Less Levy for other Governmental Units)</v>
      </c>
      <c r="D49" s="994"/>
      <c r="E49" s="983"/>
      <c r="F49" s="983"/>
      <c r="G49" s="983"/>
      <c r="H49" s="996"/>
      <c r="I49" s="976"/>
      <c r="J49" s="976"/>
    </row>
    <row r="50" spans="1:10" x14ac:dyDescent="0.25">
      <c r="A50" s="994"/>
      <c r="B50" s="994"/>
      <c r="C50" s="976" t="str">
        <f>CONCATENATE(J1-1, " Tax Levy (Less Levy for other Governmental Units)")</f>
        <v>2019 Tax Levy (Less Levy for other Governmental Units)</v>
      </c>
      <c r="D50" s="994"/>
      <c r="E50" s="983"/>
      <c r="F50" s="983"/>
      <c r="G50" s="983"/>
      <c r="H50" s="996"/>
      <c r="I50" s="976"/>
      <c r="J50" s="976"/>
    </row>
    <row r="51" spans="1:10" x14ac:dyDescent="0.25">
      <c r="A51" s="994"/>
      <c r="B51" s="976"/>
      <c r="C51" s="976" t="s">
        <v>1025</v>
      </c>
      <c r="D51" s="976"/>
      <c r="E51" s="976"/>
      <c r="F51" s="976"/>
      <c r="G51" s="976"/>
      <c r="H51" s="984">
        <f>H49-H50</f>
        <v>0</v>
      </c>
      <c r="I51" s="976"/>
      <c r="J51" s="983"/>
    </row>
    <row r="52" spans="1:10" x14ac:dyDescent="0.25">
      <c r="A52" s="994"/>
      <c r="B52" s="994"/>
      <c r="C52" s="976"/>
      <c r="D52" s="976"/>
      <c r="E52" s="976"/>
      <c r="F52" s="976"/>
      <c r="G52" s="976"/>
      <c r="H52" s="994"/>
      <c r="I52" s="976"/>
      <c r="J52" s="983"/>
    </row>
    <row r="53" spans="1:10" x14ac:dyDescent="0.25">
      <c r="A53" s="994"/>
      <c r="B53" s="976"/>
      <c r="C53" s="976"/>
      <c r="D53" s="976"/>
      <c r="E53" s="976"/>
      <c r="F53" s="976"/>
      <c r="G53" s="976"/>
      <c r="H53" s="976"/>
      <c r="I53" s="976"/>
      <c r="J53" s="983"/>
    </row>
    <row r="54" spans="1:10" x14ac:dyDescent="0.25">
      <c r="A54" s="976"/>
      <c r="B54" s="976"/>
      <c r="C54" s="976" t="s">
        <v>1026</v>
      </c>
      <c r="D54" s="976"/>
      <c r="E54" s="976"/>
      <c r="F54" s="976"/>
      <c r="G54" s="976"/>
      <c r="H54" s="983"/>
      <c r="I54" s="976"/>
      <c r="J54" s="983">
        <f>Comp1!J42</f>
        <v>4554</v>
      </c>
    </row>
    <row r="55" spans="1:10" x14ac:dyDescent="0.25">
      <c r="A55" s="994"/>
      <c r="B55" s="976"/>
      <c r="C55" s="976" t="str">
        <f>CONCATENATE(J1, " Mill Rate (Less Mills for other Governmental Units)")</f>
        <v>2020 Mill Rate (Less Mills for other Governmental Units)</v>
      </c>
      <c r="D55" s="976"/>
      <c r="E55" s="976"/>
      <c r="F55" s="976"/>
      <c r="G55" s="976"/>
      <c r="H55" s="999"/>
      <c r="I55" s="976"/>
      <c r="J55" s="985"/>
    </row>
    <row r="56" spans="1:10" x14ac:dyDescent="0.25">
      <c r="A56" s="994"/>
      <c r="B56" s="976"/>
      <c r="C56" s="976"/>
      <c r="D56" s="976"/>
      <c r="E56" s="976"/>
      <c r="F56" s="976"/>
      <c r="G56" s="976"/>
      <c r="H56" s="976"/>
      <c r="I56" s="976"/>
      <c r="J56" s="983"/>
    </row>
    <row r="57" spans="1:10" x14ac:dyDescent="0.25">
      <c r="A57" s="994"/>
      <c r="B57" s="976"/>
      <c r="C57" s="976" t="str">
        <f>CONCATENATE("Loss of Assessed Valuation Multiplied by ", J1, " Mill Rate")</f>
        <v>Loss of Assessed Valuation Multiplied by 2020 Mill Rate</v>
      </c>
      <c r="D57" s="976"/>
      <c r="E57" s="976"/>
      <c r="F57" s="976"/>
      <c r="G57" s="976"/>
      <c r="H57" s="976"/>
      <c r="I57" s="976"/>
      <c r="J57" s="992">
        <f>(H46/1000)*H55</f>
        <v>0</v>
      </c>
    </row>
    <row r="58" spans="1:10" x14ac:dyDescent="0.25">
      <c r="A58" s="1000"/>
      <c r="B58" s="1001"/>
      <c r="C58" s="1001" t="s">
        <v>1027</v>
      </c>
      <c r="D58" s="1001"/>
      <c r="E58" s="1001"/>
      <c r="F58" s="1001"/>
      <c r="G58" s="1001"/>
      <c r="H58" s="1001"/>
      <c r="I58" s="1001"/>
      <c r="J58" s="1002">
        <f>SUM(J54:J57)</f>
        <v>4554</v>
      </c>
    </row>
    <row r="59" spans="1:10" x14ac:dyDescent="0.25">
      <c r="A59" s="1003"/>
      <c r="B59" s="1001"/>
      <c r="C59" s="1001"/>
      <c r="D59" s="1001"/>
      <c r="E59" s="1001"/>
      <c r="F59" s="1001"/>
      <c r="G59" s="1001"/>
      <c r="H59" s="1001"/>
      <c r="I59" s="1001"/>
      <c r="J59" s="1004"/>
    </row>
    <row r="60" spans="1:10" x14ac:dyDescent="0.25">
      <c r="A60" s="1003"/>
      <c r="B60" s="1001"/>
      <c r="C60" s="1001"/>
      <c r="D60" s="1001"/>
      <c r="E60" s="1001"/>
      <c r="F60" s="1001"/>
      <c r="G60" s="1001"/>
      <c r="H60" s="1001"/>
      <c r="I60" s="1001"/>
      <c r="J60" s="1004"/>
    </row>
    <row r="61" spans="1:10" x14ac:dyDescent="0.25">
      <c r="A61" s="1003"/>
      <c r="B61" s="1001"/>
      <c r="C61" s="1005" t="s">
        <v>1028</v>
      </c>
      <c r="D61" s="1005"/>
      <c r="E61" s="1005"/>
      <c r="F61" s="1001"/>
      <c r="G61" s="1001"/>
      <c r="H61" s="1001"/>
      <c r="I61" s="1006"/>
      <c r="J61" s="1007" t="str">
        <f>IF(H51&lt;=J58,"Yes","No")</f>
        <v>Yes</v>
      </c>
    </row>
    <row r="62" spans="1:10" x14ac:dyDescent="0.25">
      <c r="A62" s="1000"/>
      <c r="B62" s="1001"/>
      <c r="C62" s="1001"/>
      <c r="D62" s="1001"/>
      <c r="E62" s="1001"/>
      <c r="F62" s="1001"/>
      <c r="G62" s="1001"/>
      <c r="H62" s="1001"/>
      <c r="I62" s="1001"/>
      <c r="J62" s="1002"/>
    </row>
    <row r="63" spans="1:10" x14ac:dyDescent="0.25">
      <c r="A63" s="1000"/>
      <c r="B63" s="1001"/>
      <c r="C63" s="1001"/>
      <c r="D63" s="1001"/>
      <c r="E63" s="1001"/>
      <c r="F63" s="1001"/>
      <c r="G63" s="1001"/>
      <c r="H63" s="1001"/>
      <c r="I63" s="1001"/>
      <c r="J63" s="1002"/>
    </row>
    <row r="64" spans="1:10" ht="18.75" x14ac:dyDescent="0.25">
      <c r="A64" s="1008"/>
      <c r="B64" s="1005"/>
      <c r="C64" s="1005"/>
      <c r="D64" s="1009"/>
      <c r="E64" s="1009"/>
      <c r="F64" s="1009"/>
      <c r="G64" s="1009"/>
      <c r="H64" s="1009"/>
      <c r="I64" s="1006"/>
      <c r="J64" s="1007"/>
    </row>
    <row r="65" spans="1:10" ht="18.75" x14ac:dyDescent="0.25">
      <c r="A65" s="1010"/>
      <c r="B65" s="1011"/>
      <c r="C65" s="1010"/>
      <c r="D65" s="1010"/>
      <c r="E65" s="1010"/>
      <c r="F65" s="1010"/>
      <c r="G65" s="1010"/>
      <c r="H65" s="1010"/>
      <c r="I65" s="1012"/>
      <c r="J65" s="1002"/>
    </row>
    <row r="66" spans="1:10" ht="18.75" x14ac:dyDescent="0.25">
      <c r="A66" s="1013"/>
      <c r="B66" s="1014"/>
      <c r="C66" s="1013"/>
      <c r="D66" s="1013"/>
      <c r="E66" s="1013"/>
      <c r="F66" s="1013"/>
      <c r="G66" s="1013"/>
      <c r="H66" s="1013"/>
      <c r="I66" s="1015"/>
      <c r="J66" s="1016"/>
    </row>
    <row r="67" spans="1:10" x14ac:dyDescent="0.25">
      <c r="A67" s="1058"/>
      <c r="B67" s="1058"/>
      <c r="C67" s="1058"/>
      <c r="D67" s="1058"/>
      <c r="E67" s="1058"/>
      <c r="F67" s="1058"/>
      <c r="G67" s="1058"/>
      <c r="H67" s="1058"/>
      <c r="I67" s="1058"/>
      <c r="J67" s="1058"/>
    </row>
    <row r="68" spans="1:10" x14ac:dyDescent="0.25">
      <c r="A68" s="1017"/>
      <c r="B68" s="1017"/>
      <c r="C68" s="1017"/>
      <c r="D68" s="1017"/>
      <c r="E68" s="1017"/>
      <c r="F68" s="1018"/>
      <c r="G68" s="1017"/>
      <c r="H68" s="1017"/>
      <c r="I68" s="1017"/>
      <c r="J68" s="1017"/>
    </row>
    <row r="69" spans="1:10" x14ac:dyDescent="0.25">
      <c r="A69" s="1059"/>
      <c r="B69" s="1059"/>
      <c r="C69" s="1059"/>
      <c r="D69" s="1059"/>
      <c r="E69" s="1059"/>
      <c r="F69" s="1059"/>
      <c r="G69" s="1059"/>
      <c r="H69" s="1059"/>
      <c r="I69" s="1059"/>
      <c r="J69" s="1059"/>
    </row>
    <row r="70" spans="1:10" x14ac:dyDescent="0.25">
      <c r="A70" s="1019"/>
      <c r="B70" s="1019"/>
      <c r="C70" s="1019"/>
      <c r="D70" s="1019"/>
      <c r="E70" s="1019"/>
      <c r="F70" s="1019"/>
      <c r="G70" s="1019"/>
      <c r="H70" s="1019"/>
      <c r="I70" s="1019"/>
      <c r="J70" s="1019"/>
    </row>
  </sheetData>
  <mergeCells count="4">
    <mergeCell ref="E4:G4"/>
    <mergeCell ref="A11:J11"/>
    <mergeCell ref="A67:J67"/>
    <mergeCell ref="A69:J69"/>
  </mergeCells>
  <pageMargins left="0.7" right="0.7" top="0.75" bottom="0.75" header="0.3" footer="0.3"/>
  <pageSetup scale="63"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I50"/>
  <sheetViews>
    <sheetView topLeftCell="A7" workbookViewId="0">
      <selection activeCell="F24" sqref="F24"/>
    </sheetView>
  </sheetViews>
  <sheetFormatPr defaultColWidth="8.88671875" defaultRowHeight="15.75" x14ac:dyDescent="0.2"/>
  <cols>
    <col min="1" max="1" width="8.88671875" style="624"/>
    <col min="2" max="2" width="17.88671875" style="624" customWidth="1"/>
    <col min="3" max="3" width="15.33203125" style="624" customWidth="1"/>
    <col min="4" max="9" width="10.77734375" style="624" customWidth="1"/>
    <col min="10" max="16384" width="8.88671875" style="624"/>
  </cols>
  <sheetData>
    <row r="1" spans="1:9" x14ac:dyDescent="0.2">
      <c r="A1" s="625"/>
      <c r="B1" s="626" t="str">
        <f>inputPrYr!D3</f>
        <v>UNIFIED GREELEY COUNTY - MUNICIPAL SERVICE DISTRICT</v>
      </c>
      <c r="C1" s="626"/>
      <c r="D1" s="540"/>
      <c r="E1" s="540"/>
      <c r="F1" s="540"/>
      <c r="G1" s="540"/>
      <c r="H1" s="540"/>
      <c r="I1" s="540"/>
    </row>
    <row r="2" spans="1:9" x14ac:dyDescent="0.2">
      <c r="A2" s="625"/>
      <c r="B2" s="540"/>
      <c r="C2" s="540"/>
      <c r="D2" s="540"/>
      <c r="E2" s="540"/>
      <c r="F2" s="540"/>
      <c r="G2" s="540"/>
      <c r="H2" s="540"/>
      <c r="I2" s="540">
        <f>inputPrYr!$C$6</f>
        <v>2020</v>
      </c>
    </row>
    <row r="3" spans="1:9" x14ac:dyDescent="0.2">
      <c r="A3" s="1063" t="s">
        <v>963</v>
      </c>
      <c r="B3" s="1064"/>
      <c r="C3" s="1064"/>
      <c r="D3" s="1064"/>
      <c r="E3" s="1064"/>
      <c r="F3" s="1064"/>
      <c r="G3" s="1064"/>
      <c r="H3" s="1064"/>
      <c r="I3" s="1064"/>
    </row>
    <row r="4" spans="1:9" x14ac:dyDescent="0.2">
      <c r="A4" s="625"/>
      <c r="B4" s="540"/>
      <c r="C4" s="627"/>
      <c r="D4" s="628"/>
      <c r="E4" s="628"/>
      <c r="F4" s="540"/>
      <c r="G4" s="540"/>
      <c r="H4" s="540"/>
      <c r="I4" s="540"/>
    </row>
    <row r="5" spans="1:9" ht="21" customHeight="1" x14ac:dyDescent="0.2">
      <c r="A5" s="625"/>
      <c r="B5" s="629" t="s">
        <v>178</v>
      </c>
      <c r="C5" s="630" t="s">
        <v>950</v>
      </c>
      <c r="D5" s="1060" t="str">
        <f>CONCATENATE("Allocation for Year ",I2,"")</f>
        <v>Allocation for Year 2020</v>
      </c>
      <c r="E5" s="1061"/>
      <c r="F5" s="1061"/>
      <c r="G5" s="1061"/>
      <c r="H5" s="1062"/>
      <c r="I5" s="631"/>
    </row>
    <row r="6" spans="1:9" x14ac:dyDescent="0.2">
      <c r="A6" s="625"/>
      <c r="B6" s="632" t="str">
        <f>CONCATENATE("for ",I2-1,"")</f>
        <v>for 2019</v>
      </c>
      <c r="C6" s="632" t="str">
        <f>CONCATENATE("Tax Year ",I2-2,"")</f>
        <v>Tax Year 2018</v>
      </c>
      <c r="D6" s="557" t="s">
        <v>90</v>
      </c>
      <c r="E6" s="557" t="s">
        <v>91</v>
      </c>
      <c r="F6" s="557" t="s">
        <v>89</v>
      </c>
      <c r="G6" s="633" t="s">
        <v>957</v>
      </c>
      <c r="H6" s="633" t="s">
        <v>958</v>
      </c>
      <c r="I6" s="634"/>
    </row>
    <row r="7" spans="1:9" x14ac:dyDescent="0.2">
      <c r="A7" s="625"/>
      <c r="B7" s="574" t="str">
        <f>(inputPrYr!B22)</f>
        <v>General</v>
      </c>
      <c r="C7" s="561">
        <f>(inputPrYr!E22)</f>
        <v>303620</v>
      </c>
      <c r="D7" s="561">
        <f>IF(inputOth!E40=0,0,D22-SUM(D8:D19))</f>
        <v>49254</v>
      </c>
      <c r="E7" s="561">
        <f>IF(inputOth!E41=0,0,E23-SUM(E8:E19))</f>
        <v>478</v>
      </c>
      <c r="F7" s="561">
        <f>IF(inputOth!E42=0,0,F24-SUM(F8:F19))</f>
        <v>447</v>
      </c>
      <c r="G7" s="561">
        <f>IF(inputOth!E43=0,0,G25-SUM(G8:G19))</f>
        <v>1404</v>
      </c>
      <c r="H7" s="561">
        <f>IF(inputOth!E44=0,0,H26-SUM(H8:H19))</f>
        <v>81</v>
      </c>
      <c r="I7" s="631"/>
    </row>
    <row r="8" spans="1:9" x14ac:dyDescent="0.2">
      <c r="A8" s="625"/>
      <c r="B8" s="574" t="str">
        <f>IF(inputPrYr!$B23&gt;"  ",(inputPrYr!$B23),"  ")</f>
        <v>Debt Service</v>
      </c>
      <c r="C8" s="561" t="str">
        <f>IF(inputPrYr!$E23&gt;0,(inputPrYr!$E23),"  ")</f>
        <v xml:space="preserve">  </v>
      </c>
      <c r="D8" s="561" t="str">
        <f>IF(inputPrYr!E23&gt;0,ROUND(C8*$D$29,0),"  ")</f>
        <v xml:space="preserve">  </v>
      </c>
      <c r="E8" s="561" t="str">
        <f>IF(inputPrYr!E23&gt;0,ROUND(+C8*E$30,0)," ")</f>
        <v xml:space="preserve"> </v>
      </c>
      <c r="F8" s="561" t="str">
        <f>IF(inputPrYr!E23&gt;0,ROUND(+C8*F$31,0)," ")</f>
        <v xml:space="preserve"> </v>
      </c>
      <c r="G8" s="561" t="str">
        <f>IF(inputPrYr!E23&gt;0,ROUND(C8*G$32,0)," ")</f>
        <v xml:space="preserve"> </v>
      </c>
      <c r="H8" s="561" t="str">
        <f>IF(inputPrYr!E23&gt;0,ROUND(C8*H$33,0)," ")</f>
        <v xml:space="preserve"> </v>
      </c>
      <c r="I8" s="631"/>
    </row>
    <row r="9" spans="1:9" x14ac:dyDescent="0.2">
      <c r="A9" s="625"/>
      <c r="B9" s="574" t="str">
        <f>IF(inputPrYr!$B24&gt;"  ",(inputPrYr!$B24),"  ")</f>
        <v>Library</v>
      </c>
      <c r="C9" s="561" t="str">
        <f>IF(inputPrYr!$E24&gt;0,(inputPrYr!$E24),"  ")</f>
        <v xml:space="preserve">  </v>
      </c>
      <c r="D9" s="561" t="str">
        <f>IF(inputPrYr!E24&gt;0,ROUND(C9*$D$29,0),"  ")</f>
        <v xml:space="preserve">  </v>
      </c>
      <c r="E9" s="561" t="str">
        <f>IF(inputPrYr!E24&gt;0,ROUND(+C9*E$30,0)," ")</f>
        <v xml:space="preserve"> </v>
      </c>
      <c r="F9" s="561" t="str">
        <f>IF(inputPrYr!E24&gt;0,ROUND(+C9*F$31,0)," ")</f>
        <v xml:space="preserve"> </v>
      </c>
      <c r="G9" s="561" t="str">
        <f>IF(inputPrYr!E24&gt;0,ROUND(C9*G$32,0)," ")</f>
        <v xml:space="preserve"> </v>
      </c>
      <c r="H9" s="561" t="str">
        <f>IF(inputPrYr!E24&gt;0,ROUND(C9*H$33,0)," ")</f>
        <v xml:space="preserve"> </v>
      </c>
      <c r="I9" s="631"/>
    </row>
    <row r="10" spans="1:9" x14ac:dyDescent="0.2">
      <c r="A10" s="625"/>
      <c r="B10" s="574" t="str">
        <f>IF(inputPrYr!$B26&gt;"  ",(inputPrYr!$B26),"  ")</f>
        <v xml:space="preserve">  </v>
      </c>
      <c r="C10" s="561" t="str">
        <f>IF(inputPrYr!$E26&gt;0,(inputPrYr!$E26),"  ")</f>
        <v xml:space="preserve">  </v>
      </c>
      <c r="D10" s="561" t="str">
        <f>IF(inputPrYr!E26&gt;0,ROUND(C10*$D$29,0),"  ")</f>
        <v xml:space="preserve">  </v>
      </c>
      <c r="E10" s="561" t="str">
        <f>IF(inputPrYr!E26&gt;0,ROUND(+C10*E$30,0)," ")</f>
        <v xml:space="preserve"> </v>
      </c>
      <c r="F10" s="561" t="str">
        <f>IF(inputPrYr!E26&gt;0,ROUND(+C10*F$31,0)," ")</f>
        <v xml:space="preserve"> </v>
      </c>
      <c r="G10" s="561" t="str">
        <f>IF(inputPrYr!E26&gt;0,ROUND(C10*G$32,0)," ")</f>
        <v xml:space="preserve"> </v>
      </c>
      <c r="H10" s="561" t="str">
        <f>IF(inputPrYr!E26&gt;0,ROUND(C10*H$33,0)," ")</f>
        <v xml:space="preserve"> </v>
      </c>
      <c r="I10" s="631"/>
    </row>
    <row r="11" spans="1:9" x14ac:dyDescent="0.2">
      <c r="A11" s="625"/>
      <c r="B11" s="574" t="str">
        <f>IF(inputPrYr!$B27&gt;"  ",(inputPrYr!$B27),"  ")</f>
        <v xml:space="preserve">  </v>
      </c>
      <c r="C11" s="561" t="str">
        <f>IF(inputPrYr!$E27&gt;0,(inputPrYr!$E27),"  ")</f>
        <v xml:space="preserve">  </v>
      </c>
      <c r="D11" s="561" t="str">
        <f>IF(inputPrYr!E27&gt;0,ROUND(C11*$D$29,0),"  ")</f>
        <v xml:space="preserve">  </v>
      </c>
      <c r="E11" s="561" t="str">
        <f>IF(inputPrYr!E27&gt;0,ROUND(+C11*E$30,0)," ")</f>
        <v xml:space="preserve"> </v>
      </c>
      <c r="F11" s="561" t="str">
        <f>IF(inputPrYr!E27&gt;0,ROUND(+C11*F$31,0)," ")</f>
        <v xml:space="preserve"> </v>
      </c>
      <c r="G11" s="561" t="str">
        <f>IF(inputPrYr!E27&gt;0,ROUND(C11*G$32,0)," ")</f>
        <v xml:space="preserve"> </v>
      </c>
      <c r="H11" s="561" t="str">
        <f>IF(inputPrYr!E27&gt;0,ROUND(C11*H$33,0)," ")</f>
        <v xml:space="preserve"> </v>
      </c>
      <c r="I11" s="631"/>
    </row>
    <row r="12" spans="1:9" x14ac:dyDescent="0.2">
      <c r="A12" s="625"/>
      <c r="B12" s="574" t="str">
        <f>IF(inputPrYr!$B28&gt;"  ",(inputPrYr!$B28),"  ")</f>
        <v xml:space="preserve">  </v>
      </c>
      <c r="C12" s="561" t="str">
        <f>IF(inputPrYr!$E28&gt;0,(inputPrYr!$E28),"  ")</f>
        <v xml:space="preserve">  </v>
      </c>
      <c r="D12" s="561" t="str">
        <f>IF(inputPrYr!E28&gt;0,ROUND(C12*$D$29,0),"  ")</f>
        <v xml:space="preserve">  </v>
      </c>
      <c r="E12" s="561" t="str">
        <f>IF(inputPrYr!E28&gt;0,ROUND(+C12*E$30,0)," ")</f>
        <v xml:space="preserve"> </v>
      </c>
      <c r="F12" s="561" t="str">
        <f>IF(inputPrYr!E28&gt;0,ROUND(+C12*F$31,0)," ")</f>
        <v xml:space="preserve"> </v>
      </c>
      <c r="G12" s="561" t="str">
        <f>IF(inputPrYr!E28&gt;0,ROUND(C12*G$32,0)," ")</f>
        <v xml:space="preserve"> </v>
      </c>
      <c r="H12" s="561" t="str">
        <f>IF(inputPrYr!E28&gt;0,ROUND(C12*H$33,0)," ")</f>
        <v xml:space="preserve"> </v>
      </c>
      <c r="I12" s="631"/>
    </row>
    <row r="13" spans="1:9" x14ac:dyDescent="0.2">
      <c r="A13" s="625"/>
      <c r="B13" s="574" t="str">
        <f>IF(inputPrYr!$B29&gt;"  ",(inputPrYr!$B29),"  ")</f>
        <v xml:space="preserve">  </v>
      </c>
      <c r="C13" s="561" t="str">
        <f>IF(inputPrYr!$E29&gt;0,(inputPrYr!$E29),"  ")</f>
        <v xml:space="preserve">  </v>
      </c>
      <c r="D13" s="561" t="str">
        <f>IF(inputPrYr!E29&gt;0,ROUND(C13*$D$29,0),"  ")</f>
        <v xml:space="preserve">  </v>
      </c>
      <c r="E13" s="561" t="str">
        <f>IF(inputPrYr!E29&gt;0,ROUND(+C13*E$30,0)," ")</f>
        <v xml:space="preserve"> </v>
      </c>
      <c r="F13" s="561" t="str">
        <f>IF(inputPrYr!E29&gt;0,ROUND(+C13*F$31,0)," ")</f>
        <v xml:space="preserve"> </v>
      </c>
      <c r="G13" s="561" t="str">
        <f>IF(inputPrYr!E29&gt;0,ROUND(C13*G$32,0)," ")</f>
        <v xml:space="preserve"> </v>
      </c>
      <c r="H13" s="561" t="str">
        <f>IF(inputPrYr!E29&gt;0,ROUND(C13*H$33,0)," ")</f>
        <v xml:space="preserve"> </v>
      </c>
      <c r="I13" s="631"/>
    </row>
    <row r="14" spans="1:9" x14ac:dyDescent="0.2">
      <c r="A14" s="625"/>
      <c r="B14" s="574" t="str">
        <f>IF(inputPrYr!$B30&gt;"  ",(inputPrYr!$B30),"  ")</f>
        <v xml:space="preserve">  </v>
      </c>
      <c r="C14" s="561" t="str">
        <f>IF(inputPrYr!$E30&gt;0,(inputPrYr!$E30),"  ")</f>
        <v xml:space="preserve">  </v>
      </c>
      <c r="D14" s="561" t="str">
        <f>IF(inputPrYr!E30&gt;0,ROUND(C14*$D$29,0),"  ")</f>
        <v xml:space="preserve">  </v>
      </c>
      <c r="E14" s="561" t="str">
        <f>IF(inputPrYr!E30&gt;0,ROUND(+C14*E$30,0)," ")</f>
        <v xml:space="preserve"> </v>
      </c>
      <c r="F14" s="561" t="str">
        <f>IF(inputPrYr!E30&gt;0,ROUND(+C14*F$31,0)," ")</f>
        <v xml:space="preserve"> </v>
      </c>
      <c r="G14" s="561" t="str">
        <f>IF(inputPrYr!E30&gt;0,ROUND(C14*G$32,0)," ")</f>
        <v xml:space="preserve"> </v>
      </c>
      <c r="H14" s="561" t="str">
        <f>IF(inputPrYr!E30&gt;0,ROUND(C14*H$33,0)," ")</f>
        <v xml:space="preserve"> </v>
      </c>
      <c r="I14" s="631"/>
    </row>
    <row r="15" spans="1:9" x14ac:dyDescent="0.2">
      <c r="A15" s="625"/>
      <c r="B15" s="574" t="str">
        <f>IF(inputPrYr!$B31&gt;"  ",(inputPrYr!$B31),"  ")</f>
        <v xml:space="preserve">  </v>
      </c>
      <c r="C15" s="561" t="str">
        <f>IF(inputPrYr!$E31&gt;0,(inputPrYr!$E31),"  ")</f>
        <v xml:space="preserve">  </v>
      </c>
      <c r="D15" s="561" t="str">
        <f>IF(inputPrYr!E31&gt;0,ROUND(C15*$D$29,0),"  ")</f>
        <v xml:space="preserve">  </v>
      </c>
      <c r="E15" s="561" t="str">
        <f>IF(inputPrYr!E31&gt;0,ROUND(+C15*E$30,0)," ")</f>
        <v xml:space="preserve"> </v>
      </c>
      <c r="F15" s="561" t="str">
        <f>IF(inputPrYr!E31&gt;0,ROUND(+C15*F$31,0)," ")</f>
        <v xml:space="preserve"> </v>
      </c>
      <c r="G15" s="561" t="str">
        <f>IF(inputPrYr!E31&gt;0,ROUND(C15*G$32,0)," ")</f>
        <v xml:space="preserve"> </v>
      </c>
      <c r="H15" s="561" t="str">
        <f>IF(inputPrYr!E31&gt;0,ROUND(C15*H$33,0)," ")</f>
        <v xml:space="preserve"> </v>
      </c>
      <c r="I15" s="631"/>
    </row>
    <row r="16" spans="1:9" x14ac:dyDescent="0.2">
      <c r="A16" s="625"/>
      <c r="B16" s="574" t="str">
        <f>IF(inputPrYr!$B32&gt;"  ",(inputPrYr!$B32),"  ")</f>
        <v xml:space="preserve">  </v>
      </c>
      <c r="C16" s="561" t="str">
        <f>IF(inputPrYr!$E32&gt;0,(inputPrYr!$E32),"  ")</f>
        <v xml:space="preserve">  </v>
      </c>
      <c r="D16" s="561" t="str">
        <f>IF(inputPrYr!E32&gt;0,ROUND(C16*$D$29,0),"  ")</f>
        <v xml:space="preserve">  </v>
      </c>
      <c r="E16" s="561" t="str">
        <f>IF(inputPrYr!E32&gt;0,ROUND(+C16*E$30,0)," ")</f>
        <v xml:space="preserve"> </v>
      </c>
      <c r="F16" s="561" t="str">
        <f>IF(inputPrYr!E32&gt;0,ROUND(+C16*F$31,0)," ")</f>
        <v xml:space="preserve"> </v>
      </c>
      <c r="G16" s="561" t="str">
        <f>IF(inputPrYr!E32&gt;0,ROUND(C16*G$32,0)," ")</f>
        <v xml:space="preserve"> </v>
      </c>
      <c r="H16" s="561" t="str">
        <f>IF(inputPrYr!E32&gt;0,ROUND(C16*H$33,0)," ")</f>
        <v xml:space="preserve"> </v>
      </c>
      <c r="I16" s="631"/>
    </row>
    <row r="17" spans="1:9" x14ac:dyDescent="0.2">
      <c r="A17" s="625"/>
      <c r="B17" s="574" t="str">
        <f>IF(inputPrYr!$B33&gt;"  ",(inputPrYr!$B33),"  ")</f>
        <v xml:space="preserve">  </v>
      </c>
      <c r="C17" s="561" t="str">
        <f>IF(inputPrYr!$E33&gt;0,(inputPrYr!$E33),"  ")</f>
        <v xml:space="preserve">  </v>
      </c>
      <c r="D17" s="561" t="str">
        <f>IF(inputPrYr!E33&gt;0,ROUND(C17*$D$29,0),"  ")</f>
        <v xml:space="preserve">  </v>
      </c>
      <c r="E17" s="561" t="str">
        <f>IF(inputPrYr!E33&gt;0,ROUND(+C17*E$30,0)," ")</f>
        <v xml:space="preserve"> </v>
      </c>
      <c r="F17" s="561" t="str">
        <f>IF(inputPrYr!E33&gt;0,ROUND(+C17*F$31,0)," ")</f>
        <v xml:space="preserve"> </v>
      </c>
      <c r="G17" s="561" t="str">
        <f>IF(inputPrYr!E33&gt;0,ROUND(C17*G$32,0)," ")</f>
        <v xml:space="preserve"> </v>
      </c>
      <c r="H17" s="561" t="str">
        <f>IF(inputPrYr!E33&gt;0,ROUND(C17*H$33,0)," ")</f>
        <v xml:space="preserve"> </v>
      </c>
      <c r="I17" s="631"/>
    </row>
    <row r="18" spans="1:9" x14ac:dyDescent="0.2">
      <c r="A18" s="625"/>
      <c r="B18" s="574" t="str">
        <f>IF(inputPrYr!$B34&gt;"  ",(inputPrYr!$B34),"  ")</f>
        <v xml:space="preserve">  </v>
      </c>
      <c r="C18" s="561" t="str">
        <f>IF(inputPrYr!$E34&gt;0,(inputPrYr!$E34),"  ")</f>
        <v xml:space="preserve">  </v>
      </c>
      <c r="D18" s="561" t="str">
        <f>IF(inputPrYr!E34&gt;0,ROUND(C18*$D$29,0),"  ")</f>
        <v xml:space="preserve">  </v>
      </c>
      <c r="E18" s="561" t="str">
        <f>IF(inputPrYr!E34&gt;0,ROUND(+C18*E$30,0)," ")</f>
        <v xml:space="preserve"> </v>
      </c>
      <c r="F18" s="561" t="str">
        <f>IF(inputPrYr!E34&gt;0,ROUND(+C18*F$31,0)," ")</f>
        <v xml:space="preserve"> </v>
      </c>
      <c r="G18" s="561" t="str">
        <f>IF(inputPrYr!E34&gt;0,ROUND(C18*G$32,0)," ")</f>
        <v xml:space="preserve"> </v>
      </c>
      <c r="H18" s="561" t="str">
        <f>IF(inputPrYr!E34&gt;0,ROUND(C18*H$33,0)," ")</f>
        <v xml:space="preserve"> </v>
      </c>
      <c r="I18" s="631"/>
    </row>
    <row r="19" spans="1:9" x14ac:dyDescent="0.2">
      <c r="A19" s="625"/>
      <c r="B19" s="574" t="str">
        <f>IF(inputPrYr!$B35&gt;"  ",(inputPrYr!$B35),"  ")</f>
        <v xml:space="preserve">  </v>
      </c>
      <c r="C19" s="561" t="str">
        <f>IF(inputPrYr!$E35&gt;0,(inputPrYr!$E35),"  ")</f>
        <v xml:space="preserve">  </v>
      </c>
      <c r="D19" s="561" t="str">
        <f>IF(inputPrYr!E35&gt;0,ROUND(C19*$D$29,0),"  ")</f>
        <v xml:space="preserve">  </v>
      </c>
      <c r="E19" s="561" t="str">
        <f>IF(inputPrYr!E35&gt;0,ROUND(+C19*E$30,0)," ")</f>
        <v xml:space="preserve"> </v>
      </c>
      <c r="F19" s="561" t="str">
        <f>IF(inputPrYr!E35&gt;0,ROUND(+C19*F$31,0)," ")</f>
        <v xml:space="preserve"> </v>
      </c>
      <c r="G19" s="561" t="str">
        <f>IF(inputPrYr!E35&gt;0,ROUND(C19*G$32,0)," ")</f>
        <v xml:space="preserve"> </v>
      </c>
      <c r="H19" s="561" t="str">
        <f>IF(inputPrYr!E35&gt;0,ROUND(C19*H$33,0)," ")</f>
        <v xml:space="preserve"> </v>
      </c>
      <c r="I19" s="631"/>
    </row>
    <row r="20" spans="1:9" x14ac:dyDescent="0.2">
      <c r="A20" s="625"/>
      <c r="B20" s="635" t="s">
        <v>19</v>
      </c>
      <c r="C20" s="571">
        <f t="shared" ref="C20:H20" si="0">SUM(C7:C19)</f>
        <v>303620</v>
      </c>
      <c r="D20" s="571">
        <f t="shared" si="0"/>
        <v>49254</v>
      </c>
      <c r="E20" s="571">
        <f t="shared" si="0"/>
        <v>478</v>
      </c>
      <c r="F20" s="571">
        <f t="shared" si="0"/>
        <v>447</v>
      </c>
      <c r="G20" s="571">
        <f t="shared" si="0"/>
        <v>1404</v>
      </c>
      <c r="H20" s="571">
        <f t="shared" si="0"/>
        <v>81</v>
      </c>
      <c r="I20" s="631"/>
    </row>
    <row r="21" spans="1:9" x14ac:dyDescent="0.2">
      <c r="A21" s="625"/>
      <c r="B21" s="540"/>
      <c r="C21" s="540"/>
      <c r="D21" s="540"/>
      <c r="E21" s="540"/>
      <c r="F21" s="540"/>
      <c r="G21" s="540"/>
      <c r="H21" s="540"/>
      <c r="I21" s="540"/>
    </row>
    <row r="22" spans="1:9" x14ac:dyDescent="0.2">
      <c r="A22" s="625"/>
      <c r="B22" s="552" t="s">
        <v>20</v>
      </c>
      <c r="C22" s="636"/>
      <c r="D22" s="637">
        <f>(inputOth!E40)</f>
        <v>49254</v>
      </c>
      <c r="E22" s="636"/>
      <c r="F22" s="540"/>
      <c r="G22" s="540"/>
      <c r="H22" s="540"/>
      <c r="I22" s="540"/>
    </row>
    <row r="23" spans="1:9" x14ac:dyDescent="0.2">
      <c r="A23" s="625"/>
      <c r="B23" s="552" t="s">
        <v>951</v>
      </c>
      <c r="C23" s="540"/>
      <c r="D23" s="540"/>
      <c r="E23" s="637">
        <f>(inputOth!E41)</f>
        <v>478</v>
      </c>
      <c r="F23" s="540"/>
      <c r="G23" s="540"/>
      <c r="H23" s="540"/>
      <c r="I23" s="540"/>
    </row>
    <row r="24" spans="1:9" x14ac:dyDescent="0.2">
      <c r="A24" s="625"/>
      <c r="B24" s="552" t="s">
        <v>952</v>
      </c>
      <c r="C24" s="540"/>
      <c r="D24" s="540"/>
      <c r="E24" s="540"/>
      <c r="F24" s="637">
        <f>inputOth!E42</f>
        <v>447</v>
      </c>
      <c r="G24" s="592"/>
      <c r="H24" s="592"/>
      <c r="I24" s="540"/>
    </row>
    <row r="25" spans="1:9" x14ac:dyDescent="0.2">
      <c r="A25" s="625"/>
      <c r="B25" s="638" t="s">
        <v>953</v>
      </c>
      <c r="C25" s="638"/>
      <c r="D25" s="540"/>
      <c r="E25" s="540"/>
      <c r="F25" s="592"/>
      <c r="G25" s="637">
        <f>inputOth!E43</f>
        <v>1404</v>
      </c>
      <c r="H25" s="592"/>
      <c r="I25" s="540"/>
    </row>
    <row r="26" spans="1:9" x14ac:dyDescent="0.2">
      <c r="A26" s="625"/>
      <c r="B26" s="638" t="s">
        <v>954</v>
      </c>
      <c r="C26" s="540"/>
      <c r="D26" s="540"/>
      <c r="E26" s="540"/>
      <c r="F26" s="592"/>
      <c r="G26" s="592"/>
      <c r="H26" s="637">
        <f>inputOth!E44</f>
        <v>81</v>
      </c>
      <c r="I26" s="540"/>
    </row>
    <row r="27" spans="1:9" x14ac:dyDescent="0.2">
      <c r="A27" s="625"/>
      <c r="B27" s="590"/>
      <c r="C27" s="591"/>
      <c r="D27" s="591"/>
      <c r="E27" s="591"/>
      <c r="F27" s="592"/>
      <c r="G27" s="592"/>
      <c r="H27" s="592"/>
      <c r="I27" s="639"/>
    </row>
    <row r="28" spans="1:9" x14ac:dyDescent="0.2">
      <c r="A28" s="625"/>
      <c r="B28" s="640"/>
      <c r="C28" s="641"/>
      <c r="D28" s="641"/>
      <c r="E28" s="641"/>
      <c r="F28" s="592"/>
      <c r="G28" s="592"/>
      <c r="H28" s="592"/>
      <c r="I28" s="540"/>
    </row>
    <row r="29" spans="1:9" x14ac:dyDescent="0.2">
      <c r="A29" s="625"/>
      <c r="B29" s="640" t="s">
        <v>21</v>
      </c>
      <c r="C29" s="641"/>
      <c r="D29" s="642">
        <f>IF(C20=0,0,D22/C20)</f>
        <v>0.16222251498583756</v>
      </c>
      <c r="E29" s="641"/>
      <c r="F29" s="641"/>
      <c r="G29" s="641"/>
      <c r="H29" s="641"/>
      <c r="I29" s="540"/>
    </row>
    <row r="30" spans="1:9" x14ac:dyDescent="0.2">
      <c r="A30" s="625"/>
      <c r="B30" s="641"/>
      <c r="C30" s="640" t="s">
        <v>22</v>
      </c>
      <c r="D30" s="641"/>
      <c r="E30" s="642">
        <f>IF(C20=0,0,E23/C20)</f>
        <v>1.5743363414794809E-3</v>
      </c>
      <c r="F30" s="641"/>
      <c r="G30" s="641"/>
      <c r="H30" s="641"/>
      <c r="I30" s="540"/>
    </row>
    <row r="31" spans="1:9" x14ac:dyDescent="0.2">
      <c r="A31" s="625"/>
      <c r="B31" s="641"/>
      <c r="C31" s="641"/>
      <c r="D31" s="640" t="s">
        <v>92</v>
      </c>
      <c r="E31" s="641"/>
      <c r="F31" s="642">
        <f>IF(F24=0,0,F24/C20)</f>
        <v>1.4722350306303933E-3</v>
      </c>
      <c r="G31" s="643"/>
      <c r="H31" s="643"/>
      <c r="I31" s="540"/>
    </row>
    <row r="32" spans="1:9" x14ac:dyDescent="0.2">
      <c r="A32" s="625"/>
      <c r="B32" s="641"/>
      <c r="C32" s="641"/>
      <c r="D32" s="640"/>
      <c r="E32" s="644" t="s">
        <v>955</v>
      </c>
      <c r="F32" s="643"/>
      <c r="G32" s="642">
        <f>IF(G25=0,0,G25/C20)</f>
        <v>4.6242013042619061E-3</v>
      </c>
      <c r="H32" s="643"/>
      <c r="I32" s="540"/>
    </row>
    <row r="33" spans="1:9" x14ac:dyDescent="0.2">
      <c r="A33" s="625"/>
      <c r="B33" s="641"/>
      <c r="C33" s="641"/>
      <c r="D33" s="640"/>
      <c r="E33" s="641"/>
      <c r="F33" s="644" t="s">
        <v>956</v>
      </c>
      <c r="G33" s="643"/>
      <c r="H33" s="642">
        <f>IF(H26=0,0,H26/C20)</f>
        <v>2.6678084447664843E-4</v>
      </c>
      <c r="I33" s="540"/>
    </row>
    <row r="34" spans="1:9" x14ac:dyDescent="0.2">
      <c r="A34" s="625"/>
      <c r="B34" s="641"/>
      <c r="C34" s="641"/>
      <c r="D34" s="640"/>
      <c r="E34" s="641"/>
      <c r="F34" s="643"/>
      <c r="G34" s="643"/>
      <c r="H34" s="643"/>
      <c r="I34" s="540"/>
    </row>
    <row r="35" spans="1:9" x14ac:dyDescent="0.2">
      <c r="A35" s="625"/>
      <c r="B35" s="641"/>
      <c r="C35" s="641"/>
      <c r="D35" s="640"/>
      <c r="E35" s="641"/>
      <c r="F35" s="643"/>
      <c r="G35" s="643"/>
      <c r="H35" s="643"/>
      <c r="I35" s="540"/>
    </row>
    <row r="36" spans="1:9" ht="15" customHeight="1" x14ac:dyDescent="0.2"/>
    <row r="37" spans="1:9" s="645" customFormat="1" ht="15" customHeight="1" x14ac:dyDescent="0.2"/>
    <row r="38" spans="1:9" ht="15" customHeight="1" x14ac:dyDescent="0.2"/>
    <row r="39" spans="1:9" ht="15" customHeight="1" x14ac:dyDescent="0.2"/>
    <row r="40" spans="1:9" ht="15" customHeight="1" x14ac:dyDescent="0.2"/>
    <row r="41" spans="1:9" ht="15" customHeight="1" x14ac:dyDescent="0.2"/>
    <row r="42" spans="1:9" ht="15" customHeight="1" x14ac:dyDescent="0.2"/>
    <row r="43" spans="1:9" ht="15" customHeight="1" x14ac:dyDescent="0.2"/>
    <row r="44" spans="1:9" ht="15" customHeight="1" x14ac:dyDescent="0.2"/>
    <row r="45" spans="1:9" ht="15" customHeight="1" x14ac:dyDescent="0.2"/>
    <row r="46" spans="1:9" ht="15" customHeight="1" x14ac:dyDescent="0.2"/>
    <row r="47" spans="1:9" ht="15" customHeight="1" x14ac:dyDescent="0.2"/>
    <row r="48" spans="1:9" ht="15" customHeight="1" x14ac:dyDescent="0.2"/>
    <row r="49" ht="15" customHeight="1" x14ac:dyDescent="0.2"/>
    <row r="50" ht="15" customHeight="1" x14ac:dyDescent="0.2"/>
  </sheetData>
  <mergeCells count="2">
    <mergeCell ref="D5:H5"/>
    <mergeCell ref="A3:I3"/>
  </mergeCells>
  <phoneticPr fontId="0" type="noConversion"/>
  <pageMargins left="0.5" right="0.5" top="0.5" bottom="0" header="0.25" footer="0"/>
  <pageSetup scale="75" orientation="portrait" blackAndWhite="1" r:id="rId1"/>
  <headerFooter alignWithMargins="0">
    <oddHeader xml:space="preserve">&amp;RState of Kansas
City
</oddHeader>
    <oddFooter>&amp;CPage No. 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pageSetUpPr fitToPage="1"/>
  </sheetPr>
  <dimension ref="A1:F32"/>
  <sheetViews>
    <sheetView workbookViewId="0">
      <selection activeCell="F24" sqref="F24"/>
    </sheetView>
  </sheetViews>
  <sheetFormatPr defaultColWidth="8.88671875" defaultRowHeight="15.75" x14ac:dyDescent="0.2"/>
  <cols>
    <col min="1" max="1" width="17.77734375" style="541" customWidth="1"/>
    <col min="2" max="2" width="21.88671875" style="541" customWidth="1"/>
    <col min="3" max="6" width="12.77734375" style="541" customWidth="1"/>
    <col min="7" max="16384" width="8.88671875" style="541"/>
  </cols>
  <sheetData>
    <row r="1" spans="1:6" x14ac:dyDescent="0.2">
      <c r="A1" s="646" t="str">
        <f>inputPrYr!D3</f>
        <v>UNIFIED GREELEY COUNTY - MUNICIPAL SERVICE DISTRICT</v>
      </c>
      <c r="B1" s="646"/>
      <c r="C1" s="647"/>
      <c r="D1" s="647"/>
      <c r="E1" s="647"/>
      <c r="F1" s="647">
        <f>inputPrYr!$C$6</f>
        <v>2020</v>
      </c>
    </row>
    <row r="2" spans="1:6" x14ac:dyDescent="0.2">
      <c r="A2" s="647"/>
      <c r="B2" s="647"/>
      <c r="C2" s="647"/>
      <c r="D2" s="647"/>
      <c r="E2" s="647"/>
      <c r="F2" s="647"/>
    </row>
    <row r="3" spans="1:6" x14ac:dyDescent="0.2">
      <c r="A3" s="1050" t="s">
        <v>129</v>
      </c>
      <c r="B3" s="1050"/>
      <c r="C3" s="1050"/>
      <c r="D3" s="1050"/>
      <c r="E3" s="1050"/>
      <c r="F3" s="1050"/>
    </row>
    <row r="4" spans="1:6" x14ac:dyDescent="0.2">
      <c r="A4" s="648"/>
      <c r="B4" s="648"/>
      <c r="C4" s="648"/>
      <c r="D4" s="648"/>
      <c r="E4" s="648"/>
      <c r="F4" s="648"/>
    </row>
    <row r="5" spans="1:6" x14ac:dyDescent="0.2">
      <c r="A5" s="649" t="s">
        <v>561</v>
      </c>
      <c r="B5" s="649" t="s">
        <v>563</v>
      </c>
      <c r="C5" s="649" t="s">
        <v>42</v>
      </c>
      <c r="D5" s="649" t="s">
        <v>134</v>
      </c>
      <c r="E5" s="649" t="s">
        <v>135</v>
      </c>
      <c r="F5" s="649" t="s">
        <v>171</v>
      </c>
    </row>
    <row r="6" spans="1:6" x14ac:dyDescent="0.2">
      <c r="A6" s="650" t="s">
        <v>562</v>
      </c>
      <c r="B6" s="650" t="s">
        <v>564</v>
      </c>
      <c r="C6" s="650" t="s">
        <v>172</v>
      </c>
      <c r="D6" s="650" t="s">
        <v>172</v>
      </c>
      <c r="E6" s="650" t="s">
        <v>172</v>
      </c>
      <c r="F6" s="650" t="s">
        <v>173</v>
      </c>
    </row>
    <row r="7" spans="1:6" ht="15" customHeight="1" x14ac:dyDescent="0.2">
      <c r="A7" s="651" t="s">
        <v>174</v>
      </c>
      <c r="B7" s="651" t="s">
        <v>175</v>
      </c>
      <c r="C7" s="652">
        <f>F1-2</f>
        <v>2018</v>
      </c>
      <c r="D7" s="652">
        <f>F1-1</f>
        <v>2019</v>
      </c>
      <c r="E7" s="652">
        <f>F1</f>
        <v>2020</v>
      </c>
      <c r="F7" s="651" t="s">
        <v>176</v>
      </c>
    </row>
    <row r="8" spans="1:6" ht="14.25" customHeight="1" x14ac:dyDescent="0.2">
      <c r="A8" s="654" t="s">
        <v>1117</v>
      </c>
      <c r="B8" s="654" t="s">
        <v>1063</v>
      </c>
      <c r="C8" s="653">
        <v>15000</v>
      </c>
      <c r="D8" s="921">
        <v>20000</v>
      </c>
      <c r="E8" s="653">
        <v>30000</v>
      </c>
      <c r="F8" s="922" t="s">
        <v>1121</v>
      </c>
    </row>
    <row r="9" spans="1:6" ht="15" customHeight="1" x14ac:dyDescent="0.2">
      <c r="A9" s="654" t="s">
        <v>1117</v>
      </c>
      <c r="B9" s="654" t="s">
        <v>1064</v>
      </c>
      <c r="C9" s="655">
        <v>50000</v>
      </c>
      <c r="D9" s="921">
        <v>70000</v>
      </c>
      <c r="E9" s="655">
        <v>75000</v>
      </c>
      <c r="F9" s="922" t="s">
        <v>1122</v>
      </c>
    </row>
    <row r="10" spans="1:6" ht="15" customHeight="1" x14ac:dyDescent="0.2">
      <c r="A10" s="654" t="s">
        <v>1118</v>
      </c>
      <c r="B10" s="654" t="s">
        <v>1066</v>
      </c>
      <c r="C10" s="655">
        <v>25000</v>
      </c>
      <c r="D10" s="921">
        <v>30000</v>
      </c>
      <c r="E10" s="655">
        <v>60000</v>
      </c>
      <c r="F10" s="922" t="s">
        <v>1123</v>
      </c>
    </row>
    <row r="11" spans="1:6" ht="15" customHeight="1" x14ac:dyDescent="0.2">
      <c r="A11" s="654" t="s">
        <v>1119</v>
      </c>
      <c r="B11" s="654" t="s">
        <v>1067</v>
      </c>
      <c r="C11" s="655">
        <v>25000</v>
      </c>
      <c r="D11" s="921">
        <v>40000</v>
      </c>
      <c r="E11" s="655">
        <v>60000</v>
      </c>
      <c r="F11" s="922" t="s">
        <v>1123</v>
      </c>
    </row>
    <row r="12" spans="1:6" ht="15" customHeight="1" x14ac:dyDescent="0.2">
      <c r="A12" s="654" t="s">
        <v>1120</v>
      </c>
      <c r="B12" s="654" t="s">
        <v>1068</v>
      </c>
      <c r="C12" s="655">
        <v>10000</v>
      </c>
      <c r="D12" s="921">
        <v>15000</v>
      </c>
      <c r="E12" s="655">
        <v>20000</v>
      </c>
      <c r="F12" s="922" t="s">
        <v>1123</v>
      </c>
    </row>
    <row r="13" spans="1:6" ht="15" customHeight="1" x14ac:dyDescent="0.2">
      <c r="A13" s="654"/>
      <c r="B13" s="654"/>
      <c r="C13" s="655"/>
      <c r="D13" s="655"/>
      <c r="E13" s="655"/>
      <c r="F13" s="654"/>
    </row>
    <row r="14" spans="1:6" ht="15" customHeight="1" x14ac:dyDescent="0.2">
      <c r="A14" s="654"/>
      <c r="B14" s="654"/>
      <c r="C14" s="655"/>
      <c r="D14" s="655"/>
      <c r="E14" s="655"/>
      <c r="F14" s="654"/>
    </row>
    <row r="15" spans="1:6" ht="15" customHeight="1" x14ac:dyDescent="0.2">
      <c r="A15" s="654"/>
      <c r="B15" s="654"/>
      <c r="C15" s="655"/>
      <c r="D15" s="655"/>
      <c r="E15" s="655"/>
      <c r="F15" s="654"/>
    </row>
    <row r="16" spans="1:6" ht="15" customHeight="1" x14ac:dyDescent="0.2">
      <c r="A16" s="654"/>
      <c r="B16" s="654"/>
      <c r="C16" s="655"/>
      <c r="D16" s="655"/>
      <c r="E16" s="655"/>
      <c r="F16" s="654"/>
    </row>
    <row r="17" spans="1:6" ht="15" customHeight="1" x14ac:dyDescent="0.2">
      <c r="A17" s="654"/>
      <c r="B17" s="654"/>
      <c r="C17" s="655"/>
      <c r="D17" s="655"/>
      <c r="E17" s="655"/>
      <c r="F17" s="654"/>
    </row>
    <row r="18" spans="1:6" ht="15" customHeight="1" x14ac:dyDescent="0.2">
      <c r="A18" s="654"/>
      <c r="B18" s="654"/>
      <c r="C18" s="655"/>
      <c r="D18" s="655"/>
      <c r="E18" s="655"/>
      <c r="F18" s="654"/>
    </row>
    <row r="19" spans="1:6" ht="15" customHeight="1" x14ac:dyDescent="0.2">
      <c r="A19" s="654"/>
      <c r="B19" s="654"/>
      <c r="C19" s="655"/>
      <c r="D19" s="655"/>
      <c r="E19" s="655"/>
      <c r="F19" s="654"/>
    </row>
    <row r="20" spans="1:6" ht="15" customHeight="1" x14ac:dyDescent="0.2">
      <c r="A20" s="654"/>
      <c r="B20" s="654"/>
      <c r="C20" s="655"/>
      <c r="D20" s="655"/>
      <c r="E20" s="655"/>
      <c r="F20" s="654"/>
    </row>
    <row r="21" spans="1:6" ht="15" customHeight="1" x14ac:dyDescent="0.2">
      <c r="A21" s="654"/>
      <c r="B21" s="654"/>
      <c r="C21" s="655"/>
      <c r="D21" s="655"/>
      <c r="E21" s="655"/>
      <c r="F21" s="654"/>
    </row>
    <row r="22" spans="1:6" ht="15" customHeight="1" x14ac:dyDescent="0.2">
      <c r="A22" s="654"/>
      <c r="B22" s="654"/>
      <c r="C22" s="655"/>
      <c r="D22" s="655"/>
      <c r="E22" s="655"/>
      <c r="F22" s="654"/>
    </row>
    <row r="23" spans="1:6" ht="15" customHeight="1" x14ac:dyDescent="0.2">
      <c r="A23" s="654"/>
      <c r="B23" s="654"/>
      <c r="C23" s="655"/>
      <c r="D23" s="655"/>
      <c r="E23" s="655"/>
      <c r="F23" s="654"/>
    </row>
    <row r="24" spans="1:6" ht="15" customHeight="1" x14ac:dyDescent="0.2">
      <c r="A24" s="654"/>
      <c r="B24" s="654"/>
      <c r="C24" s="655"/>
      <c r="D24" s="655"/>
      <c r="E24" s="655"/>
      <c r="F24" s="654"/>
    </row>
    <row r="25" spans="1:6" ht="15" customHeight="1" x14ac:dyDescent="0.2">
      <c r="A25" s="654"/>
      <c r="B25" s="654"/>
      <c r="C25" s="655"/>
      <c r="D25" s="655"/>
      <c r="E25" s="655"/>
      <c r="F25" s="654"/>
    </row>
    <row r="26" spans="1:6" ht="15" customHeight="1" x14ac:dyDescent="0.2">
      <c r="A26" s="656"/>
      <c r="B26" s="657" t="s">
        <v>12</v>
      </c>
      <c r="C26" s="572">
        <f>SUM(C8:C25)</f>
        <v>125000</v>
      </c>
      <c r="D26" s="572">
        <f>SUM(D8:D25)</f>
        <v>175000</v>
      </c>
      <c r="E26" s="572">
        <f>SUM(E8:E25)</f>
        <v>245000</v>
      </c>
      <c r="F26" s="656"/>
    </row>
    <row r="27" spans="1:6" ht="15" customHeight="1" x14ac:dyDescent="0.2">
      <c r="A27" s="656"/>
      <c r="B27" s="658" t="s">
        <v>1052</v>
      </c>
      <c r="C27" s="568"/>
      <c r="D27" s="654"/>
      <c r="E27" s="654"/>
      <c r="F27" s="656"/>
    </row>
    <row r="28" spans="1:6" ht="15" customHeight="1" x14ac:dyDescent="0.2">
      <c r="A28" s="656"/>
      <c r="B28" s="657" t="s">
        <v>177</v>
      </c>
      <c r="C28" s="572">
        <f>C26</f>
        <v>125000</v>
      </c>
      <c r="D28" s="572">
        <f>SUM(D26-D27)</f>
        <v>175000</v>
      </c>
      <c r="E28" s="572">
        <f>SUM(E26-E27)</f>
        <v>245000</v>
      </c>
      <c r="F28" s="656"/>
    </row>
    <row r="29" spans="1:6" ht="15" customHeight="1" x14ac:dyDescent="0.2">
      <c r="A29" s="659"/>
      <c r="B29" s="659"/>
      <c r="C29" s="659"/>
      <c r="D29" s="659"/>
      <c r="E29" s="659"/>
      <c r="F29" s="659"/>
    </row>
    <row r="30" spans="1:6" ht="15" customHeight="1" x14ac:dyDescent="0.2">
      <c r="A30" s="659"/>
      <c r="B30" s="659"/>
      <c r="C30" s="659"/>
      <c r="D30" s="659"/>
      <c r="E30" s="659"/>
      <c r="F30" s="659"/>
    </row>
    <row r="31" spans="1:6" ht="21.75" customHeight="1" x14ac:dyDescent="0.2">
      <c r="A31" s="660" t="s">
        <v>560</v>
      </c>
      <c r="B31" s="661" t="str">
        <f>CONCATENATE("Adjustments are required only if the transfer is being made in ",D7," and/or ",E7," from a non-budgeted fund.")</f>
        <v>Adjustments are required only if the transfer is being made in 2019 and/or 2020 from a non-budgeted fund.</v>
      </c>
      <c r="C31" s="659"/>
      <c r="D31" s="659"/>
      <c r="E31" s="659"/>
      <c r="F31" s="659"/>
    </row>
    <row r="32" spans="1:6" ht="15" customHeight="1" x14ac:dyDescent="0.2"/>
  </sheetData>
  <mergeCells count="1">
    <mergeCell ref="A3:F3"/>
  </mergeCells>
  <phoneticPr fontId="9" type="noConversion"/>
  <pageMargins left="1" right="1" top="1" bottom="1" header="0.5" footer="0.5"/>
  <pageSetup scale="76" orientation="portrait" blackAndWhite="1" r:id="rId1"/>
  <headerFooter alignWithMargins="0">
    <oddHeader>&amp;RState of Kansans
City</oddHeader>
    <oddFooter>&amp;CPage No. 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68"/>
  <sheetViews>
    <sheetView workbookViewId="0">
      <selection activeCell="N65" sqref="N65"/>
    </sheetView>
  </sheetViews>
  <sheetFormatPr defaultColWidth="8.88671875" defaultRowHeight="15" x14ac:dyDescent="0.2"/>
  <cols>
    <col min="1" max="1" width="70.5546875" style="132" customWidth="1"/>
    <col min="2" max="16384" width="8.88671875" style="132"/>
  </cols>
  <sheetData>
    <row r="1" spans="1:1" ht="18.75" x14ac:dyDescent="0.2">
      <c r="A1" s="133" t="s">
        <v>301</v>
      </c>
    </row>
    <row r="2" spans="1:1" ht="18.75" x14ac:dyDescent="0.2">
      <c r="A2" s="133"/>
    </row>
    <row r="3" spans="1:1" ht="18.75" x14ac:dyDescent="0.2">
      <c r="A3" s="133"/>
    </row>
    <row r="4" spans="1:1" ht="51.75" customHeight="1" x14ac:dyDescent="0.25">
      <c r="A4" s="234" t="s">
        <v>681</v>
      </c>
    </row>
    <row r="5" spans="1:1" ht="18.75" x14ac:dyDescent="0.2">
      <c r="A5" s="133"/>
    </row>
    <row r="6" spans="1:1" ht="15.75" x14ac:dyDescent="0.2">
      <c r="A6" s="134"/>
    </row>
    <row r="7" spans="1:1" ht="47.25" x14ac:dyDescent="0.2">
      <c r="A7" s="135" t="s">
        <v>302</v>
      </c>
    </row>
    <row r="8" spans="1:1" ht="15.75" x14ac:dyDescent="0.2">
      <c r="A8" s="134"/>
    </row>
    <row r="9" spans="1:1" ht="15.75" x14ac:dyDescent="0.2">
      <c r="A9" s="134"/>
    </row>
    <row r="10" spans="1:1" ht="63" x14ac:dyDescent="0.2">
      <c r="A10" s="135" t="s">
        <v>303</v>
      </c>
    </row>
    <row r="11" spans="1:1" ht="15.75" x14ac:dyDescent="0.2">
      <c r="A11" s="235"/>
    </row>
    <row r="12" spans="1:1" ht="15.75" x14ac:dyDescent="0.2">
      <c r="A12" s="134"/>
    </row>
    <row r="13" spans="1:1" ht="47.25" x14ac:dyDescent="0.2">
      <c r="A13" s="135" t="s">
        <v>304</v>
      </c>
    </row>
    <row r="14" spans="1:1" ht="15.75" x14ac:dyDescent="0.2">
      <c r="A14" s="235"/>
    </row>
    <row r="15" spans="1:1" ht="15.75" x14ac:dyDescent="0.2">
      <c r="A15" s="134"/>
    </row>
    <row r="16" spans="1:1" ht="47.25" x14ac:dyDescent="0.2">
      <c r="A16" s="135" t="s">
        <v>305</v>
      </c>
    </row>
    <row r="17" spans="1:1" ht="15.75" x14ac:dyDescent="0.2">
      <c r="A17" s="235"/>
    </row>
    <row r="18" spans="1:1" ht="15.75" x14ac:dyDescent="0.2">
      <c r="A18" s="235"/>
    </row>
    <row r="19" spans="1:1" ht="47.25" x14ac:dyDescent="0.2">
      <c r="A19" s="135" t="s">
        <v>306</v>
      </c>
    </row>
    <row r="20" spans="1:1" ht="15.75" x14ac:dyDescent="0.2">
      <c r="A20" s="235"/>
    </row>
    <row r="21" spans="1:1" ht="15.75" x14ac:dyDescent="0.2">
      <c r="A21" s="235"/>
    </row>
    <row r="22" spans="1:1" ht="47.25" x14ac:dyDescent="0.2">
      <c r="A22" s="135" t="s">
        <v>307</v>
      </c>
    </row>
    <row r="23" spans="1:1" ht="15.75" x14ac:dyDescent="0.2">
      <c r="A23" s="235"/>
    </row>
    <row r="24" spans="1:1" ht="15.75" x14ac:dyDescent="0.2">
      <c r="A24" s="235"/>
    </row>
    <row r="25" spans="1:1" ht="31.5" x14ac:dyDescent="0.2">
      <c r="A25" s="135" t="s">
        <v>308</v>
      </c>
    </row>
    <row r="26" spans="1:1" ht="15.75" x14ac:dyDescent="0.2">
      <c r="A26" s="134"/>
    </row>
    <row r="27" spans="1:1" ht="15.75" x14ac:dyDescent="0.2">
      <c r="A27" s="134"/>
    </row>
    <row r="28" spans="1:1" ht="60" x14ac:dyDescent="0.2">
      <c r="A28" s="236" t="s">
        <v>309</v>
      </c>
    </row>
    <row r="29" spans="1:1" x14ac:dyDescent="0.2">
      <c r="A29" s="237"/>
    </row>
    <row r="30" spans="1:1" x14ac:dyDescent="0.2">
      <c r="A30" s="237"/>
    </row>
    <row r="31" spans="1:1" ht="47.25" x14ac:dyDescent="0.2">
      <c r="A31" s="135" t="s">
        <v>310</v>
      </c>
    </row>
    <row r="32" spans="1:1" ht="15.75" x14ac:dyDescent="0.2">
      <c r="A32" s="134"/>
    </row>
    <row r="33" spans="1:1" ht="15.75" x14ac:dyDescent="0.2">
      <c r="A33" s="134"/>
    </row>
    <row r="34" spans="1:1" ht="66.75" customHeight="1" x14ac:dyDescent="0.25">
      <c r="A34" s="233" t="s">
        <v>682</v>
      </c>
    </row>
    <row r="35" spans="1:1" ht="15.75" x14ac:dyDescent="0.2">
      <c r="A35" s="134"/>
    </row>
    <row r="36" spans="1:1" ht="15.75" x14ac:dyDescent="0.2">
      <c r="A36" s="134"/>
    </row>
    <row r="37" spans="1:1" ht="63" x14ac:dyDescent="0.2">
      <c r="A37" s="238" t="s">
        <v>311</v>
      </c>
    </row>
    <row r="38" spans="1:1" ht="15.75" x14ac:dyDescent="0.2">
      <c r="A38" s="235"/>
    </row>
    <row r="39" spans="1:1" ht="15.75" x14ac:dyDescent="0.2">
      <c r="A39" s="134"/>
    </row>
    <row r="40" spans="1:1" ht="63" x14ac:dyDescent="0.2">
      <c r="A40" s="135" t="s">
        <v>312</v>
      </c>
    </row>
    <row r="41" spans="1:1" ht="15.75" x14ac:dyDescent="0.2">
      <c r="A41" s="235"/>
    </row>
    <row r="42" spans="1:1" ht="15.75" x14ac:dyDescent="0.2">
      <c r="A42" s="235"/>
    </row>
    <row r="43" spans="1:1" ht="82.5" customHeight="1" x14ac:dyDescent="0.25">
      <c r="A43" s="231" t="s">
        <v>683</v>
      </c>
    </row>
    <row r="44" spans="1:1" ht="15.75" x14ac:dyDescent="0.2">
      <c r="A44" s="235"/>
    </row>
    <row r="45" spans="1:1" ht="15.75" x14ac:dyDescent="0.2">
      <c r="A45" s="235"/>
    </row>
    <row r="46" spans="1:1" ht="69" customHeight="1" x14ac:dyDescent="0.25">
      <c r="A46" s="231" t="s">
        <v>684</v>
      </c>
    </row>
    <row r="47" spans="1:1" ht="15.75" x14ac:dyDescent="0.2">
      <c r="A47" s="235"/>
    </row>
    <row r="48" spans="1:1" ht="15.75" x14ac:dyDescent="0.2">
      <c r="A48" s="235"/>
    </row>
    <row r="49" spans="1:1" ht="69" customHeight="1" x14ac:dyDescent="0.25">
      <c r="A49" s="231" t="s">
        <v>685</v>
      </c>
    </row>
    <row r="50" spans="1:1" ht="15.75" x14ac:dyDescent="0.2">
      <c r="A50" s="235"/>
    </row>
    <row r="51" spans="1:1" ht="15.75" x14ac:dyDescent="0.2">
      <c r="A51" s="235"/>
    </row>
    <row r="52" spans="1:1" ht="54.75" customHeight="1" x14ac:dyDescent="0.25">
      <c r="A52" s="231" t="s">
        <v>816</v>
      </c>
    </row>
    <row r="53" spans="1:1" ht="15.75" x14ac:dyDescent="0.2">
      <c r="A53" s="235"/>
    </row>
    <row r="54" spans="1:1" ht="15.75" x14ac:dyDescent="0.2">
      <c r="A54" s="235"/>
    </row>
    <row r="55" spans="1:1" ht="63" x14ac:dyDescent="0.2">
      <c r="A55" s="135" t="s">
        <v>313</v>
      </c>
    </row>
    <row r="56" spans="1:1" ht="15.75" x14ac:dyDescent="0.2">
      <c r="A56" s="235"/>
    </row>
    <row r="57" spans="1:1" ht="15.75" x14ac:dyDescent="0.2">
      <c r="A57" s="235"/>
    </row>
    <row r="58" spans="1:1" ht="63" x14ac:dyDescent="0.2">
      <c r="A58" s="135" t="s">
        <v>314</v>
      </c>
    </row>
    <row r="59" spans="1:1" ht="15.75" x14ac:dyDescent="0.2">
      <c r="A59" s="235"/>
    </row>
    <row r="60" spans="1:1" ht="15.75" x14ac:dyDescent="0.2">
      <c r="A60" s="235"/>
    </row>
    <row r="61" spans="1:1" ht="47.25" x14ac:dyDescent="0.2">
      <c r="A61" s="135" t="s">
        <v>315</v>
      </c>
    </row>
    <row r="62" spans="1:1" ht="15.75" x14ac:dyDescent="0.2">
      <c r="A62" s="235"/>
    </row>
    <row r="63" spans="1:1" ht="15.75" x14ac:dyDescent="0.2">
      <c r="A63" s="235"/>
    </row>
    <row r="64" spans="1:1" ht="47.25" x14ac:dyDescent="0.2">
      <c r="A64" s="135" t="s">
        <v>316</v>
      </c>
    </row>
    <row r="65" spans="1:1" ht="15.75" x14ac:dyDescent="0.2">
      <c r="A65" s="235"/>
    </row>
    <row r="66" spans="1:1" ht="15.75" x14ac:dyDescent="0.2">
      <c r="A66" s="235"/>
    </row>
    <row r="67" spans="1:1" ht="78.75" x14ac:dyDescent="0.2">
      <c r="A67" s="135" t="s">
        <v>317</v>
      </c>
    </row>
    <row r="68" spans="1:1" x14ac:dyDescent="0.2">
      <c r="A68" s="239"/>
    </row>
  </sheetData>
  <sheetProtection sheet="1" objects="1" scenarios="1"/>
  <pageMargins left="0.7" right="0.7" top="0.75" bottom="0.75" header="0.3" footer="0.3"/>
  <pageSetup orientation="portrait" r:id="rId1"/>
  <headerFooter>
    <oddFooter>&amp;Lrevised 10/2/09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B1:AC48"/>
  <sheetViews>
    <sheetView topLeftCell="A16" zoomScale="75" workbookViewId="0">
      <selection activeCell="E18" sqref="E18"/>
    </sheetView>
  </sheetViews>
  <sheetFormatPr defaultColWidth="8.88671875" defaultRowHeight="15.75" x14ac:dyDescent="0.2"/>
  <cols>
    <col min="1" max="1" width="4.5546875" style="624" customWidth="1"/>
    <col min="2" max="2" width="20.77734375" style="624" customWidth="1"/>
    <col min="3" max="3" width="9.33203125" style="624" customWidth="1"/>
    <col min="4" max="4" width="9.109375" style="624" customWidth="1"/>
    <col min="5" max="5" width="8.77734375" style="624" customWidth="1"/>
    <col min="6" max="6" width="12.6640625" style="624" customWidth="1"/>
    <col min="7" max="7" width="13.6640625" style="624" customWidth="1"/>
    <col min="8" max="9" width="9.33203125" style="624" customWidth="1"/>
    <col min="10" max="13" width="9.77734375" style="624" customWidth="1"/>
    <col min="14" max="16384" width="8.88671875" style="624"/>
  </cols>
  <sheetData>
    <row r="1" spans="2:13" ht="18.75" customHeight="1" x14ac:dyDescent="0.2">
      <c r="B1" s="626" t="str">
        <f>inputPrYr!$D$3</f>
        <v>UNIFIED GREELEY COUNTY - MUNICIPAL SERVICE DISTRICT</v>
      </c>
      <c r="C1" s="540"/>
      <c r="D1" s="540"/>
      <c r="E1" s="540"/>
      <c r="F1" s="540"/>
      <c r="G1" s="540"/>
      <c r="H1" s="540"/>
      <c r="I1" s="540"/>
      <c r="J1" s="540"/>
      <c r="K1" s="540"/>
      <c r="L1" s="540"/>
      <c r="M1" s="662">
        <f>inputPrYr!$C$6</f>
        <v>2020</v>
      </c>
    </row>
    <row r="2" spans="2:13" x14ac:dyDescent="0.2">
      <c r="B2" s="626"/>
      <c r="C2" s="540"/>
      <c r="D2" s="540"/>
      <c r="E2" s="540"/>
      <c r="F2" s="540"/>
      <c r="G2" s="540"/>
      <c r="H2" s="540"/>
      <c r="I2" s="540"/>
      <c r="J2" s="540"/>
      <c r="K2" s="540"/>
      <c r="L2" s="540"/>
      <c r="M2" s="606"/>
    </row>
    <row r="3" spans="2:13" x14ac:dyDescent="0.2">
      <c r="B3" s="663" t="s">
        <v>88</v>
      </c>
      <c r="C3" s="545"/>
      <c r="D3" s="545"/>
      <c r="E3" s="545"/>
      <c r="F3" s="545"/>
      <c r="G3" s="545"/>
      <c r="H3" s="545"/>
      <c r="I3" s="545"/>
      <c r="J3" s="545"/>
      <c r="K3" s="545"/>
      <c r="L3" s="545"/>
      <c r="M3" s="545"/>
    </row>
    <row r="4" spans="2:13" x14ac:dyDescent="0.2">
      <c r="B4" s="540"/>
      <c r="C4" s="664"/>
      <c r="D4" s="664"/>
      <c r="E4" s="664"/>
      <c r="F4" s="664"/>
      <c r="G4" s="664"/>
      <c r="H4" s="664"/>
      <c r="I4" s="664"/>
      <c r="J4" s="664"/>
      <c r="K4" s="664"/>
      <c r="L4" s="664"/>
      <c r="M4" s="664"/>
    </row>
    <row r="5" spans="2:13" x14ac:dyDescent="0.2">
      <c r="B5" s="562"/>
      <c r="C5" s="629" t="s">
        <v>57</v>
      </c>
      <c r="D5" s="629" t="s">
        <v>57</v>
      </c>
      <c r="E5" s="629" t="s">
        <v>71</v>
      </c>
      <c r="F5" s="629"/>
      <c r="G5" s="629" t="s">
        <v>166</v>
      </c>
      <c r="H5" s="540"/>
      <c r="I5" s="540"/>
      <c r="J5" s="665" t="s">
        <v>58</v>
      </c>
      <c r="K5" s="666"/>
      <c r="L5" s="665" t="s">
        <v>58</v>
      </c>
      <c r="M5" s="666"/>
    </row>
    <row r="6" spans="2:13" x14ac:dyDescent="0.2">
      <c r="B6" s="554" t="s">
        <v>799</v>
      </c>
      <c r="C6" s="554" t="s">
        <v>59</v>
      </c>
      <c r="D6" s="554" t="s">
        <v>167</v>
      </c>
      <c r="E6" s="554" t="s">
        <v>60</v>
      </c>
      <c r="F6" s="554" t="s">
        <v>17</v>
      </c>
      <c r="G6" s="554" t="s">
        <v>168</v>
      </c>
      <c r="H6" s="1065" t="s">
        <v>61</v>
      </c>
      <c r="I6" s="1066"/>
      <c r="J6" s="1067">
        <f>M1-1</f>
        <v>2019</v>
      </c>
      <c r="K6" s="1068"/>
      <c r="L6" s="1067">
        <f>M1</f>
        <v>2020</v>
      </c>
      <c r="M6" s="1068"/>
    </row>
    <row r="7" spans="2:13" x14ac:dyDescent="0.2">
      <c r="B7" s="558" t="s">
        <v>800</v>
      </c>
      <c r="C7" s="558" t="s">
        <v>62</v>
      </c>
      <c r="D7" s="558" t="s">
        <v>169</v>
      </c>
      <c r="E7" s="558" t="s">
        <v>39</v>
      </c>
      <c r="F7" s="558" t="s">
        <v>63</v>
      </c>
      <c r="G7" s="667" t="str">
        <f>CONCATENATE("Jan 1,",M1-1,"")</f>
        <v>Jan 1,2019</v>
      </c>
      <c r="H7" s="568" t="s">
        <v>71</v>
      </c>
      <c r="I7" s="568" t="s">
        <v>73</v>
      </c>
      <c r="J7" s="568" t="s">
        <v>71</v>
      </c>
      <c r="K7" s="568" t="s">
        <v>73</v>
      </c>
      <c r="L7" s="568" t="s">
        <v>71</v>
      </c>
      <c r="M7" s="568" t="s">
        <v>73</v>
      </c>
    </row>
    <row r="8" spans="2:13" x14ac:dyDescent="0.2">
      <c r="B8" s="668" t="s">
        <v>64</v>
      </c>
      <c r="C8" s="669"/>
      <c r="D8" s="669"/>
      <c r="E8" s="670"/>
      <c r="F8" s="671"/>
      <c r="G8" s="671"/>
      <c r="H8" s="669"/>
      <c r="I8" s="669"/>
      <c r="J8" s="671"/>
      <c r="K8" s="671"/>
      <c r="L8" s="671"/>
      <c r="M8" s="671"/>
    </row>
    <row r="9" spans="2:13" x14ac:dyDescent="0.2">
      <c r="B9" s="672" t="s">
        <v>1055</v>
      </c>
      <c r="C9" s="673"/>
      <c r="D9" s="673"/>
      <c r="E9" s="674"/>
      <c r="F9" s="675"/>
      <c r="G9" s="676"/>
      <c r="H9" s="677"/>
      <c r="I9" s="677"/>
      <c r="J9" s="676"/>
      <c r="K9" s="676"/>
      <c r="L9" s="676"/>
      <c r="M9" s="676"/>
    </row>
    <row r="10" spans="2:13" x14ac:dyDescent="0.2">
      <c r="B10" s="672"/>
      <c r="C10" s="673"/>
      <c r="D10" s="673"/>
      <c r="E10" s="674"/>
      <c r="F10" s="675"/>
      <c r="G10" s="676"/>
      <c r="H10" s="677"/>
      <c r="I10" s="677"/>
      <c r="J10" s="676"/>
      <c r="K10" s="676"/>
      <c r="L10" s="676"/>
      <c r="M10" s="676"/>
    </row>
    <row r="11" spans="2:13" x14ac:dyDescent="0.2">
      <c r="B11" s="672"/>
      <c r="C11" s="673"/>
      <c r="D11" s="673"/>
      <c r="E11" s="674"/>
      <c r="F11" s="675"/>
      <c r="G11" s="676"/>
      <c r="H11" s="677"/>
      <c r="I11" s="677"/>
      <c r="J11" s="676"/>
      <c r="K11" s="676"/>
      <c r="L11" s="676"/>
      <c r="M11" s="676"/>
    </row>
    <row r="12" spans="2:13" x14ac:dyDescent="0.2">
      <c r="B12" s="672"/>
      <c r="C12" s="673"/>
      <c r="D12" s="673"/>
      <c r="E12" s="674"/>
      <c r="F12" s="675"/>
      <c r="G12" s="676"/>
      <c r="H12" s="677"/>
      <c r="I12" s="677"/>
      <c r="J12" s="676"/>
      <c r="K12" s="676"/>
      <c r="L12" s="676"/>
      <c r="M12" s="676"/>
    </row>
    <row r="13" spans="2:13" x14ac:dyDescent="0.2">
      <c r="B13" s="672"/>
      <c r="C13" s="673"/>
      <c r="D13" s="673"/>
      <c r="E13" s="674"/>
      <c r="F13" s="675"/>
      <c r="G13" s="676"/>
      <c r="H13" s="677"/>
      <c r="I13" s="677"/>
      <c r="J13" s="676"/>
      <c r="K13" s="676"/>
      <c r="L13" s="676"/>
      <c r="M13" s="676"/>
    </row>
    <row r="14" spans="2:13" x14ac:dyDescent="0.2">
      <c r="B14" s="672"/>
      <c r="C14" s="673"/>
      <c r="D14" s="673"/>
      <c r="E14" s="674"/>
      <c r="F14" s="675"/>
      <c r="G14" s="676"/>
      <c r="H14" s="677"/>
      <c r="I14" s="677"/>
      <c r="J14" s="676"/>
      <c r="K14" s="676"/>
      <c r="L14" s="676"/>
      <c r="M14" s="676"/>
    </row>
    <row r="15" spans="2:13" x14ac:dyDescent="0.2">
      <c r="B15" s="672"/>
      <c r="C15" s="673"/>
      <c r="D15" s="673"/>
      <c r="E15" s="674"/>
      <c r="F15" s="675"/>
      <c r="G15" s="676"/>
      <c r="H15" s="677"/>
      <c r="I15" s="677"/>
      <c r="J15" s="676"/>
      <c r="K15" s="676"/>
      <c r="L15" s="676"/>
      <c r="M15" s="676"/>
    </row>
    <row r="16" spans="2:13" x14ac:dyDescent="0.2">
      <c r="B16" s="672"/>
      <c r="C16" s="673"/>
      <c r="D16" s="673"/>
      <c r="E16" s="674"/>
      <c r="F16" s="675"/>
      <c r="G16" s="676"/>
      <c r="H16" s="677"/>
      <c r="I16" s="677"/>
      <c r="J16" s="676"/>
      <c r="K16" s="676"/>
      <c r="L16" s="676"/>
      <c r="M16" s="676"/>
    </row>
    <row r="17" spans="2:13" x14ac:dyDescent="0.2">
      <c r="B17" s="672"/>
      <c r="C17" s="673"/>
      <c r="D17" s="673"/>
      <c r="E17" s="674"/>
      <c r="F17" s="675"/>
      <c r="G17" s="676"/>
      <c r="H17" s="677"/>
      <c r="I17" s="677"/>
      <c r="J17" s="676"/>
      <c r="K17" s="676"/>
      <c r="L17" s="676"/>
      <c r="M17" s="676"/>
    </row>
    <row r="18" spans="2:13" x14ac:dyDescent="0.2">
      <c r="B18" s="672"/>
      <c r="C18" s="673"/>
      <c r="D18" s="673"/>
      <c r="E18" s="674"/>
      <c r="F18" s="675"/>
      <c r="G18" s="676"/>
      <c r="H18" s="677"/>
      <c r="I18" s="677"/>
      <c r="J18" s="676"/>
      <c r="K18" s="676"/>
      <c r="L18" s="676"/>
      <c r="M18" s="676"/>
    </row>
    <row r="19" spans="2:13" x14ac:dyDescent="0.2">
      <c r="B19" s="672"/>
      <c r="C19" s="673"/>
      <c r="D19" s="673"/>
      <c r="E19" s="674"/>
      <c r="F19" s="675"/>
      <c r="G19" s="676"/>
      <c r="H19" s="677"/>
      <c r="I19" s="677"/>
      <c r="J19" s="676"/>
      <c r="K19" s="676"/>
      <c r="L19" s="676"/>
      <c r="M19" s="676"/>
    </row>
    <row r="20" spans="2:13" x14ac:dyDescent="0.2">
      <c r="B20" s="678" t="s">
        <v>65</v>
      </c>
      <c r="C20" s="679"/>
      <c r="D20" s="679"/>
      <c r="E20" s="680"/>
      <c r="F20" s="681"/>
      <c r="G20" s="682">
        <f>SUM(G9:G19)</f>
        <v>0</v>
      </c>
      <c r="H20" s="683"/>
      <c r="I20" s="683"/>
      <c r="J20" s="682">
        <f>SUM(J9:J19)</f>
        <v>0</v>
      </c>
      <c r="K20" s="682">
        <f>SUM(K9:K19)</f>
        <v>0</v>
      </c>
      <c r="L20" s="682">
        <f>SUM(L9:L19)</f>
        <v>0</v>
      </c>
      <c r="M20" s="682">
        <f>SUM(M9:M19)</f>
        <v>0</v>
      </c>
    </row>
    <row r="21" spans="2:13" x14ac:dyDescent="0.2">
      <c r="B21" s="668" t="s">
        <v>66</v>
      </c>
      <c r="C21" s="684"/>
      <c r="D21" s="684"/>
      <c r="E21" s="685"/>
      <c r="F21" s="686"/>
      <c r="G21" s="686"/>
      <c r="H21" s="687"/>
      <c r="I21" s="687"/>
      <c r="J21" s="686"/>
      <c r="K21" s="686"/>
      <c r="L21" s="686"/>
      <c r="M21" s="686"/>
    </row>
    <row r="22" spans="2:13" x14ac:dyDescent="0.2">
      <c r="B22" s="672"/>
      <c r="C22" s="673"/>
      <c r="D22" s="673"/>
      <c r="E22" s="674"/>
      <c r="F22" s="675"/>
      <c r="G22" s="676"/>
      <c r="H22" s="677"/>
      <c r="I22" s="677"/>
      <c r="J22" s="676"/>
      <c r="K22" s="676"/>
      <c r="L22" s="676"/>
      <c r="M22" s="676"/>
    </row>
    <row r="23" spans="2:13" x14ac:dyDescent="0.2">
      <c r="B23" s="672"/>
      <c r="C23" s="673"/>
      <c r="D23" s="673"/>
      <c r="E23" s="674"/>
      <c r="F23" s="675"/>
      <c r="G23" s="676"/>
      <c r="H23" s="677"/>
      <c r="I23" s="677"/>
      <c r="J23" s="676"/>
      <c r="K23" s="676"/>
      <c r="L23" s="676"/>
      <c r="M23" s="676"/>
    </row>
    <row r="24" spans="2:13" x14ac:dyDescent="0.2">
      <c r="B24" s="672"/>
      <c r="C24" s="673"/>
      <c r="D24" s="673"/>
      <c r="E24" s="674"/>
      <c r="F24" s="675"/>
      <c r="G24" s="676"/>
      <c r="H24" s="677"/>
      <c r="I24" s="677"/>
      <c r="J24" s="676"/>
      <c r="K24" s="676"/>
      <c r="L24" s="676"/>
      <c r="M24" s="676"/>
    </row>
    <row r="25" spans="2:13" x14ac:dyDescent="0.2">
      <c r="B25" s="672"/>
      <c r="C25" s="673"/>
      <c r="D25" s="673"/>
      <c r="E25" s="674"/>
      <c r="F25" s="675"/>
      <c r="G25" s="676"/>
      <c r="H25" s="677"/>
      <c r="I25" s="677"/>
      <c r="J25" s="676"/>
      <c r="K25" s="676"/>
      <c r="L25" s="676"/>
      <c r="M25" s="676"/>
    </row>
    <row r="26" spans="2:13" x14ac:dyDescent="0.2">
      <c r="B26" s="672"/>
      <c r="C26" s="673"/>
      <c r="D26" s="673"/>
      <c r="E26" s="674"/>
      <c r="F26" s="675"/>
      <c r="G26" s="676"/>
      <c r="H26" s="677"/>
      <c r="I26" s="677"/>
      <c r="J26" s="676"/>
      <c r="K26" s="676"/>
      <c r="L26" s="676"/>
      <c r="M26" s="676"/>
    </row>
    <row r="27" spans="2:13" x14ac:dyDescent="0.2">
      <c r="B27" s="672"/>
      <c r="C27" s="673"/>
      <c r="D27" s="673"/>
      <c r="E27" s="674"/>
      <c r="F27" s="675"/>
      <c r="G27" s="676"/>
      <c r="H27" s="677"/>
      <c r="I27" s="677"/>
      <c r="J27" s="676"/>
      <c r="K27" s="676"/>
      <c r="L27" s="676"/>
      <c r="M27" s="676"/>
    </row>
    <row r="28" spans="2:13" x14ac:dyDescent="0.2">
      <c r="B28" s="672"/>
      <c r="C28" s="673"/>
      <c r="D28" s="673"/>
      <c r="E28" s="674"/>
      <c r="F28" s="675"/>
      <c r="G28" s="676"/>
      <c r="H28" s="677"/>
      <c r="I28" s="677"/>
      <c r="J28" s="676"/>
      <c r="K28" s="676"/>
      <c r="L28" s="676"/>
      <c r="M28" s="676"/>
    </row>
    <row r="29" spans="2:13" x14ac:dyDescent="0.2">
      <c r="B29" s="672"/>
      <c r="C29" s="673"/>
      <c r="D29" s="673"/>
      <c r="E29" s="674"/>
      <c r="F29" s="675"/>
      <c r="G29" s="676"/>
      <c r="H29" s="677"/>
      <c r="I29" s="677"/>
      <c r="J29" s="676"/>
      <c r="K29" s="676"/>
      <c r="L29" s="676"/>
      <c r="M29" s="676"/>
    </row>
    <row r="30" spans="2:13" x14ac:dyDescent="0.2">
      <c r="B30" s="672"/>
      <c r="C30" s="673"/>
      <c r="D30" s="673"/>
      <c r="E30" s="674"/>
      <c r="F30" s="675"/>
      <c r="G30" s="676"/>
      <c r="H30" s="677"/>
      <c r="I30" s="677"/>
      <c r="J30" s="676"/>
      <c r="K30" s="676"/>
      <c r="L30" s="676"/>
      <c r="M30" s="676"/>
    </row>
    <row r="31" spans="2:13" x14ac:dyDescent="0.2">
      <c r="B31" s="672"/>
      <c r="C31" s="673"/>
      <c r="D31" s="673"/>
      <c r="E31" s="674"/>
      <c r="F31" s="675"/>
      <c r="G31" s="676"/>
      <c r="H31" s="677"/>
      <c r="I31" s="677"/>
      <c r="J31" s="676"/>
      <c r="K31" s="676"/>
      <c r="L31" s="676"/>
      <c r="M31" s="676"/>
    </row>
    <row r="32" spans="2:13" x14ac:dyDescent="0.2">
      <c r="B32" s="678" t="s">
        <v>67</v>
      </c>
      <c r="C32" s="679"/>
      <c r="D32" s="679"/>
      <c r="E32" s="688"/>
      <c r="F32" s="681"/>
      <c r="G32" s="689">
        <f>SUM(G22:G31)</f>
        <v>0</v>
      </c>
      <c r="H32" s="683"/>
      <c r="I32" s="683"/>
      <c r="J32" s="689">
        <f>SUM(J22:J31)</f>
        <v>0</v>
      </c>
      <c r="K32" s="689">
        <f>SUM(K22:K31)</f>
        <v>0</v>
      </c>
      <c r="L32" s="682">
        <f>SUM(L22:L31)</f>
        <v>0</v>
      </c>
      <c r="M32" s="689">
        <f>SUM(M22:M31)</f>
        <v>0</v>
      </c>
    </row>
    <row r="33" spans="2:29" x14ac:dyDescent="0.2">
      <c r="B33" s="668" t="s">
        <v>68</v>
      </c>
      <c r="C33" s="684"/>
      <c r="D33" s="684"/>
      <c r="E33" s="685"/>
      <c r="F33" s="686"/>
      <c r="G33" s="690"/>
      <c r="H33" s="687"/>
      <c r="I33" s="687"/>
      <c r="J33" s="686"/>
      <c r="K33" s="686"/>
      <c r="L33" s="686"/>
      <c r="M33" s="686"/>
    </row>
    <row r="34" spans="2:29" x14ac:dyDescent="0.2">
      <c r="B34" s="672"/>
      <c r="C34" s="673"/>
      <c r="D34" s="673"/>
      <c r="E34" s="674"/>
      <c r="F34" s="675"/>
      <c r="G34" s="676"/>
      <c r="H34" s="677"/>
      <c r="I34" s="677"/>
      <c r="J34" s="676"/>
      <c r="K34" s="676"/>
      <c r="L34" s="676"/>
      <c r="M34" s="676"/>
    </row>
    <row r="35" spans="2:29" x14ac:dyDescent="0.2">
      <c r="B35" s="672"/>
      <c r="C35" s="673"/>
      <c r="D35" s="673"/>
      <c r="E35" s="674"/>
      <c r="F35" s="675"/>
      <c r="G35" s="676"/>
      <c r="H35" s="677"/>
      <c r="I35" s="677"/>
      <c r="J35" s="676"/>
      <c r="K35" s="676"/>
      <c r="L35" s="676"/>
      <c r="M35" s="676"/>
    </row>
    <row r="36" spans="2:29" x14ac:dyDescent="0.2">
      <c r="B36" s="672"/>
      <c r="C36" s="673"/>
      <c r="D36" s="673"/>
      <c r="E36" s="674"/>
      <c r="F36" s="675"/>
      <c r="G36" s="676"/>
      <c r="H36" s="677"/>
      <c r="I36" s="677"/>
      <c r="J36" s="676"/>
      <c r="K36" s="676"/>
      <c r="L36" s="676"/>
      <c r="M36" s="676"/>
    </row>
    <row r="37" spans="2:29" x14ac:dyDescent="0.2">
      <c r="B37" s="672"/>
      <c r="C37" s="673"/>
      <c r="D37" s="673"/>
      <c r="E37" s="674"/>
      <c r="F37" s="675"/>
      <c r="G37" s="676"/>
      <c r="H37" s="677"/>
      <c r="I37" s="677"/>
      <c r="J37" s="676"/>
      <c r="K37" s="676"/>
      <c r="L37" s="676"/>
      <c r="M37" s="676"/>
    </row>
    <row r="38" spans="2:29" x14ac:dyDescent="0.2">
      <c r="B38" s="672"/>
      <c r="C38" s="673"/>
      <c r="D38" s="673"/>
      <c r="E38" s="674"/>
      <c r="F38" s="675"/>
      <c r="G38" s="676"/>
      <c r="H38" s="677"/>
      <c r="I38" s="677"/>
      <c r="J38" s="676"/>
      <c r="K38" s="676"/>
      <c r="L38" s="676"/>
      <c r="M38" s="676"/>
    </row>
    <row r="39" spans="2:29" x14ac:dyDescent="0.2">
      <c r="B39" s="672"/>
      <c r="C39" s="673"/>
      <c r="D39" s="673"/>
      <c r="E39" s="674"/>
      <c r="F39" s="675"/>
      <c r="G39" s="676"/>
      <c r="H39" s="677"/>
      <c r="I39" s="677"/>
      <c r="J39" s="676"/>
      <c r="K39" s="676"/>
      <c r="L39" s="676"/>
      <c r="M39" s="676"/>
    </row>
    <row r="40" spans="2:29" x14ac:dyDescent="0.2">
      <c r="B40" s="672"/>
      <c r="C40" s="673"/>
      <c r="D40" s="673"/>
      <c r="E40" s="674"/>
      <c r="F40" s="675"/>
      <c r="G40" s="676"/>
      <c r="H40" s="677"/>
      <c r="I40" s="677"/>
      <c r="J40" s="676"/>
      <c r="K40" s="676"/>
      <c r="L40" s="676"/>
      <c r="M40" s="676"/>
    </row>
    <row r="41" spans="2:29" x14ac:dyDescent="0.2">
      <c r="B41" s="672"/>
      <c r="C41" s="673"/>
      <c r="D41" s="673"/>
      <c r="E41" s="674"/>
      <c r="F41" s="675"/>
      <c r="G41" s="676"/>
      <c r="H41" s="677"/>
      <c r="I41" s="677"/>
      <c r="J41" s="676"/>
      <c r="K41" s="676"/>
      <c r="L41" s="676"/>
      <c r="M41" s="676"/>
      <c r="N41" s="541"/>
      <c r="O41" s="541"/>
      <c r="P41" s="541"/>
      <c r="Q41" s="541"/>
      <c r="R41" s="541"/>
      <c r="S41" s="541"/>
      <c r="T41" s="541"/>
      <c r="U41" s="541"/>
      <c r="V41" s="541"/>
      <c r="W41" s="541"/>
      <c r="X41" s="541"/>
      <c r="Y41" s="541"/>
      <c r="Z41" s="541"/>
      <c r="AA41" s="541"/>
      <c r="AB41" s="541"/>
      <c r="AC41" s="541"/>
    </row>
    <row r="42" spans="2:29" x14ac:dyDescent="0.2">
      <c r="B42" s="678" t="s">
        <v>170</v>
      </c>
      <c r="C42" s="657"/>
      <c r="D42" s="657"/>
      <c r="E42" s="688"/>
      <c r="F42" s="681"/>
      <c r="G42" s="689">
        <f>SUM(G34:G41)</f>
        <v>0</v>
      </c>
      <c r="H42" s="681"/>
      <c r="I42" s="681"/>
      <c r="J42" s="689">
        <f>SUM(J34:J41)</f>
        <v>0</v>
      </c>
      <c r="K42" s="689">
        <f>SUM(K34:K41)</f>
        <v>0</v>
      </c>
      <c r="L42" s="689">
        <f>SUM(L34:L41)</f>
        <v>0</v>
      </c>
      <c r="M42" s="689">
        <f>SUM(M34:M41)</f>
        <v>0</v>
      </c>
    </row>
    <row r="43" spans="2:29" x14ac:dyDescent="0.2">
      <c r="B43" s="678" t="s">
        <v>69</v>
      </c>
      <c r="C43" s="657"/>
      <c r="D43" s="657"/>
      <c r="E43" s="657"/>
      <c r="F43" s="681"/>
      <c r="G43" s="689">
        <f>SUM(G20+G32+G42)</f>
        <v>0</v>
      </c>
      <c r="H43" s="681"/>
      <c r="I43" s="681"/>
      <c r="J43" s="689">
        <f>SUM(J20+J32+J42)</f>
        <v>0</v>
      </c>
      <c r="K43" s="689">
        <f>SUM(K20+K32+K42)</f>
        <v>0</v>
      </c>
      <c r="L43" s="689">
        <f>SUM(L20+L32+L42)</f>
        <v>0</v>
      </c>
      <c r="M43" s="689">
        <f>SUM(M20+M32+M42)</f>
        <v>0</v>
      </c>
    </row>
    <row r="44" spans="2:29" x14ac:dyDescent="0.2">
      <c r="B44" s="541"/>
      <c r="C44" s="541"/>
      <c r="D44" s="541"/>
      <c r="E44" s="541"/>
      <c r="F44" s="541"/>
      <c r="G44" s="541"/>
      <c r="H44" s="541"/>
      <c r="I44" s="541"/>
      <c r="J44" s="541"/>
      <c r="K44" s="541"/>
      <c r="L44" s="541"/>
      <c r="M44" s="541"/>
    </row>
    <row r="45" spans="2:29" x14ac:dyDescent="0.2">
      <c r="F45" s="691"/>
      <c r="G45" s="691"/>
      <c r="J45" s="691"/>
      <c r="K45" s="691"/>
      <c r="L45" s="691"/>
      <c r="M45" s="691"/>
    </row>
    <row r="46" spans="2:29" x14ac:dyDescent="0.2">
      <c r="F46" s="541"/>
      <c r="H46" s="692"/>
      <c r="N46" s="541"/>
    </row>
    <row r="47" spans="2:29" x14ac:dyDescent="0.2">
      <c r="B47" s="541"/>
      <c r="C47" s="541"/>
      <c r="D47" s="541"/>
      <c r="E47" s="541"/>
      <c r="F47" s="541"/>
      <c r="G47" s="541"/>
      <c r="H47" s="541"/>
      <c r="I47" s="541"/>
      <c r="J47" s="541"/>
      <c r="K47" s="541"/>
      <c r="L47" s="541"/>
      <c r="M47" s="541"/>
    </row>
    <row r="48" spans="2:29" x14ac:dyDescent="0.2">
      <c r="B48" s="541"/>
      <c r="C48" s="541"/>
      <c r="D48" s="541"/>
      <c r="E48" s="541"/>
      <c r="F48" s="541"/>
      <c r="G48" s="541"/>
      <c r="H48" s="541"/>
      <c r="I48" s="541"/>
      <c r="J48" s="541"/>
      <c r="K48" s="541"/>
      <c r="L48" s="541"/>
      <c r="M48" s="541"/>
    </row>
  </sheetData>
  <mergeCells count="3">
    <mergeCell ref="H6:I6"/>
    <mergeCell ref="J6:K6"/>
    <mergeCell ref="L6:M6"/>
  </mergeCells>
  <phoneticPr fontId="0" type="noConversion"/>
  <pageMargins left="0.25" right="0.25" top="1" bottom="0.5" header="0.5" footer="0.25"/>
  <pageSetup scale="76" orientation="landscape" blackAndWhite="1" r:id="rId1"/>
  <headerFooter alignWithMargins="0">
    <oddHeader xml:space="preserve">&amp;RState of Kansas
City
</oddHeader>
    <oddFooter>&amp;CPage No. 5</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B1:V92"/>
  <sheetViews>
    <sheetView zoomScale="95" zoomScaleNormal="95" workbookViewId="0">
      <selection activeCell="E18" sqref="E18"/>
    </sheetView>
  </sheetViews>
  <sheetFormatPr defaultColWidth="8.88671875" defaultRowHeight="15.75" x14ac:dyDescent="0.2"/>
  <cols>
    <col min="1" max="1" width="10.77734375" style="624" customWidth="1"/>
    <col min="2" max="2" width="23.5546875" style="624" customWidth="1"/>
    <col min="3" max="5" width="9.77734375" style="624" customWidth="1"/>
    <col min="6" max="6" width="18.33203125" style="624" customWidth="1"/>
    <col min="7" max="9" width="15.77734375" style="624" customWidth="1"/>
    <col min="10" max="16384" width="8.88671875" style="624"/>
  </cols>
  <sheetData>
    <row r="1" spans="2:9" x14ac:dyDescent="0.2">
      <c r="B1" s="626" t="str">
        <f>inputPrYr!$D$3</f>
        <v>UNIFIED GREELEY COUNTY - MUNICIPAL SERVICE DISTRICT</v>
      </c>
      <c r="C1" s="540"/>
      <c r="D1" s="540"/>
      <c r="E1" s="540"/>
      <c r="F1" s="540"/>
      <c r="G1" s="540"/>
      <c r="H1" s="540"/>
      <c r="I1" s="693">
        <f>inputPrYr!$C$6</f>
        <v>2020</v>
      </c>
    </row>
    <row r="2" spans="2:9" x14ac:dyDescent="0.2">
      <c r="B2" s="626"/>
      <c r="C2" s="540"/>
      <c r="D2" s="540"/>
      <c r="E2" s="540"/>
      <c r="F2" s="540"/>
      <c r="G2" s="540"/>
      <c r="H2" s="540"/>
      <c r="I2" s="606"/>
    </row>
    <row r="3" spans="2:9" x14ac:dyDescent="0.2">
      <c r="B3" s="540"/>
      <c r="C3" s="540"/>
      <c r="D3" s="540"/>
      <c r="E3" s="540"/>
      <c r="F3" s="540"/>
      <c r="G3" s="540"/>
      <c r="H3" s="540"/>
      <c r="I3" s="543"/>
    </row>
    <row r="4" spans="2:9" x14ac:dyDescent="0.2">
      <c r="B4" s="663" t="s">
        <v>83</v>
      </c>
      <c r="C4" s="545"/>
      <c r="D4" s="545"/>
      <c r="E4" s="545"/>
      <c r="F4" s="545"/>
      <c r="G4" s="545"/>
      <c r="H4" s="545"/>
      <c r="I4" s="545"/>
    </row>
    <row r="5" spans="2:9" x14ac:dyDescent="0.2">
      <c r="B5" s="556"/>
      <c r="C5" s="664"/>
      <c r="D5" s="664"/>
      <c r="E5" s="664"/>
      <c r="F5" s="664"/>
      <c r="G5" s="664"/>
      <c r="H5" s="664"/>
      <c r="I5" s="664"/>
    </row>
    <row r="6" spans="2:9" x14ac:dyDescent="0.2">
      <c r="B6" s="562"/>
      <c r="C6" s="562"/>
      <c r="D6" s="562"/>
      <c r="E6" s="562"/>
      <c r="F6" s="629" t="s">
        <v>288</v>
      </c>
      <c r="G6" s="562"/>
      <c r="H6" s="562"/>
      <c r="I6" s="562"/>
    </row>
    <row r="7" spans="2:9" x14ac:dyDescent="0.2">
      <c r="B7" s="563"/>
      <c r="C7" s="554"/>
      <c r="D7" s="554" t="s">
        <v>70</v>
      </c>
      <c r="E7" s="554" t="s">
        <v>71</v>
      </c>
      <c r="F7" s="554" t="s">
        <v>17</v>
      </c>
      <c r="G7" s="554" t="s">
        <v>73</v>
      </c>
      <c r="H7" s="554" t="s">
        <v>74</v>
      </c>
      <c r="I7" s="554" t="s">
        <v>74</v>
      </c>
    </row>
    <row r="8" spans="2:9" x14ac:dyDescent="0.2">
      <c r="B8" s="563"/>
      <c r="C8" s="554" t="s">
        <v>75</v>
      </c>
      <c r="D8" s="554" t="s">
        <v>76</v>
      </c>
      <c r="E8" s="554" t="s">
        <v>60</v>
      </c>
      <c r="F8" s="554" t="s">
        <v>77</v>
      </c>
      <c r="G8" s="554" t="s">
        <v>118</v>
      </c>
      <c r="H8" s="554" t="s">
        <v>78</v>
      </c>
      <c r="I8" s="554" t="s">
        <v>78</v>
      </c>
    </row>
    <row r="9" spans="2:9" x14ac:dyDescent="0.2">
      <c r="B9" s="558" t="s">
        <v>79</v>
      </c>
      <c r="C9" s="558" t="s">
        <v>57</v>
      </c>
      <c r="D9" s="694" t="s">
        <v>80</v>
      </c>
      <c r="E9" s="558" t="s">
        <v>39</v>
      </c>
      <c r="F9" s="694" t="s">
        <v>130</v>
      </c>
      <c r="G9" s="695" t="str">
        <f>CONCATENATE("Jan 1 ",I1-1,"")</f>
        <v>Jan 1 2019</v>
      </c>
      <c r="H9" s="558">
        <f>I1-1</f>
        <v>2019</v>
      </c>
      <c r="I9" s="558">
        <f>I1</f>
        <v>2020</v>
      </c>
    </row>
    <row r="10" spans="2:9" x14ac:dyDescent="0.2">
      <c r="B10" s="672" t="s">
        <v>1056</v>
      </c>
      <c r="C10" s="673">
        <v>41845</v>
      </c>
      <c r="D10" s="697">
        <v>60</v>
      </c>
      <c r="E10" s="674">
        <v>2.65</v>
      </c>
      <c r="F10" s="675">
        <v>189800</v>
      </c>
      <c r="G10" s="675">
        <v>18771</v>
      </c>
      <c r="H10" s="675">
        <v>18949</v>
      </c>
      <c r="I10" s="675">
        <v>0</v>
      </c>
    </row>
    <row r="11" spans="2:9" x14ac:dyDescent="0.2">
      <c r="B11" s="672" t="s">
        <v>1057</v>
      </c>
      <c r="C11" s="673">
        <v>43439</v>
      </c>
      <c r="D11" s="697">
        <v>60</v>
      </c>
      <c r="E11" s="674">
        <v>3.59</v>
      </c>
      <c r="F11" s="675">
        <v>165000</v>
      </c>
      <c r="G11" s="675">
        <v>140000</v>
      </c>
      <c r="H11" s="675">
        <v>31133</v>
      </c>
      <c r="I11" s="675">
        <v>31133</v>
      </c>
    </row>
    <row r="12" spans="2:9" x14ac:dyDescent="0.2">
      <c r="B12" s="672"/>
      <c r="C12" s="696"/>
      <c r="D12" s="697"/>
      <c r="E12" s="674"/>
      <c r="F12" s="675"/>
      <c r="G12" s="675"/>
      <c r="H12" s="675"/>
      <c r="I12" s="675"/>
    </row>
    <row r="13" spans="2:9" x14ac:dyDescent="0.2">
      <c r="B13" s="672"/>
      <c r="C13" s="696"/>
      <c r="D13" s="697"/>
      <c r="E13" s="674"/>
      <c r="F13" s="675"/>
      <c r="G13" s="675"/>
      <c r="H13" s="675"/>
      <c r="I13" s="675"/>
    </row>
    <row r="14" spans="2:9" x14ac:dyDescent="0.2">
      <c r="B14" s="672"/>
      <c r="C14" s="673"/>
      <c r="D14" s="697"/>
      <c r="E14" s="674"/>
      <c r="F14" s="675"/>
      <c r="G14" s="675"/>
      <c r="H14" s="675"/>
      <c r="I14" s="675"/>
    </row>
    <row r="15" spans="2:9" x14ac:dyDescent="0.2">
      <c r="B15" s="672"/>
      <c r="C15" s="696"/>
      <c r="D15" s="697"/>
      <c r="E15" s="674"/>
      <c r="F15" s="675"/>
      <c r="G15" s="675"/>
      <c r="H15" s="675"/>
      <c r="I15" s="675"/>
    </row>
    <row r="16" spans="2:9" x14ac:dyDescent="0.2">
      <c r="B16" s="672"/>
      <c r="C16" s="696"/>
      <c r="D16" s="697"/>
      <c r="E16" s="674"/>
      <c r="F16" s="675"/>
      <c r="G16" s="675"/>
      <c r="H16" s="675"/>
      <c r="I16" s="675"/>
    </row>
    <row r="17" spans="2:9" x14ac:dyDescent="0.2">
      <c r="B17" s="672"/>
      <c r="C17" s="696"/>
      <c r="D17" s="697"/>
      <c r="E17" s="674"/>
      <c r="F17" s="675"/>
      <c r="G17" s="675"/>
      <c r="H17" s="675"/>
      <c r="I17" s="675"/>
    </row>
    <row r="18" spans="2:9" x14ac:dyDescent="0.2">
      <c r="B18" s="672"/>
      <c r="C18" s="696"/>
      <c r="D18" s="697"/>
      <c r="E18" s="674"/>
      <c r="F18" s="675"/>
      <c r="G18" s="675"/>
      <c r="H18" s="675"/>
      <c r="I18" s="675"/>
    </row>
    <row r="19" spans="2:9" x14ac:dyDescent="0.2">
      <c r="B19" s="672"/>
      <c r="C19" s="696"/>
      <c r="D19" s="697"/>
      <c r="E19" s="674"/>
      <c r="F19" s="675"/>
      <c r="G19" s="675"/>
      <c r="H19" s="675"/>
      <c r="I19" s="675"/>
    </row>
    <row r="20" spans="2:9" x14ac:dyDescent="0.2">
      <c r="B20" s="672"/>
      <c r="C20" s="696"/>
      <c r="D20" s="697"/>
      <c r="E20" s="674"/>
      <c r="F20" s="675"/>
      <c r="G20" s="675"/>
      <c r="H20" s="675"/>
      <c r="I20" s="675"/>
    </row>
    <row r="21" spans="2:9" x14ac:dyDescent="0.2">
      <c r="B21" s="672"/>
      <c r="C21" s="696"/>
      <c r="D21" s="697"/>
      <c r="E21" s="674"/>
      <c r="F21" s="675"/>
      <c r="G21" s="675"/>
      <c r="H21" s="675"/>
      <c r="I21" s="675"/>
    </row>
    <row r="22" spans="2:9" x14ac:dyDescent="0.2">
      <c r="B22" s="672"/>
      <c r="C22" s="696"/>
      <c r="D22" s="697"/>
      <c r="E22" s="674"/>
      <c r="F22" s="675"/>
      <c r="G22" s="675"/>
      <c r="H22" s="675"/>
      <c r="I22" s="675"/>
    </row>
    <row r="23" spans="2:9" x14ac:dyDescent="0.2">
      <c r="B23" s="672"/>
      <c r="C23" s="696"/>
      <c r="D23" s="697"/>
      <c r="E23" s="674"/>
      <c r="F23" s="675"/>
      <c r="G23" s="675"/>
      <c r="H23" s="675"/>
      <c r="I23" s="675"/>
    </row>
    <row r="24" spans="2:9" x14ac:dyDescent="0.2">
      <c r="B24" s="672"/>
      <c r="C24" s="696"/>
      <c r="D24" s="697"/>
      <c r="E24" s="674"/>
      <c r="F24" s="675"/>
      <c r="G24" s="675"/>
      <c r="H24" s="675"/>
      <c r="I24" s="675"/>
    </row>
    <row r="25" spans="2:9" x14ac:dyDescent="0.2">
      <c r="B25" s="672"/>
      <c r="C25" s="696"/>
      <c r="D25" s="697"/>
      <c r="E25" s="674"/>
      <c r="F25" s="675"/>
      <c r="G25" s="675"/>
      <c r="H25" s="675"/>
      <c r="I25" s="675"/>
    </row>
    <row r="26" spans="2:9" x14ac:dyDescent="0.2">
      <c r="B26" s="672"/>
      <c r="C26" s="696"/>
      <c r="D26" s="697"/>
      <c r="E26" s="674"/>
      <c r="F26" s="675"/>
      <c r="G26" s="675"/>
      <c r="H26" s="675"/>
      <c r="I26" s="675"/>
    </row>
    <row r="27" spans="2:9" x14ac:dyDescent="0.2">
      <c r="B27" s="672"/>
      <c r="C27" s="696"/>
      <c r="D27" s="697"/>
      <c r="E27" s="674"/>
      <c r="F27" s="675"/>
      <c r="G27" s="675"/>
      <c r="H27" s="675"/>
      <c r="I27" s="675"/>
    </row>
    <row r="28" spans="2:9" ht="16.5" thickBot="1" x14ac:dyDescent="0.25">
      <c r="B28" s="698" t="s">
        <v>12</v>
      </c>
      <c r="C28" s="699"/>
      <c r="D28" s="699"/>
      <c r="E28" s="699"/>
      <c r="F28" s="699"/>
      <c r="G28" s="700">
        <f>SUM(G10:G27)</f>
        <v>158771</v>
      </c>
      <c r="H28" s="700">
        <f>SUM(H10:H27)</f>
        <v>50082</v>
      </c>
      <c r="I28" s="700">
        <f>SUM(I10:I27)</f>
        <v>31133</v>
      </c>
    </row>
    <row r="29" spans="2:9" ht="16.5" thickTop="1" x14ac:dyDescent="0.2">
      <c r="B29" s="540"/>
      <c r="C29" s="540"/>
      <c r="D29" s="540"/>
      <c r="E29" s="540"/>
      <c r="F29" s="540"/>
      <c r="G29" s="540"/>
      <c r="H29" s="626"/>
      <c r="I29" s="626"/>
    </row>
    <row r="30" spans="2:9" x14ac:dyDescent="0.2">
      <c r="B30" s="701" t="s">
        <v>235</v>
      </c>
      <c r="C30" s="702"/>
      <c r="D30" s="702"/>
      <c r="E30" s="702"/>
      <c r="F30" s="702"/>
      <c r="G30" s="702"/>
      <c r="H30" s="626"/>
      <c r="I30" s="626"/>
    </row>
    <row r="92" spans="22:22" x14ac:dyDescent="0.2">
      <c r="V92" s="624" t="s">
        <v>1051</v>
      </c>
    </row>
  </sheetData>
  <phoneticPr fontId="0" type="noConversion"/>
  <pageMargins left="0.25" right="0.25" top="1" bottom="0.5" header="0.5" footer="0.5"/>
  <pageSetup scale="86" orientation="landscape" blackAndWhite="1" r:id="rId1"/>
  <headerFooter alignWithMargins="0">
    <oddHeader xml:space="preserve">&amp;RState of Kansas
City
</oddHeader>
    <oddFooter>&amp;CPage No. 6</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I108"/>
  <sheetViews>
    <sheetView zoomScaleNormal="100" workbookViewId="0">
      <selection activeCell="D111" sqref="D111"/>
    </sheetView>
  </sheetViews>
  <sheetFormatPr defaultColWidth="8.88671875" defaultRowHeight="15" x14ac:dyDescent="0.2"/>
  <cols>
    <col min="1" max="1" width="2.5546875" style="313" customWidth="1"/>
    <col min="2" max="4" width="8.88671875" style="313"/>
    <col min="5" max="5" width="9.6640625" style="313" customWidth="1"/>
    <col min="6" max="6" width="8.88671875" style="313"/>
    <col min="7" max="7" width="9.6640625" style="313" customWidth="1"/>
    <col min="8" max="16384" width="8.88671875" style="313"/>
  </cols>
  <sheetData>
    <row r="1" spans="2:9" ht="15.75" x14ac:dyDescent="0.25">
      <c r="B1" s="312"/>
      <c r="C1" s="312"/>
      <c r="D1" s="312"/>
      <c r="E1" s="312"/>
      <c r="F1" s="312"/>
      <c r="G1" s="312"/>
      <c r="H1" s="312"/>
      <c r="I1" s="312"/>
    </row>
    <row r="2" spans="2:9" ht="15.75" x14ac:dyDescent="0.2">
      <c r="B2" s="1071" t="s">
        <v>747</v>
      </c>
      <c r="C2" s="1071"/>
      <c r="D2" s="1071"/>
      <c r="E2" s="1071"/>
      <c r="F2" s="1071"/>
      <c r="G2" s="1071"/>
      <c r="H2" s="1071"/>
      <c r="I2" s="1071"/>
    </row>
    <row r="3" spans="2:9" ht="15.75" x14ac:dyDescent="0.2">
      <c r="B3" s="1071" t="s">
        <v>748</v>
      </c>
      <c r="C3" s="1071"/>
      <c r="D3" s="1071"/>
      <c r="E3" s="1071"/>
      <c r="F3" s="1071"/>
      <c r="G3" s="1071"/>
      <c r="H3" s="1071"/>
      <c r="I3" s="1071"/>
    </row>
    <row r="4" spans="2:9" ht="15.75" x14ac:dyDescent="0.2">
      <c r="B4" s="314"/>
      <c r="C4" s="314"/>
      <c r="D4" s="314"/>
      <c r="E4" s="314"/>
      <c r="F4" s="314"/>
      <c r="G4" s="314"/>
      <c r="H4" s="314"/>
      <c r="I4" s="314"/>
    </row>
    <row r="5" spans="2:9" ht="15.75" x14ac:dyDescent="0.2">
      <c r="B5" s="1072" t="str">
        <f>CONCATENATE("Budgeted Year: ",inputPrYr!C6,"")</f>
        <v>Budgeted Year: 2020</v>
      </c>
      <c r="C5" s="1072"/>
      <c r="D5" s="1072"/>
      <c r="E5" s="1072"/>
      <c r="F5" s="1072"/>
      <c r="G5" s="1072"/>
      <c r="H5" s="1072"/>
      <c r="I5" s="1072"/>
    </row>
    <row r="6" spans="2:9" ht="15.75" x14ac:dyDescent="0.2">
      <c r="B6" s="315"/>
      <c r="C6" s="314"/>
      <c r="D6" s="314"/>
      <c r="E6" s="314"/>
      <c r="F6" s="314"/>
      <c r="G6" s="314"/>
      <c r="H6" s="314"/>
      <c r="I6" s="314"/>
    </row>
    <row r="7" spans="2:9" ht="15.75" x14ac:dyDescent="0.2">
      <c r="B7" s="315" t="str">
        <f>CONCATENATE("Library found in: ",inputPrYr!D3,"")</f>
        <v>Library found in: UNIFIED GREELEY COUNTY - MUNICIPAL SERVICE DISTRICT</v>
      </c>
      <c r="C7" s="314"/>
      <c r="D7" s="314"/>
      <c r="E7" s="314"/>
      <c r="F7" s="314"/>
      <c r="G7" s="314"/>
      <c r="H7" s="314"/>
      <c r="I7" s="314"/>
    </row>
    <row r="8" spans="2:9" ht="15.75" x14ac:dyDescent="0.2">
      <c r="B8" s="315" t="str">
        <f>inputPrYr!D4</f>
        <v>GREELEY COUNTY</v>
      </c>
      <c r="C8" s="314"/>
      <c r="D8" s="314"/>
      <c r="E8" s="314"/>
      <c r="F8" s="314"/>
      <c r="G8" s="314"/>
      <c r="H8" s="314"/>
      <c r="I8" s="314"/>
    </row>
    <row r="9" spans="2:9" ht="15.75" x14ac:dyDescent="0.2">
      <c r="B9" s="314"/>
      <c r="C9" s="314"/>
      <c r="D9" s="314"/>
      <c r="E9" s="314"/>
      <c r="F9" s="314"/>
      <c r="G9" s="314"/>
      <c r="H9" s="314"/>
      <c r="I9" s="314"/>
    </row>
    <row r="10" spans="2:9" ht="39" customHeight="1" x14ac:dyDescent="0.2">
      <c r="B10" s="1073" t="s">
        <v>749</v>
      </c>
      <c r="C10" s="1073"/>
      <c r="D10" s="1073"/>
      <c r="E10" s="1073"/>
      <c r="F10" s="1073"/>
      <c r="G10" s="1073"/>
      <c r="H10" s="1073"/>
      <c r="I10" s="1073"/>
    </row>
    <row r="11" spans="2:9" ht="15.75" x14ac:dyDescent="0.2">
      <c r="B11" s="314"/>
      <c r="C11" s="314"/>
      <c r="D11" s="314"/>
      <c r="E11" s="314"/>
      <c r="F11" s="314"/>
      <c r="G11" s="314"/>
      <c r="H11" s="314"/>
      <c r="I11" s="314"/>
    </row>
    <row r="12" spans="2:9" ht="15.75" x14ac:dyDescent="0.2">
      <c r="B12" s="316" t="s">
        <v>750</v>
      </c>
      <c r="C12" s="314"/>
      <c r="D12" s="314"/>
      <c r="E12" s="314"/>
      <c r="F12" s="314"/>
      <c r="G12" s="314"/>
      <c r="H12" s="314"/>
      <c r="I12" s="314"/>
    </row>
    <row r="13" spans="2:9" ht="15.75" x14ac:dyDescent="0.2">
      <c r="B13" s="314"/>
      <c r="C13" s="314"/>
      <c r="D13" s="314"/>
      <c r="E13" s="317" t="s">
        <v>741</v>
      </c>
      <c r="F13" s="314"/>
      <c r="G13" s="317" t="s">
        <v>751</v>
      </c>
      <c r="H13" s="314"/>
      <c r="I13" s="314"/>
    </row>
    <row r="14" spans="2:9" ht="15.75" x14ac:dyDescent="0.2">
      <c r="B14" s="314"/>
      <c r="C14" s="314"/>
      <c r="D14" s="314"/>
      <c r="E14" s="318">
        <f>inputPrYr!C6-1</f>
        <v>2019</v>
      </c>
      <c r="F14" s="314"/>
      <c r="G14" s="318">
        <f>inputPrYr!C6</f>
        <v>2020</v>
      </c>
      <c r="H14" s="314"/>
      <c r="I14" s="314"/>
    </row>
    <row r="15" spans="2:9" ht="15.75" x14ac:dyDescent="0.2">
      <c r="B15" s="315" t="str">
        <f>'DebtSvs-Library'!B50</f>
        <v>Ad Valorem Tax</v>
      </c>
      <c r="C15" s="314"/>
      <c r="D15" s="314"/>
      <c r="E15" s="319">
        <f>'DebtSvs-Library'!D50</f>
        <v>0</v>
      </c>
      <c r="F15" s="314"/>
      <c r="G15" s="319">
        <f>'DebtSvs-Library'!E81</f>
        <v>0</v>
      </c>
      <c r="H15" s="314"/>
      <c r="I15" s="314"/>
    </row>
    <row r="16" spans="2:9" ht="15.75" x14ac:dyDescent="0.2">
      <c r="B16" s="315" t="str">
        <f>'DebtSvs-Library'!B51</f>
        <v>Delinquent Tax</v>
      </c>
      <c r="C16" s="314"/>
      <c r="D16" s="314"/>
      <c r="E16" s="319">
        <f>'DebtSvs-Library'!D51</f>
        <v>0</v>
      </c>
      <c r="F16" s="314"/>
      <c r="G16" s="319">
        <f>'DebtSvs-Library'!E51</f>
        <v>0</v>
      </c>
      <c r="H16" s="314"/>
      <c r="I16" s="314"/>
    </row>
    <row r="17" spans="2:9" ht="15.75" x14ac:dyDescent="0.2">
      <c r="B17" s="315" t="str">
        <f>'DebtSvs-Library'!B52</f>
        <v>Motor Vehicle Tax</v>
      </c>
      <c r="C17" s="314"/>
      <c r="D17" s="314"/>
      <c r="E17" s="319">
        <f>'DebtSvs-Library'!D52</f>
        <v>0</v>
      </c>
      <c r="F17" s="314"/>
      <c r="G17" s="319" t="str">
        <f>'DebtSvs-Library'!E52</f>
        <v xml:space="preserve">  </v>
      </c>
      <c r="H17" s="314"/>
      <c r="I17" s="314"/>
    </row>
    <row r="18" spans="2:9" ht="15.75" x14ac:dyDescent="0.2">
      <c r="B18" s="315" t="str">
        <f>'DebtSvs-Library'!B53</f>
        <v>Recreational Vehicle Tax</v>
      </c>
      <c r="C18" s="314"/>
      <c r="D18" s="314"/>
      <c r="E18" s="319">
        <f>'DebtSvs-Library'!D53</f>
        <v>0</v>
      </c>
      <c r="F18" s="314"/>
      <c r="G18" s="319" t="str">
        <f>'DebtSvs-Library'!E53</f>
        <v xml:space="preserve"> </v>
      </c>
      <c r="H18" s="314"/>
      <c r="I18" s="314"/>
    </row>
    <row r="19" spans="2:9" ht="15.75" x14ac:dyDescent="0.2">
      <c r="B19" s="315" t="str">
        <f>'DebtSvs-Library'!B54</f>
        <v>16/20M Vehicle Tax</v>
      </c>
      <c r="C19" s="314"/>
      <c r="D19" s="314"/>
      <c r="E19" s="319">
        <f>'DebtSvs-Library'!D54</f>
        <v>0</v>
      </c>
      <c r="F19" s="314"/>
      <c r="G19" s="319" t="str">
        <f>'DebtSvs-Library'!E54</f>
        <v xml:space="preserve"> </v>
      </c>
      <c r="H19" s="314"/>
      <c r="I19" s="314"/>
    </row>
    <row r="20" spans="2:9" ht="15.75" x14ac:dyDescent="0.2">
      <c r="B20" s="314" t="s">
        <v>140</v>
      </c>
      <c r="C20" s="314"/>
      <c r="D20" s="314"/>
      <c r="E20" s="319">
        <v>0</v>
      </c>
      <c r="F20" s="314"/>
      <c r="G20" s="319">
        <v>0</v>
      </c>
      <c r="H20" s="314"/>
      <c r="I20" s="314"/>
    </row>
    <row r="21" spans="2:9" ht="15.75" x14ac:dyDescent="0.2">
      <c r="B21" s="314"/>
      <c r="C21" s="314"/>
      <c r="D21" s="314"/>
      <c r="E21" s="319">
        <v>0</v>
      </c>
      <c r="F21" s="314"/>
      <c r="G21" s="319">
        <v>0</v>
      </c>
      <c r="H21" s="314"/>
      <c r="I21" s="314"/>
    </row>
    <row r="22" spans="2:9" ht="15.75" x14ac:dyDescent="0.2">
      <c r="B22" s="314" t="s">
        <v>752</v>
      </c>
      <c r="C22" s="314"/>
      <c r="D22" s="314"/>
      <c r="E22" s="320">
        <f>SUM(E15:E21)</f>
        <v>0</v>
      </c>
      <c r="F22" s="314"/>
      <c r="G22" s="320">
        <f>SUM(G15:G21)</f>
        <v>0</v>
      </c>
      <c r="H22" s="314"/>
      <c r="I22" s="314"/>
    </row>
    <row r="23" spans="2:9" ht="15.75" x14ac:dyDescent="0.2">
      <c r="B23" s="314" t="s">
        <v>753</v>
      </c>
      <c r="C23" s="314"/>
      <c r="D23" s="314"/>
      <c r="E23" s="321">
        <f>G22-E22</f>
        <v>0</v>
      </c>
      <c r="F23" s="314"/>
      <c r="G23" s="322"/>
      <c r="H23" s="314"/>
      <c r="I23" s="314"/>
    </row>
    <row r="24" spans="2:9" ht="15.75" x14ac:dyDescent="0.2">
      <c r="B24" s="314" t="s">
        <v>754</v>
      </c>
      <c r="C24" s="314"/>
      <c r="D24" s="323" t="str">
        <f>IF((G22-E22)&gt;=0,"Qualify","Not Qualify")</f>
        <v>Qualify</v>
      </c>
      <c r="E24" s="314"/>
      <c r="F24" s="314"/>
      <c r="G24" s="314"/>
      <c r="H24" s="314"/>
      <c r="I24" s="314"/>
    </row>
    <row r="25" spans="2:9" ht="15.75" x14ac:dyDescent="0.2">
      <c r="B25" s="314"/>
      <c r="C25" s="314"/>
      <c r="D25" s="314"/>
      <c r="E25" s="314"/>
      <c r="F25" s="314"/>
      <c r="G25" s="314"/>
      <c r="H25" s="314"/>
      <c r="I25" s="314"/>
    </row>
    <row r="26" spans="2:9" ht="15.75" x14ac:dyDescent="0.2">
      <c r="B26" s="316" t="s">
        <v>755</v>
      </c>
      <c r="C26" s="314"/>
      <c r="D26" s="314"/>
      <c r="E26" s="314"/>
      <c r="F26" s="314"/>
      <c r="G26" s="314"/>
      <c r="H26" s="314"/>
      <c r="I26" s="314"/>
    </row>
    <row r="27" spans="2:9" ht="15.75" x14ac:dyDescent="0.2">
      <c r="B27" s="314" t="s">
        <v>756</v>
      </c>
      <c r="C27" s="314"/>
      <c r="D27" s="314"/>
      <c r="E27" s="319">
        <f>SUMM!D32</f>
        <v>4753243</v>
      </c>
      <c r="F27" s="314"/>
      <c r="G27" s="319">
        <f>SUMM!F32</f>
        <v>4873537</v>
      </c>
      <c r="H27" s="314"/>
      <c r="I27" s="314"/>
    </row>
    <row r="28" spans="2:9" ht="15.75" x14ac:dyDescent="0.2">
      <c r="B28" s="314" t="s">
        <v>757</v>
      </c>
      <c r="C28" s="314"/>
      <c r="D28" s="314"/>
      <c r="E28" s="324" t="str">
        <f>IF(G27-E27&gt;=0,"No","Yes")</f>
        <v>No</v>
      </c>
      <c r="F28" s="314"/>
      <c r="G28" s="314"/>
      <c r="H28" s="314"/>
      <c r="I28" s="314"/>
    </row>
    <row r="29" spans="2:9" ht="15.75" x14ac:dyDescent="0.2">
      <c r="B29" s="314" t="s">
        <v>758</v>
      </c>
      <c r="C29" s="314"/>
      <c r="D29" s="314"/>
      <c r="E29" s="317" t="e">
        <f>SUMM!#REF!</f>
        <v>#REF!</v>
      </c>
      <c r="F29" s="314"/>
      <c r="G29" s="332" t="e">
        <f>SUMM!#REF!</f>
        <v>#REF!</v>
      </c>
      <c r="H29" s="314"/>
      <c r="I29" s="314"/>
    </row>
    <row r="30" spans="2:9" ht="15.75" x14ac:dyDescent="0.2">
      <c r="B30" s="314" t="s">
        <v>759</v>
      </c>
      <c r="C30" s="314"/>
      <c r="D30" s="314"/>
      <c r="E30" s="333" t="e">
        <f>G29-E29</f>
        <v>#REF!</v>
      </c>
      <c r="F30" s="314"/>
      <c r="G30" s="314"/>
      <c r="H30" s="314"/>
      <c r="I30" s="314"/>
    </row>
    <row r="31" spans="2:9" ht="15.75" x14ac:dyDescent="0.2">
      <c r="B31" s="314" t="s">
        <v>754</v>
      </c>
      <c r="C31" s="314"/>
      <c r="D31" s="325" t="e">
        <f>IF(E30&gt;=0,"Qualify","Not Qualify")</f>
        <v>#REF!</v>
      </c>
      <c r="E31" s="314"/>
      <c r="F31" s="314"/>
      <c r="G31" s="314"/>
      <c r="H31" s="314"/>
      <c r="I31" s="314"/>
    </row>
    <row r="32" spans="2:9" ht="15.75" x14ac:dyDescent="0.2">
      <c r="B32" s="314"/>
      <c r="C32" s="314"/>
      <c r="D32" s="314"/>
      <c r="E32" s="314"/>
      <c r="F32" s="314"/>
      <c r="G32" s="314"/>
      <c r="H32" s="314"/>
      <c r="I32" s="314"/>
    </row>
    <row r="33" spans="2:9" ht="15.75" x14ac:dyDescent="0.2">
      <c r="B33" s="314" t="s">
        <v>760</v>
      </c>
      <c r="C33" s="314"/>
      <c r="D33" s="314"/>
      <c r="E33" s="314"/>
      <c r="F33" s="334" t="str">
        <f>IF(D24="Not Qualify",IF(D31="Not Qualify",IF(D31="Not Qualify","Not Qualify","Qualify"),"Qualify"),"Qualify")</f>
        <v>Qualify</v>
      </c>
      <c r="G33" s="314"/>
      <c r="H33" s="314"/>
      <c r="I33" s="314"/>
    </row>
    <row r="34" spans="2:9" ht="15.75" x14ac:dyDescent="0.2">
      <c r="B34" s="314"/>
      <c r="C34" s="314"/>
      <c r="D34" s="314"/>
      <c r="E34" s="314"/>
      <c r="F34" s="314"/>
      <c r="G34" s="314"/>
      <c r="H34" s="314"/>
      <c r="I34" s="314"/>
    </row>
    <row r="35" spans="2:9" ht="15.75" x14ac:dyDescent="0.2">
      <c r="B35" s="314"/>
      <c r="C35" s="314"/>
      <c r="D35" s="314"/>
      <c r="E35" s="314"/>
      <c r="F35" s="314"/>
      <c r="G35" s="314"/>
      <c r="H35" s="314"/>
      <c r="I35" s="314"/>
    </row>
    <row r="36" spans="2:9" ht="37.5" customHeight="1" x14ac:dyDescent="0.2">
      <c r="B36" s="1073" t="s">
        <v>761</v>
      </c>
      <c r="C36" s="1073"/>
      <c r="D36" s="1073"/>
      <c r="E36" s="1073"/>
      <c r="F36" s="1073"/>
      <c r="G36" s="1073"/>
      <c r="H36" s="1073"/>
      <c r="I36" s="1073"/>
    </row>
    <row r="37" spans="2:9" ht="15.75" x14ac:dyDescent="0.2">
      <c r="B37" s="314"/>
      <c r="C37" s="314"/>
      <c r="D37" s="314"/>
      <c r="E37" s="314"/>
      <c r="F37" s="314"/>
      <c r="G37" s="314"/>
      <c r="H37" s="314"/>
      <c r="I37" s="314"/>
    </row>
    <row r="38" spans="2:9" ht="15.75" x14ac:dyDescent="0.2">
      <c r="B38" s="314"/>
      <c r="C38" s="314"/>
      <c r="D38" s="314"/>
      <c r="E38" s="314"/>
      <c r="F38" s="314"/>
      <c r="G38" s="314"/>
      <c r="H38" s="314"/>
      <c r="I38" s="314"/>
    </row>
    <row r="39" spans="2:9" ht="15.75" x14ac:dyDescent="0.2">
      <c r="B39" s="314"/>
      <c r="C39" s="314"/>
      <c r="D39" s="314"/>
      <c r="E39" s="314"/>
      <c r="F39" s="314"/>
      <c r="G39" s="314"/>
      <c r="H39" s="314"/>
      <c r="I39" s="314"/>
    </row>
    <row r="40" spans="2:9" ht="15.75" x14ac:dyDescent="0.2">
      <c r="B40" s="314"/>
      <c r="C40" s="314"/>
      <c r="D40" s="314"/>
      <c r="E40" s="331" t="s">
        <v>32</v>
      </c>
      <c r="F40" s="330">
        <v>7</v>
      </c>
      <c r="G40" s="314"/>
      <c r="H40" s="314"/>
      <c r="I40" s="314"/>
    </row>
    <row r="41" spans="2:9" ht="15.75" x14ac:dyDescent="0.2">
      <c r="B41" s="314"/>
      <c r="C41" s="314"/>
      <c r="D41" s="314"/>
      <c r="E41" s="314"/>
      <c r="F41" s="314"/>
      <c r="G41" s="314"/>
      <c r="H41" s="314"/>
      <c r="I41" s="314"/>
    </row>
    <row r="42" spans="2:9" ht="15.75" x14ac:dyDescent="0.2">
      <c r="B42" s="314"/>
      <c r="C42" s="314"/>
      <c r="D42" s="314"/>
      <c r="E42" s="314"/>
      <c r="F42" s="314"/>
      <c r="G42" s="314"/>
      <c r="H42" s="314"/>
      <c r="I42" s="314"/>
    </row>
    <row r="43" spans="2:9" ht="15.75" x14ac:dyDescent="0.25">
      <c r="B43" s="1069" t="s">
        <v>762</v>
      </c>
      <c r="C43" s="1070"/>
      <c r="D43" s="1070"/>
      <c r="E43" s="1070"/>
      <c r="F43" s="1070"/>
      <c r="G43" s="1070"/>
      <c r="H43" s="1070"/>
      <c r="I43" s="1070"/>
    </row>
    <row r="44" spans="2:9" ht="15.75" x14ac:dyDescent="0.2">
      <c r="B44" s="314"/>
      <c r="C44" s="314"/>
      <c r="D44" s="314"/>
      <c r="E44" s="314"/>
      <c r="F44" s="314"/>
      <c r="G44" s="314"/>
      <c r="H44" s="314"/>
      <c r="I44" s="314"/>
    </row>
    <row r="45" spans="2:9" ht="15.75" x14ac:dyDescent="0.25">
      <c r="B45" s="326" t="s">
        <v>763</v>
      </c>
      <c r="C45" s="314"/>
      <c r="D45" s="314"/>
      <c r="E45" s="314"/>
      <c r="F45" s="314"/>
      <c r="G45" s="314"/>
      <c r="H45" s="314"/>
      <c r="I45" s="314"/>
    </row>
    <row r="46" spans="2:9" ht="15.75" x14ac:dyDescent="0.25">
      <c r="B46" s="326" t="str">
        <f>CONCATENATE("sources in your ",G14," library fund is not equal to or greater than the amount from the same")</f>
        <v>sources in your 2020 library fund is not equal to or greater than the amount from the same</v>
      </c>
      <c r="C46" s="314"/>
      <c r="D46" s="314"/>
      <c r="E46" s="314"/>
      <c r="F46" s="314"/>
      <c r="G46" s="314"/>
      <c r="H46" s="314"/>
      <c r="I46" s="314"/>
    </row>
    <row r="47" spans="2:9" ht="15.75" x14ac:dyDescent="0.25">
      <c r="B47" s="326" t="str">
        <f>CONCATENATE("sources in ",E14,".")</f>
        <v>sources in 2019.</v>
      </c>
      <c r="C47" s="312"/>
      <c r="D47" s="312"/>
      <c r="E47" s="312"/>
      <c r="F47" s="312"/>
      <c r="G47" s="312"/>
      <c r="H47" s="312"/>
      <c r="I47" s="312"/>
    </row>
    <row r="48" spans="2:9" ht="15.75" x14ac:dyDescent="0.25">
      <c r="B48" s="312"/>
      <c r="C48" s="312"/>
      <c r="D48" s="312"/>
      <c r="E48" s="312"/>
      <c r="F48" s="312"/>
      <c r="G48" s="312"/>
      <c r="H48" s="312"/>
      <c r="I48" s="312"/>
    </row>
    <row r="49" spans="2:9" ht="15.75" x14ac:dyDescent="0.25">
      <c r="B49" s="326" t="s">
        <v>764</v>
      </c>
      <c r="C49" s="326"/>
      <c r="D49" s="327"/>
      <c r="E49" s="327"/>
      <c r="F49" s="327"/>
      <c r="G49" s="327"/>
      <c r="H49" s="327"/>
      <c r="I49" s="327"/>
    </row>
    <row r="50" spans="2:9" ht="15.75" x14ac:dyDescent="0.25">
      <c r="B50" s="326" t="s">
        <v>765</v>
      </c>
      <c r="C50" s="326"/>
      <c r="D50" s="327"/>
      <c r="E50" s="327"/>
      <c r="F50" s="327"/>
      <c r="G50" s="327"/>
      <c r="H50" s="327"/>
      <c r="I50" s="327"/>
    </row>
    <row r="51" spans="2:9" ht="15.75" x14ac:dyDescent="0.25">
      <c r="B51" s="326" t="s">
        <v>766</v>
      </c>
      <c r="C51" s="326"/>
      <c r="D51" s="327"/>
      <c r="E51" s="327"/>
      <c r="F51" s="327"/>
      <c r="G51" s="327"/>
      <c r="H51" s="327"/>
      <c r="I51" s="327"/>
    </row>
    <row r="52" spans="2:9" x14ac:dyDescent="0.2">
      <c r="B52" s="327"/>
      <c r="C52" s="327"/>
      <c r="D52" s="327"/>
      <c r="E52" s="327"/>
      <c r="F52" s="327"/>
      <c r="G52" s="327"/>
      <c r="H52" s="327"/>
      <c r="I52" s="327"/>
    </row>
    <row r="53" spans="2:9" ht="15.75" x14ac:dyDescent="0.25">
      <c r="B53" s="328" t="s">
        <v>767</v>
      </c>
      <c r="C53" s="327"/>
      <c r="D53" s="327"/>
      <c r="E53" s="327"/>
      <c r="F53" s="327"/>
      <c r="G53" s="327"/>
      <c r="H53" s="327"/>
      <c r="I53" s="327"/>
    </row>
    <row r="54" spans="2:9" x14ac:dyDescent="0.2">
      <c r="B54" s="327"/>
      <c r="C54" s="327"/>
      <c r="D54" s="327"/>
      <c r="E54" s="327"/>
      <c r="F54" s="327"/>
      <c r="G54" s="327"/>
      <c r="H54" s="327"/>
      <c r="I54" s="327"/>
    </row>
    <row r="55" spans="2:9" ht="15.75" x14ac:dyDescent="0.25">
      <c r="B55" s="326" t="s">
        <v>768</v>
      </c>
      <c r="C55" s="327"/>
      <c r="D55" s="327"/>
      <c r="E55" s="327"/>
      <c r="F55" s="327"/>
      <c r="G55" s="327"/>
      <c r="H55" s="327"/>
      <c r="I55" s="327"/>
    </row>
    <row r="56" spans="2:9" ht="15.75" x14ac:dyDescent="0.25">
      <c r="B56" s="326" t="s">
        <v>769</v>
      </c>
      <c r="C56" s="327"/>
      <c r="D56" s="327"/>
      <c r="E56" s="327"/>
      <c r="F56" s="327"/>
      <c r="G56" s="327"/>
      <c r="H56" s="327"/>
      <c r="I56" s="327"/>
    </row>
    <row r="57" spans="2:9" x14ac:dyDescent="0.2">
      <c r="B57" s="327"/>
      <c r="C57" s="327"/>
      <c r="D57" s="327"/>
      <c r="E57" s="327"/>
      <c r="F57" s="327"/>
      <c r="G57" s="327"/>
      <c r="H57" s="327"/>
      <c r="I57" s="327"/>
    </row>
    <row r="58" spans="2:9" ht="15.75" x14ac:dyDescent="0.25">
      <c r="B58" s="328" t="s">
        <v>770</v>
      </c>
      <c r="C58" s="326"/>
      <c r="D58" s="326"/>
      <c r="E58" s="326"/>
      <c r="F58" s="326"/>
      <c r="G58" s="327"/>
      <c r="H58" s="327"/>
      <c r="I58" s="327"/>
    </row>
    <row r="59" spans="2:9" ht="15.75" x14ac:dyDescent="0.25">
      <c r="B59" s="326"/>
      <c r="C59" s="326"/>
      <c r="D59" s="326"/>
      <c r="E59" s="326"/>
      <c r="F59" s="326"/>
      <c r="G59" s="327"/>
      <c r="H59" s="327"/>
      <c r="I59" s="327"/>
    </row>
    <row r="60" spans="2:9" ht="15.75" x14ac:dyDescent="0.25">
      <c r="B60" s="326" t="s">
        <v>771</v>
      </c>
      <c r="C60" s="326"/>
      <c r="D60" s="326"/>
      <c r="E60" s="326"/>
      <c r="F60" s="326"/>
      <c r="G60" s="327"/>
      <c r="H60" s="327"/>
      <c r="I60" s="327"/>
    </row>
    <row r="61" spans="2:9" ht="15.75" x14ac:dyDescent="0.25">
      <c r="B61" s="326" t="s">
        <v>772</v>
      </c>
      <c r="C61" s="326"/>
      <c r="D61" s="326"/>
      <c r="E61" s="326"/>
      <c r="F61" s="326"/>
      <c r="G61" s="327"/>
      <c r="H61" s="327"/>
      <c r="I61" s="327"/>
    </row>
    <row r="62" spans="2:9" ht="15.75" x14ac:dyDescent="0.25">
      <c r="B62" s="326" t="s">
        <v>773</v>
      </c>
      <c r="C62" s="326"/>
      <c r="D62" s="326"/>
      <c r="E62" s="326"/>
      <c r="F62" s="326"/>
      <c r="G62" s="327"/>
      <c r="H62" s="327"/>
      <c r="I62" s="327"/>
    </row>
    <row r="63" spans="2:9" ht="15.75" x14ac:dyDescent="0.25">
      <c r="B63" s="326" t="s">
        <v>774</v>
      </c>
      <c r="C63" s="326"/>
      <c r="D63" s="326"/>
      <c r="E63" s="326"/>
      <c r="F63" s="326"/>
      <c r="G63" s="327"/>
      <c r="H63" s="327"/>
      <c r="I63" s="327"/>
    </row>
    <row r="64" spans="2:9" x14ac:dyDescent="0.2">
      <c r="B64" s="329"/>
      <c r="C64" s="329"/>
      <c r="D64" s="329"/>
      <c r="E64" s="329"/>
      <c r="F64" s="329"/>
      <c r="G64" s="327"/>
      <c r="H64" s="327"/>
      <c r="I64" s="327"/>
    </row>
    <row r="65" spans="2:9" ht="15.75" x14ac:dyDescent="0.25">
      <c r="B65" s="326" t="s">
        <v>775</v>
      </c>
      <c r="C65" s="329"/>
      <c r="D65" s="329"/>
      <c r="E65" s="329"/>
      <c r="F65" s="329"/>
      <c r="G65" s="327"/>
      <c r="H65" s="327"/>
      <c r="I65" s="327"/>
    </row>
    <row r="66" spans="2:9" ht="15.75" x14ac:dyDescent="0.25">
      <c r="B66" s="326" t="s">
        <v>776</v>
      </c>
      <c r="C66" s="329"/>
      <c r="D66" s="329"/>
      <c r="E66" s="329"/>
      <c r="F66" s="329"/>
      <c r="G66" s="327"/>
      <c r="H66" s="327"/>
      <c r="I66" s="327"/>
    </row>
    <row r="67" spans="2:9" x14ac:dyDescent="0.2">
      <c r="B67" s="329"/>
      <c r="C67" s="329"/>
      <c r="D67" s="329"/>
      <c r="E67" s="329"/>
      <c r="F67" s="329"/>
      <c r="G67" s="327"/>
      <c r="H67" s="327"/>
      <c r="I67" s="327"/>
    </row>
    <row r="68" spans="2:9" ht="15.75" x14ac:dyDescent="0.25">
      <c r="B68" s="326" t="s">
        <v>777</v>
      </c>
      <c r="C68" s="329"/>
      <c r="D68" s="329"/>
      <c r="E68" s="329"/>
      <c r="F68" s="329"/>
      <c r="G68" s="327"/>
      <c r="H68" s="327"/>
      <c r="I68" s="327"/>
    </row>
    <row r="69" spans="2:9" ht="15.75" x14ac:dyDescent="0.25">
      <c r="B69" s="326" t="s">
        <v>778</v>
      </c>
      <c r="C69" s="329"/>
      <c r="D69" s="329"/>
      <c r="E69" s="329"/>
      <c r="F69" s="329"/>
      <c r="G69" s="327"/>
      <c r="H69" s="327"/>
      <c r="I69" s="327"/>
    </row>
    <row r="70" spans="2:9" x14ac:dyDescent="0.2">
      <c r="B70" s="329"/>
      <c r="C70" s="329"/>
      <c r="D70" s="329"/>
      <c r="E70" s="329"/>
      <c r="F70" s="329"/>
      <c r="G70" s="327"/>
      <c r="H70" s="327"/>
      <c r="I70" s="327"/>
    </row>
    <row r="71" spans="2:9" ht="15.75" x14ac:dyDescent="0.25">
      <c r="B71" s="328" t="s">
        <v>779</v>
      </c>
      <c r="C71" s="329"/>
      <c r="D71" s="329"/>
      <c r="E71" s="329"/>
      <c r="F71" s="329"/>
      <c r="G71" s="327"/>
      <c r="H71" s="327"/>
      <c r="I71" s="327"/>
    </row>
    <row r="72" spans="2:9" x14ac:dyDescent="0.2">
      <c r="B72" s="329"/>
      <c r="C72" s="329"/>
      <c r="D72" s="329"/>
      <c r="E72" s="329"/>
      <c r="F72" s="329"/>
      <c r="G72" s="327"/>
      <c r="H72" s="327"/>
      <c r="I72" s="327"/>
    </row>
    <row r="73" spans="2:9" ht="15.75" x14ac:dyDescent="0.25">
      <c r="B73" s="326" t="s">
        <v>780</v>
      </c>
      <c r="C73" s="329"/>
      <c r="D73" s="329"/>
      <c r="E73" s="329"/>
      <c r="F73" s="329"/>
      <c r="G73" s="327"/>
      <c r="H73" s="327"/>
      <c r="I73" s="327"/>
    </row>
    <row r="74" spans="2:9" ht="15.75" x14ac:dyDescent="0.25">
      <c r="B74" s="326" t="s">
        <v>781</v>
      </c>
      <c r="C74" s="329"/>
      <c r="D74" s="329"/>
      <c r="E74" s="329"/>
      <c r="F74" s="329"/>
      <c r="G74" s="327"/>
      <c r="H74" s="327"/>
      <c r="I74" s="327"/>
    </row>
    <row r="75" spans="2:9" x14ac:dyDescent="0.2">
      <c r="B75" s="329"/>
      <c r="C75" s="329"/>
      <c r="D75" s="329"/>
      <c r="E75" s="329"/>
      <c r="F75" s="329"/>
      <c r="G75" s="327"/>
      <c r="H75" s="327"/>
      <c r="I75" s="327"/>
    </row>
    <row r="76" spans="2:9" ht="15.75" x14ac:dyDescent="0.25">
      <c r="B76" s="328" t="s">
        <v>782</v>
      </c>
      <c r="C76" s="329"/>
      <c r="D76" s="329"/>
      <c r="E76" s="329"/>
      <c r="F76" s="329"/>
      <c r="G76" s="327"/>
      <c r="H76" s="327"/>
      <c r="I76" s="327"/>
    </row>
    <row r="77" spans="2:9" x14ac:dyDescent="0.2">
      <c r="B77" s="329"/>
      <c r="C77" s="329"/>
      <c r="D77" s="329"/>
      <c r="E77" s="329"/>
      <c r="F77" s="329"/>
      <c r="G77" s="327"/>
      <c r="H77" s="327"/>
      <c r="I77" s="327"/>
    </row>
    <row r="78" spans="2:9" ht="15.75" x14ac:dyDescent="0.25">
      <c r="B78" s="326" t="str">
        <f>CONCATENATE("If the ",G14," municipal budget has not been published and has not been submitted to the County")</f>
        <v>If the 2020 municipal budget has not been published and has not been submitted to the County</v>
      </c>
      <c r="C78" s="329"/>
      <c r="D78" s="329"/>
      <c r="E78" s="329"/>
      <c r="F78" s="329"/>
      <c r="G78" s="327"/>
      <c r="H78" s="327"/>
      <c r="I78" s="327"/>
    </row>
    <row r="79" spans="2:9" ht="15.75" x14ac:dyDescent="0.25">
      <c r="B79" s="326" t="s">
        <v>783</v>
      </c>
      <c r="C79" s="329"/>
      <c r="D79" s="329"/>
      <c r="E79" s="329"/>
      <c r="F79" s="329"/>
      <c r="G79" s="327"/>
      <c r="H79" s="327"/>
      <c r="I79" s="327"/>
    </row>
    <row r="80" spans="2:9" x14ac:dyDescent="0.2">
      <c r="B80" s="329"/>
      <c r="C80" s="329"/>
      <c r="D80" s="329"/>
      <c r="E80" s="329"/>
      <c r="F80" s="329"/>
      <c r="G80" s="327"/>
      <c r="H80" s="327"/>
      <c r="I80" s="327"/>
    </row>
    <row r="81" spans="2:9" ht="15.75" x14ac:dyDescent="0.25">
      <c r="B81" s="328" t="s">
        <v>350</v>
      </c>
      <c r="C81" s="329"/>
      <c r="D81" s="329"/>
      <c r="E81" s="329"/>
      <c r="F81" s="329"/>
      <c r="G81" s="327"/>
      <c r="H81" s="327"/>
      <c r="I81" s="327"/>
    </row>
    <row r="82" spans="2:9" x14ac:dyDescent="0.2">
      <c r="B82" s="329"/>
      <c r="C82" s="329"/>
      <c r="D82" s="329"/>
      <c r="E82" s="329"/>
      <c r="F82" s="329"/>
      <c r="G82" s="327"/>
      <c r="H82" s="327"/>
      <c r="I82" s="327"/>
    </row>
    <row r="83" spans="2:9" ht="15.75" x14ac:dyDescent="0.25">
      <c r="B83" s="326" t="s">
        <v>784</v>
      </c>
      <c r="C83" s="329"/>
      <c r="D83" s="329"/>
      <c r="E83" s="329"/>
      <c r="F83" s="329"/>
      <c r="G83" s="327"/>
      <c r="H83" s="327"/>
      <c r="I83" s="327"/>
    </row>
    <row r="84" spans="2:9" ht="15.75" x14ac:dyDescent="0.25">
      <c r="B84" s="326" t="str">
        <f>CONCATENATE("Budget Year ",G14," is equal to or greater than that for Current Year Estimate ",E14,".")</f>
        <v>Budget Year 2020 is equal to or greater than that for Current Year Estimate 2019.</v>
      </c>
      <c r="C84" s="329"/>
      <c r="D84" s="329"/>
      <c r="E84" s="329"/>
      <c r="F84" s="329"/>
      <c r="G84" s="327"/>
      <c r="H84" s="327"/>
      <c r="I84" s="327"/>
    </row>
    <row r="85" spans="2:9" x14ac:dyDescent="0.2">
      <c r="B85" s="329"/>
      <c r="C85" s="329"/>
      <c r="D85" s="329"/>
      <c r="E85" s="329"/>
      <c r="F85" s="329"/>
      <c r="G85" s="327"/>
      <c r="H85" s="327"/>
      <c r="I85" s="327"/>
    </row>
    <row r="86" spans="2:9" ht="15.75" x14ac:dyDescent="0.25">
      <c r="B86" s="326" t="s">
        <v>785</v>
      </c>
      <c r="C86" s="329"/>
      <c r="D86" s="329"/>
      <c r="E86" s="329"/>
      <c r="F86" s="329"/>
      <c r="G86" s="327"/>
      <c r="H86" s="327"/>
      <c r="I86" s="327"/>
    </row>
    <row r="87" spans="2:9" ht="15.75" x14ac:dyDescent="0.25">
      <c r="B87" s="326" t="s">
        <v>786</v>
      </c>
      <c r="C87" s="329"/>
      <c r="D87" s="329"/>
      <c r="E87" s="329"/>
      <c r="F87" s="329"/>
      <c r="G87" s="327"/>
      <c r="H87" s="327"/>
      <c r="I87" s="327"/>
    </row>
    <row r="88" spans="2:9" ht="15.75" x14ac:dyDescent="0.25">
      <c r="B88" s="326" t="s">
        <v>787</v>
      </c>
      <c r="C88" s="329"/>
      <c r="D88" s="329"/>
      <c r="E88" s="329"/>
      <c r="F88" s="329"/>
      <c r="G88" s="327"/>
      <c r="H88" s="327"/>
      <c r="I88" s="327"/>
    </row>
    <row r="89" spans="2:9" ht="15.75" x14ac:dyDescent="0.25">
      <c r="B89" s="326" t="str">
        <f>CONCATENATE("purpose for the previous (",E14,") year.")</f>
        <v>purpose for the previous (2019) year.</v>
      </c>
      <c r="C89" s="329"/>
      <c r="D89" s="329"/>
      <c r="E89" s="329"/>
      <c r="F89" s="329"/>
      <c r="G89" s="327"/>
      <c r="H89" s="327"/>
      <c r="I89" s="327"/>
    </row>
    <row r="90" spans="2:9" x14ac:dyDescent="0.2">
      <c r="B90" s="329"/>
      <c r="C90" s="329"/>
      <c r="D90" s="329"/>
      <c r="E90" s="329"/>
      <c r="F90" s="329"/>
      <c r="G90" s="327"/>
      <c r="H90" s="327"/>
      <c r="I90" s="327"/>
    </row>
    <row r="91" spans="2:9" ht="15.75" x14ac:dyDescent="0.25">
      <c r="B91" s="326" t="str">
        <f>CONCATENATE("Next, look to see if delinquent tax for ",G14," is budgeted. Often this line is budgeted at $0 or left")</f>
        <v>Next, look to see if delinquent tax for 2020 is budgeted. Often this line is budgeted at $0 or left</v>
      </c>
      <c r="C91" s="329"/>
      <c r="D91" s="329"/>
      <c r="E91" s="329"/>
      <c r="F91" s="329"/>
      <c r="G91" s="327"/>
      <c r="H91" s="327"/>
      <c r="I91" s="327"/>
    </row>
    <row r="92" spans="2:9" ht="15.75" x14ac:dyDescent="0.25">
      <c r="B92" s="326" t="s">
        <v>788</v>
      </c>
      <c r="C92" s="329"/>
      <c r="D92" s="329"/>
      <c r="E92" s="329"/>
      <c r="F92" s="329"/>
      <c r="G92" s="327"/>
      <c r="H92" s="327"/>
      <c r="I92" s="327"/>
    </row>
    <row r="93" spans="2:9" ht="15.75" x14ac:dyDescent="0.25">
      <c r="B93" s="326" t="s">
        <v>789</v>
      </c>
      <c r="C93" s="329"/>
      <c r="D93" s="329"/>
      <c r="E93" s="329"/>
      <c r="F93" s="329"/>
      <c r="G93" s="327"/>
      <c r="H93" s="327"/>
      <c r="I93" s="327"/>
    </row>
    <row r="94" spans="2:9" ht="15.75" x14ac:dyDescent="0.25">
      <c r="B94" s="326" t="s">
        <v>790</v>
      </c>
      <c r="C94" s="329"/>
      <c r="D94" s="329"/>
      <c r="E94" s="329"/>
      <c r="F94" s="329"/>
      <c r="G94" s="327"/>
      <c r="H94" s="327"/>
      <c r="I94" s="327"/>
    </row>
    <row r="95" spans="2:9" x14ac:dyDescent="0.2">
      <c r="B95" s="329"/>
      <c r="C95" s="329"/>
      <c r="D95" s="329"/>
      <c r="E95" s="329"/>
      <c r="F95" s="329"/>
      <c r="G95" s="327"/>
      <c r="H95" s="327"/>
      <c r="I95" s="327"/>
    </row>
    <row r="96" spans="2:9" ht="15.75" x14ac:dyDescent="0.25">
      <c r="B96" s="328" t="s">
        <v>791</v>
      </c>
      <c r="C96" s="329"/>
      <c r="D96" s="329"/>
      <c r="E96" s="329"/>
      <c r="F96" s="329"/>
      <c r="G96" s="327"/>
      <c r="H96" s="327"/>
      <c r="I96" s="327"/>
    </row>
    <row r="97" spans="2:9" x14ac:dyDescent="0.2">
      <c r="B97" s="329"/>
      <c r="C97" s="329"/>
      <c r="D97" s="329"/>
      <c r="E97" s="329"/>
      <c r="F97" s="329"/>
      <c r="G97" s="327"/>
      <c r="H97" s="327"/>
      <c r="I97" s="327"/>
    </row>
    <row r="98" spans="2:9" ht="15.75" x14ac:dyDescent="0.25">
      <c r="B98" s="326" t="s">
        <v>792</v>
      </c>
      <c r="C98" s="329"/>
      <c r="D98" s="329"/>
      <c r="E98" s="329"/>
      <c r="F98" s="329"/>
      <c r="G98" s="327"/>
      <c r="H98" s="327"/>
      <c r="I98" s="327"/>
    </row>
    <row r="99" spans="2:9" ht="15.75" x14ac:dyDescent="0.25">
      <c r="B99" s="326" t="s">
        <v>793</v>
      </c>
      <c r="C99" s="329"/>
      <c r="D99" s="329"/>
      <c r="E99" s="329"/>
      <c r="F99" s="329"/>
      <c r="G99" s="327"/>
      <c r="H99" s="327"/>
      <c r="I99" s="327"/>
    </row>
    <row r="100" spans="2:9" x14ac:dyDescent="0.2">
      <c r="B100" s="329"/>
      <c r="C100" s="329"/>
      <c r="D100" s="329"/>
      <c r="E100" s="329"/>
      <c r="F100" s="329"/>
      <c r="G100" s="327"/>
      <c r="H100" s="327"/>
      <c r="I100" s="327"/>
    </row>
    <row r="101" spans="2:9" ht="15.75" x14ac:dyDescent="0.25">
      <c r="B101" s="326" t="s">
        <v>794</v>
      </c>
      <c r="C101" s="329"/>
      <c r="D101" s="329"/>
      <c r="E101" s="329"/>
      <c r="F101" s="329"/>
      <c r="G101" s="327"/>
      <c r="H101" s="327"/>
      <c r="I101" s="327"/>
    </row>
    <row r="102" spans="2:9" ht="15.75" x14ac:dyDescent="0.25">
      <c r="B102" s="326" t="s">
        <v>795</v>
      </c>
      <c r="C102" s="329"/>
      <c r="D102" s="329"/>
      <c r="E102" s="329"/>
      <c r="F102" s="329"/>
      <c r="G102" s="327"/>
      <c r="H102" s="327"/>
      <c r="I102" s="327"/>
    </row>
    <row r="103" spans="2:9" ht="15.75" x14ac:dyDescent="0.25">
      <c r="B103" s="326" t="s">
        <v>796</v>
      </c>
      <c r="C103" s="329"/>
      <c r="D103" s="329"/>
      <c r="E103" s="329"/>
      <c r="F103" s="329"/>
      <c r="G103" s="327"/>
      <c r="H103" s="327"/>
      <c r="I103" s="327"/>
    </row>
    <row r="104" spans="2:9" ht="15.75" x14ac:dyDescent="0.25">
      <c r="B104" s="326" t="s">
        <v>797</v>
      </c>
      <c r="C104" s="329"/>
      <c r="D104" s="329"/>
      <c r="E104" s="329"/>
      <c r="F104" s="329"/>
      <c r="G104" s="327"/>
      <c r="H104" s="327"/>
      <c r="I104" s="327"/>
    </row>
    <row r="105" spans="2:9" x14ac:dyDescent="0.2">
      <c r="B105" s="389" t="s">
        <v>980</v>
      </c>
      <c r="C105" s="388"/>
      <c r="D105" s="388"/>
      <c r="E105" s="388"/>
      <c r="F105" s="388"/>
      <c r="G105" s="387"/>
      <c r="H105" s="387"/>
      <c r="I105" s="387"/>
    </row>
    <row r="108" spans="2:9" x14ac:dyDescent="0.2">
      <c r="G108" s="335"/>
    </row>
  </sheetData>
  <sheetProtection sheet="1"/>
  <mergeCells count="6">
    <mergeCell ref="B43:I43"/>
    <mergeCell ref="B2:I2"/>
    <mergeCell ref="B3:I3"/>
    <mergeCell ref="B5:I5"/>
    <mergeCell ref="B10:I10"/>
    <mergeCell ref="B36:I36"/>
  </mergeCells>
  <hyperlinks>
    <hyperlink ref="B105" r:id="rId1" xr:uid="{00000000-0004-0000-0E00-000000000000}"/>
  </hyperlinks>
  <pageMargins left="0.7" right="0.7" top="0.75" bottom="0.75" header="0.25" footer="0.25"/>
  <pageSetup scale="80" orientation="portrait" blackAndWhite="1" r:id="rId2"/>
  <rowBreaks count="1" manualBreakCount="1">
    <brk id="40"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B1:K91"/>
  <sheetViews>
    <sheetView topLeftCell="A45" zoomScale="160" zoomScaleNormal="160" workbookViewId="0">
      <selection activeCell="D36" sqref="D36"/>
    </sheetView>
  </sheetViews>
  <sheetFormatPr defaultColWidth="8.88671875" defaultRowHeight="15.75" x14ac:dyDescent="0.2"/>
  <cols>
    <col min="1" max="1" width="2.44140625" style="624" customWidth="1"/>
    <col min="2" max="2" width="31.6640625" style="624" customWidth="1"/>
    <col min="3" max="4" width="15.77734375" style="624" customWidth="1"/>
    <col min="5" max="5" width="16.21875" style="624" customWidth="1"/>
    <col min="6" max="6" width="6.88671875" style="624" customWidth="1"/>
    <col min="7" max="7" width="10.21875" style="624" customWidth="1"/>
    <col min="8" max="8" width="8.88671875" style="624"/>
    <col min="9" max="9" width="5" style="624" customWidth="1"/>
    <col min="10" max="10" width="10" style="624" customWidth="1"/>
    <col min="11" max="16384" width="8.88671875" style="624"/>
  </cols>
  <sheetData>
    <row r="1" spans="2:5" x14ac:dyDescent="0.2">
      <c r="B1" s="626" t="str">
        <f>inputPrYr!D3</f>
        <v>UNIFIED GREELEY COUNTY - MUNICIPAL SERVICE DISTRICT</v>
      </c>
      <c r="C1" s="540"/>
      <c r="D1" s="540"/>
      <c r="E1" s="693">
        <f>inputPrYr!C6</f>
        <v>2020</v>
      </c>
    </row>
    <row r="2" spans="2:5" x14ac:dyDescent="0.2">
      <c r="B2" s="540"/>
      <c r="C2" s="540"/>
      <c r="D2" s="540"/>
      <c r="E2" s="606"/>
    </row>
    <row r="3" spans="2:5" x14ac:dyDescent="0.2">
      <c r="B3" s="703"/>
      <c r="C3" s="540"/>
      <c r="D3" s="540"/>
      <c r="E3" s="543"/>
    </row>
    <row r="4" spans="2:5" x14ac:dyDescent="0.2">
      <c r="B4" s="703" t="s">
        <v>86</v>
      </c>
      <c r="C4" s="704"/>
      <c r="D4" s="704"/>
      <c r="E4" s="704"/>
    </row>
    <row r="5" spans="2:5" x14ac:dyDescent="0.2">
      <c r="B5" s="609" t="s">
        <v>23</v>
      </c>
      <c r="C5" s="705" t="s">
        <v>740</v>
      </c>
      <c r="D5" s="706" t="s">
        <v>743</v>
      </c>
      <c r="E5" s="551" t="s">
        <v>744</v>
      </c>
    </row>
    <row r="6" spans="2:5" x14ac:dyDescent="0.2">
      <c r="B6" s="707" t="str">
        <f>inputPrYr!B22</f>
        <v>General</v>
      </c>
      <c r="C6" s="708" t="str">
        <f>CONCATENATE("Actual for ",E1-2,"")</f>
        <v>Actual for 2018</v>
      </c>
      <c r="D6" s="708" t="str">
        <f>CONCATENATE("Estimate for ",E1-1,"")</f>
        <v>Estimate for 2019</v>
      </c>
      <c r="E6" s="709" t="str">
        <f>CONCATENATE("Year for ",E1,"")</f>
        <v>Year for 2020</v>
      </c>
    </row>
    <row r="7" spans="2:5" x14ac:dyDescent="0.2">
      <c r="B7" s="710" t="s">
        <v>125</v>
      </c>
      <c r="C7" s="711">
        <v>392794</v>
      </c>
      <c r="D7" s="712">
        <f>C53</f>
        <v>420412</v>
      </c>
      <c r="E7" s="671">
        <f>D53</f>
        <v>365687</v>
      </c>
    </row>
    <row r="8" spans="2:5" x14ac:dyDescent="0.2">
      <c r="B8" s="713" t="s">
        <v>127</v>
      </c>
      <c r="C8" s="575"/>
      <c r="D8" s="575"/>
      <c r="E8" s="574"/>
    </row>
    <row r="9" spans="2:5" x14ac:dyDescent="0.2">
      <c r="B9" s="710" t="s">
        <v>24</v>
      </c>
      <c r="C9" s="711">
        <v>269958</v>
      </c>
      <c r="D9" s="712">
        <f>IF(inputPrYr!H21&gt;0,inputPrYr!G22,inputPrYr!E22)</f>
        <v>294511</v>
      </c>
      <c r="E9" s="579" t="s">
        <v>13</v>
      </c>
    </row>
    <row r="10" spans="2:5" x14ac:dyDescent="0.2">
      <c r="B10" s="710" t="s">
        <v>25</v>
      </c>
      <c r="C10" s="711">
        <v>2068</v>
      </c>
      <c r="D10" s="711">
        <v>5838</v>
      </c>
      <c r="E10" s="714"/>
    </row>
    <row r="11" spans="2:5" x14ac:dyDescent="0.2">
      <c r="B11" s="710" t="s">
        <v>26</v>
      </c>
      <c r="C11" s="711">
        <v>59501</v>
      </c>
      <c r="D11" s="711">
        <v>50903</v>
      </c>
      <c r="E11" s="671">
        <f>MVALLOC!D7</f>
        <v>49254</v>
      </c>
    </row>
    <row r="12" spans="2:5" x14ac:dyDescent="0.2">
      <c r="B12" s="710" t="s">
        <v>27</v>
      </c>
      <c r="C12" s="711">
        <v>449</v>
      </c>
      <c r="D12" s="711">
        <v>463</v>
      </c>
      <c r="E12" s="671">
        <f>MVALLOC!E7</f>
        <v>478</v>
      </c>
    </row>
    <row r="13" spans="2:5" x14ac:dyDescent="0.2">
      <c r="B13" s="710" t="s">
        <v>117</v>
      </c>
      <c r="C13" s="711">
        <v>382</v>
      </c>
      <c r="D13" s="711">
        <v>387</v>
      </c>
      <c r="E13" s="671">
        <f>MVALLOC!F7</f>
        <v>447</v>
      </c>
    </row>
    <row r="14" spans="2:5" x14ac:dyDescent="0.2">
      <c r="B14" s="715" t="s">
        <v>959</v>
      </c>
      <c r="C14" s="711">
        <v>1465</v>
      </c>
      <c r="D14" s="711">
        <v>558</v>
      </c>
      <c r="E14" s="671">
        <f>MVALLOC!G7</f>
        <v>1404</v>
      </c>
    </row>
    <row r="15" spans="2:5" x14ac:dyDescent="0.2">
      <c r="B15" s="715" t="s">
        <v>960</v>
      </c>
      <c r="C15" s="711">
        <v>119</v>
      </c>
      <c r="D15" s="711">
        <v>90</v>
      </c>
      <c r="E15" s="671">
        <f>MVALLOC!H7</f>
        <v>81</v>
      </c>
    </row>
    <row r="16" spans="2:5" x14ac:dyDescent="0.2">
      <c r="B16" s="710" t="s">
        <v>1073</v>
      </c>
      <c r="C16" s="711">
        <v>216</v>
      </c>
      <c r="D16" s="711">
        <v>250</v>
      </c>
      <c r="E16" s="671">
        <f>inputOth!E17</f>
        <v>0</v>
      </c>
    </row>
    <row r="17" spans="2:5" x14ac:dyDescent="0.2">
      <c r="B17" s="716" t="s">
        <v>28</v>
      </c>
      <c r="C17" s="711">
        <v>2450</v>
      </c>
      <c r="D17" s="711">
        <v>1275</v>
      </c>
      <c r="E17" s="717"/>
    </row>
    <row r="18" spans="2:5" x14ac:dyDescent="0.2">
      <c r="B18" s="716" t="s">
        <v>691</v>
      </c>
      <c r="C18" s="711">
        <v>68877</v>
      </c>
      <c r="D18" s="711">
        <v>65000</v>
      </c>
      <c r="E18" s="717">
        <v>68000</v>
      </c>
    </row>
    <row r="19" spans="2:5" x14ac:dyDescent="0.2">
      <c r="B19" s="718" t="s">
        <v>692</v>
      </c>
      <c r="C19" s="711">
        <v>37303</v>
      </c>
      <c r="D19" s="711">
        <v>39000</v>
      </c>
      <c r="E19" s="717">
        <v>40000</v>
      </c>
    </row>
    <row r="20" spans="2:5" x14ac:dyDescent="0.2">
      <c r="B20" s="719" t="s">
        <v>1074</v>
      </c>
      <c r="C20" s="711">
        <v>1863</v>
      </c>
      <c r="D20" s="711">
        <v>2500</v>
      </c>
      <c r="E20" s="717">
        <v>3000</v>
      </c>
    </row>
    <row r="21" spans="2:5" x14ac:dyDescent="0.2">
      <c r="B21" s="719" t="s">
        <v>1075</v>
      </c>
      <c r="C21" s="711">
        <v>814</v>
      </c>
      <c r="D21" s="711">
        <v>2000</v>
      </c>
      <c r="E21" s="717">
        <v>2500</v>
      </c>
    </row>
    <row r="22" spans="2:5" x14ac:dyDescent="0.2">
      <c r="B22" s="719" t="s">
        <v>1076</v>
      </c>
      <c r="C22" s="711">
        <v>17907</v>
      </c>
      <c r="D22" s="711">
        <v>20000</v>
      </c>
      <c r="E22" s="717">
        <v>20000</v>
      </c>
    </row>
    <row r="23" spans="2:5" x14ac:dyDescent="0.2">
      <c r="B23" s="716" t="s">
        <v>1077</v>
      </c>
      <c r="C23" s="711">
        <v>11884</v>
      </c>
      <c r="D23" s="711">
        <v>7000</v>
      </c>
      <c r="E23" s="717">
        <v>7000</v>
      </c>
    </row>
    <row r="24" spans="2:5" x14ac:dyDescent="0.2">
      <c r="B24" s="716" t="s">
        <v>29</v>
      </c>
      <c r="C24" s="711">
        <v>15494</v>
      </c>
      <c r="D24" s="711">
        <v>20000</v>
      </c>
      <c r="E24" s="717">
        <v>23000</v>
      </c>
    </row>
    <row r="25" spans="2:5" x14ac:dyDescent="0.2">
      <c r="B25" s="721" t="s">
        <v>227</v>
      </c>
      <c r="C25" s="711"/>
      <c r="D25" s="711"/>
      <c r="E25" s="722">
        <f>nhood!E6*-1</f>
        <v>0</v>
      </c>
    </row>
    <row r="26" spans="2:5" x14ac:dyDescent="0.2">
      <c r="B26" s="575" t="s">
        <v>226</v>
      </c>
      <c r="C26" s="711">
        <v>2586</v>
      </c>
      <c r="D26" s="717"/>
      <c r="E26" s="723"/>
    </row>
    <row r="27" spans="2:5" x14ac:dyDescent="0.2">
      <c r="B27" s="710" t="s">
        <v>728</v>
      </c>
      <c r="C27" s="724" t="str">
        <f>IF(C28*0.1&lt;C26,"Exceed 10% Rule","")</f>
        <v/>
      </c>
      <c r="D27" s="725" t="str">
        <f>IF(D28*0.1&lt;D26,"Exceed 10% Rule","")</f>
        <v/>
      </c>
      <c r="E27" s="726" t="str">
        <f>IF(E28*0.1+E59&lt;E26,"Exceed 10% Rule","")</f>
        <v/>
      </c>
    </row>
    <row r="28" spans="2:5" x14ac:dyDescent="0.2">
      <c r="B28" s="727" t="s">
        <v>30</v>
      </c>
      <c r="C28" s="728">
        <f>SUM(C9:C26)</f>
        <v>493336</v>
      </c>
      <c r="D28" s="728">
        <f>SUM(D9:D26)</f>
        <v>509775</v>
      </c>
      <c r="E28" s="729">
        <f>SUM(E10:E26)</f>
        <v>215164</v>
      </c>
    </row>
    <row r="29" spans="2:5" x14ac:dyDescent="0.2">
      <c r="B29" s="727" t="s">
        <v>31</v>
      </c>
      <c r="C29" s="728">
        <f>C7+C28</f>
        <v>886130</v>
      </c>
      <c r="D29" s="728">
        <f>D7+D28</f>
        <v>930187</v>
      </c>
      <c r="E29" s="729">
        <f>E7+E28</f>
        <v>580851</v>
      </c>
    </row>
    <row r="30" spans="2:5" x14ac:dyDescent="0.2">
      <c r="B30" s="710" t="s">
        <v>33</v>
      </c>
      <c r="C30" s="575"/>
      <c r="D30" s="575"/>
      <c r="E30" s="574"/>
    </row>
    <row r="31" spans="2:5" x14ac:dyDescent="0.2">
      <c r="B31" s="905" t="s">
        <v>1078</v>
      </c>
      <c r="C31" s="711"/>
      <c r="D31" s="711"/>
      <c r="E31" s="717"/>
    </row>
    <row r="32" spans="2:5" x14ac:dyDescent="0.2">
      <c r="B32" s="906" t="s">
        <v>1079</v>
      </c>
      <c r="C32" s="711">
        <v>67026</v>
      </c>
      <c r="D32" s="711">
        <v>71000</v>
      </c>
      <c r="E32" s="717">
        <v>73000</v>
      </c>
    </row>
    <row r="33" spans="2:10" x14ac:dyDescent="0.2">
      <c r="B33" s="906" t="s">
        <v>1080</v>
      </c>
      <c r="C33" s="711">
        <v>24993</v>
      </c>
      <c r="D33" s="711">
        <v>24000</v>
      </c>
      <c r="E33" s="717">
        <v>26000</v>
      </c>
    </row>
    <row r="34" spans="2:10" x14ac:dyDescent="0.25">
      <c r="B34" s="907" t="s">
        <v>1081</v>
      </c>
      <c r="C34" s="711">
        <v>6258</v>
      </c>
      <c r="D34" s="711">
        <v>8000</v>
      </c>
      <c r="E34" s="717">
        <v>10000</v>
      </c>
    </row>
    <row r="35" spans="2:10" x14ac:dyDescent="0.25">
      <c r="B35" s="907" t="s">
        <v>1082</v>
      </c>
      <c r="C35" s="711"/>
      <c r="D35" s="711">
        <v>10000</v>
      </c>
      <c r="E35" s="717"/>
    </row>
    <row r="36" spans="2:10" x14ac:dyDescent="0.2">
      <c r="B36" s="905" t="s">
        <v>1083</v>
      </c>
      <c r="C36" s="711"/>
      <c r="D36" s="711"/>
      <c r="E36" s="717"/>
    </row>
    <row r="37" spans="2:10" x14ac:dyDescent="0.2">
      <c r="B37" s="906" t="s">
        <v>1079</v>
      </c>
      <c r="C37" s="711">
        <v>67798</v>
      </c>
      <c r="D37" s="711">
        <v>71000</v>
      </c>
      <c r="E37" s="717">
        <v>74000</v>
      </c>
    </row>
    <row r="38" spans="2:10" x14ac:dyDescent="0.2">
      <c r="B38" s="906" t="s">
        <v>1080</v>
      </c>
      <c r="C38" s="711">
        <v>19125</v>
      </c>
      <c r="D38" s="711">
        <v>27000</v>
      </c>
      <c r="E38" s="717">
        <v>34000</v>
      </c>
    </row>
    <row r="39" spans="2:10" x14ac:dyDescent="0.25">
      <c r="B39" s="907" t="s">
        <v>1081</v>
      </c>
      <c r="C39" s="711">
        <v>28621</v>
      </c>
      <c r="D39" s="711">
        <v>100000</v>
      </c>
      <c r="E39" s="717">
        <v>371100</v>
      </c>
    </row>
    <row r="40" spans="2:10" x14ac:dyDescent="0.25">
      <c r="B40" s="907" t="s">
        <v>1082</v>
      </c>
      <c r="C40" s="711">
        <v>27425</v>
      </c>
      <c r="D40" s="711">
        <v>5000</v>
      </c>
      <c r="E40" s="717">
        <v>15000</v>
      </c>
    </row>
    <row r="41" spans="2:10" x14ac:dyDescent="0.25">
      <c r="B41" s="908" t="s">
        <v>1084</v>
      </c>
      <c r="C41" s="711">
        <v>68722</v>
      </c>
      <c r="D41" s="711">
        <v>73000</v>
      </c>
      <c r="E41" s="717">
        <v>75000</v>
      </c>
      <c r="G41" s="1080" t="str">
        <f>CONCATENATE("Desired Carryover Into ",E1+1,"")</f>
        <v>Desired Carryover Into 2021</v>
      </c>
      <c r="H41" s="1081"/>
      <c r="I41" s="1081"/>
      <c r="J41" s="1082"/>
    </row>
    <row r="42" spans="2:10" x14ac:dyDescent="0.25">
      <c r="B42" s="909" t="s">
        <v>1085</v>
      </c>
      <c r="C42" s="711">
        <v>36444</v>
      </c>
      <c r="D42" s="711">
        <v>36500</v>
      </c>
      <c r="E42" s="717">
        <v>37000</v>
      </c>
      <c r="G42" s="733"/>
      <c r="H42" s="734"/>
      <c r="I42" s="734"/>
      <c r="J42" s="735"/>
    </row>
    <row r="43" spans="2:10" x14ac:dyDescent="0.25">
      <c r="B43" s="909" t="s">
        <v>1086</v>
      </c>
      <c r="C43" s="711">
        <v>28614</v>
      </c>
      <c r="D43" s="711">
        <v>31000</v>
      </c>
      <c r="E43" s="717">
        <v>32000</v>
      </c>
      <c r="G43" s="736" t="s">
        <v>577</v>
      </c>
      <c r="H43" s="737"/>
      <c r="I43" s="737"/>
      <c r="J43" s="738">
        <v>0</v>
      </c>
    </row>
    <row r="44" spans="2:10" x14ac:dyDescent="0.25">
      <c r="B44" s="909" t="s">
        <v>1087</v>
      </c>
      <c r="C44" s="711">
        <v>7250</v>
      </c>
      <c r="D44" s="711">
        <v>10000</v>
      </c>
      <c r="E44" s="717">
        <v>11000</v>
      </c>
      <c r="G44" s="739" t="s">
        <v>578</v>
      </c>
      <c r="H44" s="740"/>
      <c r="I44" s="741"/>
      <c r="J44" s="742" t="str">
        <f>IF(J43=0,"",ROUND((J43+E59-G56)/inputOth!E7*1000,3)-G61)</f>
        <v/>
      </c>
    </row>
    <row r="45" spans="2:10" x14ac:dyDescent="0.25">
      <c r="B45" s="909" t="s">
        <v>1088</v>
      </c>
      <c r="C45" s="711">
        <v>18000</v>
      </c>
      <c r="D45" s="711">
        <v>18000</v>
      </c>
      <c r="E45" s="717">
        <v>18000</v>
      </c>
      <c r="G45" s="743" t="str">
        <f>CONCATENATE("",E1," Tot Exp/Non-Appr Must Be:")</f>
        <v>2020 Tot Exp/Non-Appr Must Be:</v>
      </c>
      <c r="H45" s="744"/>
      <c r="I45" s="745"/>
      <c r="J45" s="746">
        <f>IF(J43&gt;0,IF(E56&lt;E29,IF(J43=G56,E56,((J43-G56)*(1-D58))+E29),E56+(J43-G56)),0)</f>
        <v>0</v>
      </c>
    </row>
    <row r="46" spans="2:10" x14ac:dyDescent="0.2">
      <c r="B46" s="910"/>
      <c r="C46" s="711"/>
      <c r="D46" s="711"/>
      <c r="E46" s="717"/>
      <c r="G46" s="747" t="s">
        <v>745</v>
      </c>
      <c r="H46" s="748"/>
      <c r="I46" s="748"/>
      <c r="J46" s="749">
        <f>IF(J43&gt;0,J45-E56,0)</f>
        <v>0</v>
      </c>
    </row>
    <row r="47" spans="2:10" x14ac:dyDescent="0.2">
      <c r="B47" s="910" t="s">
        <v>1089</v>
      </c>
      <c r="C47" s="711">
        <v>15000</v>
      </c>
      <c r="D47" s="711">
        <v>20000</v>
      </c>
      <c r="E47" s="717">
        <v>30000</v>
      </c>
    </row>
    <row r="48" spans="2:10" x14ac:dyDescent="0.2">
      <c r="B48" s="910" t="s">
        <v>1090</v>
      </c>
      <c r="C48" s="711">
        <v>50000</v>
      </c>
      <c r="D48" s="711">
        <v>60000</v>
      </c>
      <c r="E48" s="717">
        <v>75000</v>
      </c>
      <c r="G48" s="1080" t="str">
        <f>CONCATENATE("Projected Carryover Into ",E1+1,"")</f>
        <v>Projected Carryover Into 2021</v>
      </c>
      <c r="H48" s="1088"/>
      <c r="I48" s="1088"/>
      <c r="J48" s="1089"/>
    </row>
    <row r="49" spans="2:11" x14ac:dyDescent="0.2">
      <c r="B49" s="756" t="str">
        <f>CONCATENATE("Cash Forward (",E1," column)")</f>
        <v>Cash Forward (2020 column)</v>
      </c>
      <c r="C49" s="711"/>
      <c r="D49" s="711"/>
      <c r="E49" s="717"/>
      <c r="G49" s="733"/>
      <c r="H49" s="734"/>
      <c r="I49" s="734"/>
      <c r="J49" s="735"/>
    </row>
    <row r="50" spans="2:11" x14ac:dyDescent="0.2">
      <c r="B50" s="721" t="s">
        <v>226</v>
      </c>
      <c r="C50" s="711">
        <f>450-8</f>
        <v>442</v>
      </c>
      <c r="D50" s="711"/>
      <c r="E50" s="717"/>
      <c r="G50" s="750">
        <f>D53</f>
        <v>365687</v>
      </c>
      <c r="H50" s="751" t="str">
        <f>CONCATENATE("",E1-1," Ending Cash Balance (est.)")</f>
        <v>2019 Ending Cash Balance (est.)</v>
      </c>
      <c r="I50" s="752"/>
      <c r="J50" s="735"/>
    </row>
    <row r="51" spans="2:11" x14ac:dyDescent="0.2">
      <c r="B51" s="721" t="s">
        <v>729</v>
      </c>
      <c r="C51" s="724" t="str">
        <f>IF(C52*0.1&lt;C50,"Exceed 10% Rule","")</f>
        <v/>
      </c>
      <c r="D51" s="725" t="str">
        <f>IF(D52*0.1&lt;D50,"Exceed 10% Rule","")</f>
        <v/>
      </c>
      <c r="E51" s="761" t="str">
        <f>IF(E52*0.1&lt;E50,"Exceed 10% Rule","")</f>
        <v/>
      </c>
      <c r="G51" s="750">
        <f>E28</f>
        <v>215164</v>
      </c>
      <c r="H51" s="737" t="str">
        <f>CONCATENATE("",E1," Non-AV Receipts (est.)")</f>
        <v>2020 Non-AV Receipts (est.)</v>
      </c>
      <c r="I51" s="752"/>
      <c r="J51" s="735"/>
    </row>
    <row r="52" spans="2:11" x14ac:dyDescent="0.2">
      <c r="B52" s="727" t="s">
        <v>37</v>
      </c>
      <c r="C52" s="728">
        <f>SUM(C31:C50)</f>
        <v>465718</v>
      </c>
      <c r="D52" s="728">
        <f>SUM(D31:D50)</f>
        <v>564500</v>
      </c>
      <c r="E52" s="729">
        <f>SUM(E31:E50)</f>
        <v>881100</v>
      </c>
      <c r="G52" s="753">
        <f>IF(E58&gt;0,E57,E59)</f>
        <v>300249</v>
      </c>
      <c r="H52" s="737" t="str">
        <f>CONCATENATE("",E1," Ad Valorem Tax (est.)")</f>
        <v>2020 Ad Valorem Tax (est.)</v>
      </c>
      <c r="I52" s="752"/>
      <c r="J52" s="735"/>
      <c r="K52" s="754" t="str">
        <f>IF(G52=E59,"","Note: Does not include Delinquent Taxes")</f>
        <v>Note: Does not include Delinquent Taxes</v>
      </c>
    </row>
    <row r="53" spans="2:11" x14ac:dyDescent="0.2">
      <c r="B53" s="559" t="s">
        <v>126</v>
      </c>
      <c r="C53" s="730">
        <f>C29-C52</f>
        <v>420412</v>
      </c>
      <c r="D53" s="730">
        <f>D29-D52</f>
        <v>365687</v>
      </c>
      <c r="E53" s="762" t="s">
        <v>13</v>
      </c>
      <c r="G53" s="750">
        <f>SUM(G50:G52)</f>
        <v>881100</v>
      </c>
      <c r="H53" s="737" t="str">
        <f>CONCATENATE("Total ",E1," Resources Available")</f>
        <v>Total 2020 Resources Available</v>
      </c>
      <c r="I53" s="752"/>
      <c r="J53" s="735"/>
    </row>
    <row r="54" spans="2:11" x14ac:dyDescent="0.2">
      <c r="B54" s="609" t="str">
        <f>CONCATENATE("",E1-2,"/",E1-1,"/",E1," Budget Authority Amount:")</f>
        <v>2018/2019/2020 Budget Authority Amount:</v>
      </c>
      <c r="C54" s="572">
        <f>inputOth!B64</f>
        <v>809500</v>
      </c>
      <c r="D54" s="767">
        <f>inputPrYr!D22</f>
        <v>881500</v>
      </c>
      <c r="E54" s="671">
        <f>E52</f>
        <v>881100</v>
      </c>
      <c r="G54" s="755"/>
      <c r="H54" s="737"/>
      <c r="I54" s="737"/>
      <c r="J54" s="735"/>
    </row>
    <row r="55" spans="2:11" ht="15.75" customHeight="1" x14ac:dyDescent="0.2">
      <c r="B55" s="543"/>
      <c r="C55" s="1083" t="s">
        <v>570</v>
      </c>
      <c r="D55" s="1084"/>
      <c r="E55" s="717"/>
      <c r="G55" s="753">
        <f>ROUND(C52*0.05+C52,0)</f>
        <v>489004</v>
      </c>
      <c r="H55" s="737" t="str">
        <f>CONCATENATE("Less ",E1-2," Expenditures + 5%")</f>
        <v>Less 2018 Expenditures + 5%</v>
      </c>
      <c r="I55" s="752"/>
      <c r="J55" s="735"/>
    </row>
    <row r="56" spans="2:11" x14ac:dyDescent="0.2">
      <c r="B56" s="772" t="str">
        <f>CONCATENATE(C87,"     ",D87)</f>
        <v xml:space="preserve">     </v>
      </c>
      <c r="C56" s="1085" t="s">
        <v>571</v>
      </c>
      <c r="D56" s="1086"/>
      <c r="E56" s="671">
        <f>E52+E55</f>
        <v>881100</v>
      </c>
      <c r="G56" s="757">
        <f>G53-G55</f>
        <v>392096</v>
      </c>
      <c r="H56" s="758" t="str">
        <f>CONCATENATE("Projected ",E1+1," Carryover (est.)")</f>
        <v>Projected 2021 Carryover (est.)</v>
      </c>
      <c r="I56" s="759"/>
      <c r="J56" s="760"/>
    </row>
    <row r="57" spans="2:11" x14ac:dyDescent="0.2">
      <c r="B57" s="772" t="str">
        <f>CONCATENATE(C88,"     ",D88)</f>
        <v xml:space="preserve">     </v>
      </c>
      <c r="C57" s="774"/>
      <c r="D57" s="606" t="s">
        <v>38</v>
      </c>
      <c r="E57" s="731">
        <f>IF(E56-E29&gt;0,E56-E29,0)</f>
        <v>300249</v>
      </c>
    </row>
    <row r="58" spans="2:11" x14ac:dyDescent="0.25">
      <c r="B58" s="543"/>
      <c r="C58" s="778" t="s">
        <v>572</v>
      </c>
      <c r="D58" s="779">
        <f>inputOth!E50</f>
        <v>0.03</v>
      </c>
      <c r="E58" s="731">
        <f>ROUND(IF(D58&gt;0,(E57*D58),0),0)</f>
        <v>9007</v>
      </c>
      <c r="G58" s="1090" t="s">
        <v>801</v>
      </c>
      <c r="H58" s="1091"/>
      <c r="I58" s="1091"/>
      <c r="J58" s="1092"/>
    </row>
    <row r="59" spans="2:11" ht="16.5" thickBot="1" x14ac:dyDescent="0.25">
      <c r="B59" s="540"/>
      <c r="C59" s="1076" t="str">
        <f>CONCATENATE("Amount of  ",$E$1-1," Ad Valorem Tax")</f>
        <v>Amount of  2019 Ad Valorem Tax</v>
      </c>
      <c r="D59" s="1087"/>
      <c r="E59" s="781">
        <f>E57+E58</f>
        <v>309256</v>
      </c>
      <c r="G59" s="763"/>
      <c r="H59" s="764"/>
      <c r="I59" s="765"/>
      <c r="J59" s="766"/>
    </row>
    <row r="60" spans="2:11" ht="16.5" thickTop="1" x14ac:dyDescent="0.2">
      <c r="B60" s="540"/>
      <c r="C60" s="1076"/>
      <c r="D60" s="1077"/>
      <c r="E60" s="786"/>
      <c r="F60" s="768"/>
      <c r="G60" s="769">
        <f>SUMM!H16</f>
        <v>63.456000000000003</v>
      </c>
      <c r="H60" s="764" t="str">
        <f>CONCATENATE("",E1," Fund Mill Rate")</f>
        <v>2020 Fund Mill Rate</v>
      </c>
      <c r="I60" s="765"/>
      <c r="J60" s="766"/>
    </row>
    <row r="61" spans="2:11" x14ac:dyDescent="0.2">
      <c r="B61" s="790" t="s">
        <v>979</v>
      </c>
      <c r="C61" s="1074"/>
      <c r="D61" s="1075"/>
      <c r="E61" s="791"/>
      <c r="F61" s="770" t="str">
        <f>IF((E52/0.95)-E52&lt;E55,"Exceeds 5% ","")</f>
        <v/>
      </c>
      <c r="G61" s="771">
        <f>SUMM!E16</f>
        <v>63.877000000000002</v>
      </c>
      <c r="H61" s="764" t="str">
        <f>CONCATENATE("",E1-1," Fund Mill Rate")</f>
        <v>2019 Fund Mill Rate</v>
      </c>
      <c r="I61" s="765"/>
      <c r="J61" s="766"/>
    </row>
    <row r="62" spans="2:11" x14ac:dyDescent="0.2">
      <c r="B62" s="795"/>
      <c r="C62" s="1076"/>
      <c r="D62" s="1077"/>
      <c r="E62" s="796"/>
      <c r="G62" s="773">
        <f>SUMM!H27</f>
        <v>63.456000000000003</v>
      </c>
      <c r="H62" s="764" t="str">
        <f>CONCATENATE("Total ",E1," Mill Rate")</f>
        <v>Total 2020 Mill Rate</v>
      </c>
      <c r="I62" s="765"/>
      <c r="J62" s="766"/>
    </row>
    <row r="63" spans="2:11" x14ac:dyDescent="0.2">
      <c r="B63" s="635"/>
      <c r="C63" s="1078"/>
      <c r="D63" s="1079"/>
      <c r="E63" s="797"/>
      <c r="G63" s="771">
        <f>SUMM!E27</f>
        <v>63.877000000000002</v>
      </c>
      <c r="H63" s="775" t="str">
        <f>CONCATENATE("Total ",E1-1," Mill Rate")</f>
        <v>Total 2019 Mill Rate</v>
      </c>
      <c r="I63" s="776"/>
      <c r="J63" s="777"/>
    </row>
    <row r="64" spans="2:11" x14ac:dyDescent="0.2">
      <c r="B64" s="540"/>
      <c r="C64" s="540"/>
      <c r="D64" s="540"/>
      <c r="E64" s="540"/>
      <c r="K64" s="780"/>
    </row>
    <row r="65" spans="2:10" x14ac:dyDescent="0.2">
      <c r="B65" s="699"/>
      <c r="C65" s="543" t="s">
        <v>40</v>
      </c>
      <c r="D65" s="609">
        <v>7</v>
      </c>
      <c r="E65" s="699"/>
      <c r="G65" s="782"/>
      <c r="H65" s="783"/>
      <c r="I65" s="784"/>
      <c r="J65" s="785"/>
    </row>
    <row r="66" spans="2:10" x14ac:dyDescent="0.2">
      <c r="G66" s="787" t="str">
        <f>CONCATENATE("Computed ",E1," tax levy limit amount")</f>
        <v>Computed 2020 tax levy limit amount</v>
      </c>
      <c r="H66" s="788"/>
      <c r="I66" s="788"/>
      <c r="J66" s="789">
        <f>Comp1!J47</f>
        <v>0</v>
      </c>
    </row>
    <row r="67" spans="2:10" x14ac:dyDescent="0.2">
      <c r="B67" s="541"/>
      <c r="G67" s="792" t="str">
        <f>CONCATENATE("Total ",E1," tax levy amount")</f>
        <v>Total 2020 tax levy amount</v>
      </c>
      <c r="H67" s="793"/>
      <c r="I67" s="793"/>
      <c r="J67" s="794">
        <f>SUMM!G27</f>
        <v>309256</v>
      </c>
    </row>
    <row r="70" spans="2:10" x14ac:dyDescent="0.2">
      <c r="B70" s="541"/>
      <c r="C70" s="541"/>
    </row>
    <row r="87" spans="3:4" x14ac:dyDescent="0.2">
      <c r="C87" s="624" t="str">
        <f>IF(C52&gt;C54,"See Tab A","")</f>
        <v/>
      </c>
      <c r="D87" s="624" t="str">
        <f>IF(D52&gt;D54,"See Tab C","")</f>
        <v/>
      </c>
    </row>
    <row r="88" spans="3:4" x14ac:dyDescent="0.2">
      <c r="C88" s="624" t="str">
        <f>IF(C53&lt;0,"See Tab B","")</f>
        <v/>
      </c>
      <c r="D88" s="624" t="str">
        <f>IF(D53&lt;0,"See Tab D","")</f>
        <v/>
      </c>
    </row>
    <row r="90" spans="3:4" hidden="1" x14ac:dyDescent="0.2"/>
    <row r="91" spans="3:4" hidden="1" x14ac:dyDescent="0.2"/>
  </sheetData>
  <mergeCells count="10">
    <mergeCell ref="C61:D61"/>
    <mergeCell ref="C62:D62"/>
    <mergeCell ref="C63:D63"/>
    <mergeCell ref="G41:J41"/>
    <mergeCell ref="C55:D55"/>
    <mergeCell ref="C56:D56"/>
    <mergeCell ref="C59:D59"/>
    <mergeCell ref="C60:D60"/>
    <mergeCell ref="G48:J48"/>
    <mergeCell ref="G58:J58"/>
  </mergeCells>
  <phoneticPr fontId="0" type="noConversion"/>
  <conditionalFormatting sqref="E55">
    <cfRule type="cellIs" dxfId="83" priority="2" stopIfTrue="1" operator="greaterThan">
      <formula>$E$52/0.95-$E$52</formula>
    </cfRule>
  </conditionalFormatting>
  <conditionalFormatting sqref="E50">
    <cfRule type="cellIs" dxfId="82" priority="3" stopIfTrue="1" operator="greaterThan">
      <formula>$E$52*0.1</formula>
    </cfRule>
  </conditionalFormatting>
  <conditionalFormatting sqref="D52">
    <cfRule type="cellIs" dxfId="81" priority="4" stopIfTrue="1" operator="greaterThan">
      <formula>$D$54</formula>
    </cfRule>
  </conditionalFormatting>
  <conditionalFormatting sqref="C52">
    <cfRule type="cellIs" dxfId="80" priority="5" stopIfTrue="1" operator="greaterThan">
      <formula>$C$54</formula>
    </cfRule>
  </conditionalFormatting>
  <conditionalFormatting sqref="C53">
    <cfRule type="cellIs" dxfId="79" priority="6" stopIfTrue="1" operator="lessThan">
      <formula>0</formula>
    </cfRule>
  </conditionalFormatting>
  <conditionalFormatting sqref="C50">
    <cfRule type="cellIs" dxfId="78" priority="7" stopIfTrue="1" operator="greaterThan">
      <formula>$C$52*0.1</formula>
    </cfRule>
  </conditionalFormatting>
  <conditionalFormatting sqref="D50">
    <cfRule type="cellIs" dxfId="77" priority="8" stopIfTrue="1" operator="greaterThan">
      <formula>$D$52*0.1</formula>
    </cfRule>
  </conditionalFormatting>
  <conditionalFormatting sqref="D26">
    <cfRule type="cellIs" dxfId="76" priority="9" stopIfTrue="1" operator="greaterThan">
      <formula>$D$28*0.1</formula>
    </cfRule>
  </conditionalFormatting>
  <conditionalFormatting sqref="C26">
    <cfRule type="cellIs" dxfId="75" priority="10" stopIfTrue="1" operator="greaterThan">
      <formula>$C$28*0.1</formula>
    </cfRule>
  </conditionalFormatting>
  <conditionalFormatting sqref="E26">
    <cfRule type="cellIs" dxfId="74" priority="11" stopIfTrue="1" operator="greaterThan">
      <formula>$E$28*0.1+E59</formula>
    </cfRule>
  </conditionalFormatting>
  <conditionalFormatting sqref="D53">
    <cfRule type="cellIs" dxfId="73" priority="1" stopIfTrue="1" operator="lessThan">
      <formula>0</formula>
    </cfRule>
  </conditionalFormatting>
  <pageMargins left="0.5" right="0.5" top="1" bottom="0.5" header="0.5" footer="0.25"/>
  <pageSetup scale="68" fitToHeight="2" orientation="portrait" blackAndWhite="1" r:id="rId1"/>
  <headerFooter alignWithMargins="0">
    <oddHeader xml:space="preserve">&amp;RState of Kansas
City
</oddHead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B1:K98"/>
  <sheetViews>
    <sheetView zoomScaleNormal="100" workbookViewId="0">
      <selection activeCell="C105" sqref="C105"/>
    </sheetView>
  </sheetViews>
  <sheetFormatPr defaultColWidth="8.88671875" defaultRowHeight="15.75" x14ac:dyDescent="0.2"/>
  <cols>
    <col min="1" max="1" width="2.44140625" style="17" customWidth="1"/>
    <col min="2" max="2" width="31.109375" style="17" customWidth="1"/>
    <col min="3" max="4" width="15.77734375" style="17" customWidth="1"/>
    <col min="5" max="5" width="16.21875" style="17" customWidth="1"/>
    <col min="6" max="6" width="8.109375" style="17" customWidth="1"/>
    <col min="7" max="7" width="10.21875" style="17" customWidth="1"/>
    <col min="8" max="8" width="8.88671875" style="17"/>
    <col min="9" max="9" width="5" style="17" customWidth="1"/>
    <col min="10" max="10" width="10" style="17" customWidth="1"/>
    <col min="11" max="16384" width="8.88671875" style="17"/>
  </cols>
  <sheetData>
    <row r="1" spans="2:5" x14ac:dyDescent="0.2">
      <c r="B1" s="98" t="str">
        <f>(inputPrYr!D3)</f>
        <v>UNIFIED GREELEY COUNTY - MUNICIPAL SERVICE DISTRICT</v>
      </c>
      <c r="C1" s="98"/>
      <c r="D1" s="16"/>
      <c r="E1" s="101">
        <f>inputPrYr!$C$6</f>
        <v>2020</v>
      </c>
    </row>
    <row r="2" spans="2:5" x14ac:dyDescent="0.2">
      <c r="B2" s="16"/>
      <c r="C2" s="16"/>
      <c r="D2" s="16"/>
      <c r="E2" s="96"/>
    </row>
    <row r="3" spans="2:5" x14ac:dyDescent="0.2">
      <c r="B3" s="25" t="s">
        <v>86</v>
      </c>
      <c r="C3" s="25"/>
      <c r="D3" s="161"/>
      <c r="E3" s="160"/>
    </row>
    <row r="4" spans="2:5" x14ac:dyDescent="0.2">
      <c r="B4" s="19" t="s">
        <v>23</v>
      </c>
      <c r="C4" s="345" t="s">
        <v>740</v>
      </c>
      <c r="D4" s="346" t="s">
        <v>743</v>
      </c>
      <c r="E4" s="92" t="s">
        <v>744</v>
      </c>
    </row>
    <row r="5" spans="2:5" x14ac:dyDescent="0.2">
      <c r="B5" s="168" t="str">
        <f>inputPrYr!B23</f>
        <v>Debt Service</v>
      </c>
      <c r="C5" s="154" t="str">
        <f>CONCATENATE("Actual for ",E1-2,"")</f>
        <v>Actual for 2018</v>
      </c>
      <c r="D5" s="154" t="str">
        <f>CONCATENATE("Estimate for ",E1-1,"")</f>
        <v>Estimate for 2019</v>
      </c>
      <c r="E5" s="103" t="str">
        <f>CONCATENATE("Year for ",E1,"")</f>
        <v>Year for 2020</v>
      </c>
    </row>
    <row r="6" spans="2:5" x14ac:dyDescent="0.2">
      <c r="B6" s="93" t="s">
        <v>125</v>
      </c>
      <c r="C6" s="305"/>
      <c r="D6" s="153">
        <f>C36</f>
        <v>0</v>
      </c>
      <c r="E6" s="102">
        <f>D36</f>
        <v>0</v>
      </c>
    </row>
    <row r="7" spans="2:5" x14ac:dyDescent="0.2">
      <c r="B7" s="93" t="s">
        <v>127</v>
      </c>
      <c r="C7" s="153"/>
      <c r="D7" s="153"/>
      <c r="E7" s="102"/>
    </row>
    <row r="8" spans="2:5" x14ac:dyDescent="0.2">
      <c r="B8" s="93" t="s">
        <v>24</v>
      </c>
      <c r="C8" s="292"/>
      <c r="D8" s="153">
        <f>IF(inputPrYr!H21&gt;0,inputPrYr!G23,inputPrYr!E23)</f>
        <v>0</v>
      </c>
      <c r="E8" s="112" t="s">
        <v>13</v>
      </c>
    </row>
    <row r="9" spans="2:5" x14ac:dyDescent="0.2">
      <c r="B9" s="93" t="s">
        <v>25</v>
      </c>
      <c r="C9" s="292"/>
      <c r="D9" s="104"/>
      <c r="E9" s="34"/>
    </row>
    <row r="10" spans="2:5" x14ac:dyDescent="0.2">
      <c r="B10" s="93" t="s">
        <v>26</v>
      </c>
      <c r="C10" s="292"/>
      <c r="D10" s="104"/>
      <c r="E10" s="102" t="str">
        <f>MVALLOC!D8</f>
        <v xml:space="preserve">  </v>
      </c>
    </row>
    <row r="11" spans="2:5" x14ac:dyDescent="0.2">
      <c r="B11" s="93" t="s">
        <v>27</v>
      </c>
      <c r="C11" s="292"/>
      <c r="D11" s="104"/>
      <c r="E11" s="102" t="str">
        <f>MVALLOC!E8</f>
        <v xml:space="preserve"> </v>
      </c>
    </row>
    <row r="12" spans="2:5" x14ac:dyDescent="0.2">
      <c r="B12" s="108" t="s">
        <v>117</v>
      </c>
      <c r="C12" s="292"/>
      <c r="D12" s="104"/>
      <c r="E12" s="102" t="str">
        <f>MVALLOC!F8</f>
        <v xml:space="preserve"> </v>
      </c>
    </row>
    <row r="13" spans="2:5" x14ac:dyDescent="0.2">
      <c r="B13" s="440" t="s">
        <v>959</v>
      </c>
      <c r="C13" s="292"/>
      <c r="D13" s="104"/>
      <c r="E13" s="102" t="str">
        <f>MVALLOC!G8</f>
        <v xml:space="preserve"> </v>
      </c>
    </row>
    <row r="14" spans="2:5" x14ac:dyDescent="0.2">
      <c r="B14" s="440" t="s">
        <v>960</v>
      </c>
      <c r="C14" s="292"/>
      <c r="D14" s="104"/>
      <c r="E14" s="102" t="str">
        <f>MVALLOC!H8</f>
        <v xml:space="preserve"> </v>
      </c>
    </row>
    <row r="15" spans="2:5" x14ac:dyDescent="0.2">
      <c r="B15" s="34"/>
      <c r="C15" s="292"/>
      <c r="D15" s="104"/>
      <c r="E15" s="34"/>
    </row>
    <row r="16" spans="2:5" x14ac:dyDescent="0.2">
      <c r="B16" s="104"/>
      <c r="C16" s="292"/>
      <c r="D16" s="104"/>
      <c r="E16" s="34"/>
    </row>
    <row r="17" spans="2:11" x14ac:dyDescent="0.2">
      <c r="B17" s="105"/>
      <c r="C17" s="292"/>
      <c r="D17" s="104"/>
      <c r="E17" s="34"/>
    </row>
    <row r="18" spans="2:11" x14ac:dyDescent="0.2">
      <c r="B18" s="105"/>
      <c r="C18" s="292"/>
      <c r="D18" s="104"/>
      <c r="E18" s="34"/>
    </row>
    <row r="19" spans="2:11" x14ac:dyDescent="0.2">
      <c r="B19" s="116" t="s">
        <v>29</v>
      </c>
      <c r="C19" s="292"/>
      <c r="D19" s="104"/>
      <c r="E19" s="34"/>
      <c r="G19" s="1104" t="str">
        <f>CONCATENATE("Desired Carryover Into ",E1+1,"")</f>
        <v>Desired Carryover Into 2021</v>
      </c>
      <c r="H19" s="1105"/>
      <c r="I19" s="1105"/>
      <c r="J19" s="1098"/>
    </row>
    <row r="20" spans="2:11" x14ac:dyDescent="0.2">
      <c r="B20" s="163" t="s">
        <v>227</v>
      </c>
      <c r="C20" s="292"/>
      <c r="D20" s="104"/>
      <c r="E20" s="256">
        <f>nhood!E7*-1</f>
        <v>0</v>
      </c>
      <c r="G20" s="293"/>
      <c r="H20" s="288"/>
      <c r="I20" s="290"/>
      <c r="J20" s="294"/>
    </row>
    <row r="21" spans="2:11" x14ac:dyDescent="0.2">
      <c r="B21" s="93" t="s">
        <v>226</v>
      </c>
      <c r="C21" s="292"/>
      <c r="D21" s="104"/>
      <c r="E21" s="34"/>
      <c r="G21" s="291" t="s">
        <v>577</v>
      </c>
      <c r="H21" s="290"/>
      <c r="I21" s="290"/>
      <c r="J21" s="289">
        <v>0</v>
      </c>
    </row>
    <row r="22" spans="2:11" x14ac:dyDescent="0.2">
      <c r="B22" s="93" t="s">
        <v>728</v>
      </c>
      <c r="C22" s="155" t="str">
        <f>IF(C23*0.1&lt;C21,"Exceed 10% Rule","")</f>
        <v/>
      </c>
      <c r="D22" s="170" t="str">
        <f>IF(D23*0.1&lt;D21,"Exceed 10% Rule","")</f>
        <v/>
      </c>
      <c r="E22" s="113" t="str">
        <f>IF(E24*0.01+E42&lt;E21,"Exceed 10% Rule","")</f>
        <v/>
      </c>
      <c r="G22" s="293" t="s">
        <v>578</v>
      </c>
      <c r="H22" s="288"/>
      <c r="I22" s="288"/>
      <c r="J22" s="306" t="str">
        <f>IF(J21=0,"",ROUND((J21+E42-G34)/inputOth!E7*1000,3)-G39)</f>
        <v/>
      </c>
    </row>
    <row r="23" spans="2:11" x14ac:dyDescent="0.2">
      <c r="B23" s="106" t="s">
        <v>30</v>
      </c>
      <c r="C23" s="156">
        <f>SUM(C8:C21)</f>
        <v>0</v>
      </c>
      <c r="D23" s="156">
        <f>SUM(D8:D21)</f>
        <v>0</v>
      </c>
      <c r="E23" s="114">
        <f>SUM(E8:E21)</f>
        <v>0</v>
      </c>
      <c r="G23" s="298" t="str">
        <f>CONCATENATE("",E1," Tot Exp/Non-Appr Must Be:")</f>
        <v>2020 Tot Exp/Non-Appr Must Be:</v>
      </c>
      <c r="H23" s="296"/>
      <c r="I23" s="297"/>
      <c r="J23" s="295">
        <f>IF(J21&gt;0,IF(E39&lt;E24,IF(J21=G34,E39,((J21-G34)*(1-D41))+E24),E39+(J21-G34)),0)</f>
        <v>0</v>
      </c>
    </row>
    <row r="24" spans="2:11" x14ac:dyDescent="0.2">
      <c r="B24" s="106" t="s">
        <v>31</v>
      </c>
      <c r="C24" s="156">
        <f>C6+C23</f>
        <v>0</v>
      </c>
      <c r="D24" s="156">
        <f>D6+D23</f>
        <v>0</v>
      </c>
      <c r="E24" s="114">
        <f>E6+E23</f>
        <v>0</v>
      </c>
      <c r="G24" s="301" t="s">
        <v>745</v>
      </c>
      <c r="H24" s="302"/>
      <c r="I24" s="302"/>
      <c r="J24" s="299">
        <f>IF(J21&gt;0,J23-E39,0)</f>
        <v>0</v>
      </c>
    </row>
    <row r="25" spans="2:11" x14ac:dyDescent="0.2">
      <c r="B25" s="93" t="s">
        <v>33</v>
      </c>
      <c r="C25" s="93"/>
      <c r="D25" s="153"/>
      <c r="E25" s="102"/>
    </row>
    <row r="26" spans="2:11" x14ac:dyDescent="0.2">
      <c r="B26" s="105"/>
      <c r="C26" s="165"/>
      <c r="D26" s="104"/>
      <c r="E26" s="34"/>
      <c r="G26" s="1096" t="str">
        <f>CONCATENATE("Projected Carryover Into ",E1+1,"")</f>
        <v>Projected Carryover Into 2021</v>
      </c>
      <c r="H26" s="1097"/>
      <c r="I26" s="1097"/>
      <c r="J26" s="1098"/>
    </row>
    <row r="27" spans="2:11" x14ac:dyDescent="0.2">
      <c r="B27" s="105"/>
      <c r="C27" s="165"/>
      <c r="D27" s="104"/>
      <c r="E27" s="34"/>
      <c r="G27" s="241"/>
      <c r="H27" s="240"/>
      <c r="I27" s="240"/>
      <c r="J27" s="286"/>
    </row>
    <row r="28" spans="2:11" x14ac:dyDescent="0.2">
      <c r="B28" s="105"/>
      <c r="C28" s="165"/>
      <c r="D28" s="104"/>
      <c r="E28" s="34"/>
      <c r="G28" s="244">
        <f>D36</f>
        <v>0</v>
      </c>
      <c r="H28" s="245" t="str">
        <f>CONCATENATE("",E1-1," Ending Cash Balance (est.)")</f>
        <v>2019 Ending Cash Balance (est.)</v>
      </c>
      <c r="I28" s="242"/>
      <c r="J28" s="286"/>
    </row>
    <row r="29" spans="2:11" x14ac:dyDescent="0.2">
      <c r="B29" s="105"/>
      <c r="C29" s="165"/>
      <c r="D29" s="104"/>
      <c r="E29" s="34"/>
      <c r="G29" s="244">
        <f>E23</f>
        <v>0</v>
      </c>
      <c r="H29" s="246" t="str">
        <f>CONCATENATE("",E1," Non-AV Receipts (est.)")</f>
        <v>2020 Non-AV Receipts (est.)</v>
      </c>
      <c r="I29" s="240"/>
      <c r="J29" s="286"/>
    </row>
    <row r="30" spans="2:11" x14ac:dyDescent="0.2">
      <c r="B30" s="105"/>
      <c r="C30" s="165"/>
      <c r="D30" s="104"/>
      <c r="E30" s="34"/>
      <c r="G30" s="247">
        <f>IF(E41&gt;0,E40,E42)</f>
        <v>0</v>
      </c>
      <c r="H30" s="246" t="str">
        <f>CONCATENATE("",E1," Ad Valorem Tax (est.)")</f>
        <v>2020 Ad Valorem Tax (est.)</v>
      </c>
      <c r="I30" s="240"/>
      <c r="J30" s="286"/>
      <c r="K30" s="304" t="str">
        <f>IF(G30=E42,"","Note: Does not include Delinquent Taxes")</f>
        <v/>
      </c>
    </row>
    <row r="31" spans="2:11" x14ac:dyDescent="0.2">
      <c r="B31" s="105"/>
      <c r="C31" s="165"/>
      <c r="D31" s="104"/>
      <c r="E31" s="34"/>
      <c r="G31" s="244">
        <f>SUM(G28:G30)</f>
        <v>0</v>
      </c>
      <c r="H31" s="246" t="str">
        <f>CONCATENATE("Total ",E1," Resources Available")</f>
        <v>Total 2020 Resources Available</v>
      </c>
      <c r="I31" s="242"/>
      <c r="J31" s="286"/>
    </row>
    <row r="32" spans="2:11" x14ac:dyDescent="0.2">
      <c r="B32" s="163" t="str">
        <f>CONCATENATE("Cash Basis Reserve (",E1," column)")</f>
        <v>Cash Basis Reserve (2020 column)</v>
      </c>
      <c r="C32" s="165"/>
      <c r="D32" s="104"/>
      <c r="E32" s="34"/>
      <c r="G32" s="248"/>
      <c r="H32" s="246"/>
      <c r="I32" s="240"/>
      <c r="J32" s="286"/>
    </row>
    <row r="33" spans="2:10" x14ac:dyDescent="0.2">
      <c r="B33" s="163" t="s">
        <v>226</v>
      </c>
      <c r="C33" s="165"/>
      <c r="D33" s="104"/>
      <c r="E33" s="34"/>
      <c r="G33" s="247">
        <f>C35</f>
        <v>0</v>
      </c>
      <c r="H33" s="246" t="str">
        <f>CONCATENATE("Less ",E1-2," Expenditures")</f>
        <v>Less 2018 Expenditures</v>
      </c>
      <c r="I33" s="240"/>
      <c r="J33" s="286"/>
    </row>
    <row r="34" spans="2:10" x14ac:dyDescent="0.2">
      <c r="B34" s="163" t="s">
        <v>574</v>
      </c>
      <c r="C34" s="164" t="str">
        <f>IF(C35*0.1&lt;C33,"Exceed 10% Rule","")</f>
        <v/>
      </c>
      <c r="D34" s="171" t="str">
        <f>IF(D35*0.1&lt;D33,"Exceed 10% Rule","")</f>
        <v/>
      </c>
      <c r="E34" s="162" t="str">
        <f>IF(E35*0.1&lt;E33,"Exceed 10% Rule","")</f>
        <v/>
      </c>
      <c r="G34" s="182">
        <f>SUM(G31-G33)</f>
        <v>0</v>
      </c>
      <c r="H34" s="183" t="str">
        <f>CONCATENATE("Projected ",E1+1," carryover (est.)")</f>
        <v>Projected 2021 carryover (est.)</v>
      </c>
      <c r="I34" s="243"/>
      <c r="J34" s="285"/>
    </row>
    <row r="35" spans="2:10" x14ac:dyDescent="0.2">
      <c r="B35" s="106" t="s">
        <v>37</v>
      </c>
      <c r="C35" s="166">
        <f>SUM(C26:C33)</f>
        <v>0</v>
      </c>
      <c r="D35" s="166">
        <f>SUM(D26:D33)</f>
        <v>0</v>
      </c>
      <c r="E35" s="107">
        <f>SUM(E26:E33)</f>
        <v>0</v>
      </c>
    </row>
    <row r="36" spans="2:10" x14ac:dyDescent="0.2">
      <c r="B36" s="93" t="s">
        <v>126</v>
      </c>
      <c r="C36" s="167">
        <f>C24-C35</f>
        <v>0</v>
      </c>
      <c r="D36" s="167">
        <f>D24-D35</f>
        <v>0</v>
      </c>
      <c r="E36" s="112" t="s">
        <v>13</v>
      </c>
      <c r="G36" s="1093" t="s">
        <v>801</v>
      </c>
      <c r="H36" s="1099"/>
      <c r="I36" s="1099"/>
      <c r="J36" s="1100"/>
    </row>
    <row r="37" spans="2:10" x14ac:dyDescent="0.2">
      <c r="B37" s="97" t="str">
        <f>CONCATENATE("",E1-2,"/",E1-1,"/",E1," Budget Authority Amount:")</f>
        <v>2018/2019/2020 Budget Authority Amount:</v>
      </c>
      <c r="C37" s="256">
        <f>inputOth!B65</f>
        <v>78791</v>
      </c>
      <c r="D37" s="391">
        <f>inputPrYr!D23</f>
        <v>0</v>
      </c>
      <c r="E37" s="102">
        <f>E35</f>
        <v>0</v>
      </c>
      <c r="F37" s="109"/>
      <c r="G37" s="372"/>
      <c r="H37" s="359"/>
      <c r="I37" s="370"/>
      <c r="J37" s="371"/>
    </row>
    <row r="38" spans="2:10" x14ac:dyDescent="0.2">
      <c r="B38" s="91"/>
      <c r="C38" s="1108" t="s">
        <v>570</v>
      </c>
      <c r="D38" s="1109"/>
      <c r="E38" s="34"/>
      <c r="F38" s="177" t="str">
        <f>IF(E35/0.95-E35&lt;E38,"Exceeds 5%","")</f>
        <v/>
      </c>
      <c r="G38" s="374" t="e">
        <f>SUMM!#REF!</f>
        <v>#REF!</v>
      </c>
      <c r="H38" s="359" t="str">
        <f>CONCATENATE("",E1," Fund Mill Rate")</f>
        <v>2020 Fund Mill Rate</v>
      </c>
      <c r="I38" s="370"/>
      <c r="J38" s="371"/>
    </row>
    <row r="39" spans="2:10" x14ac:dyDescent="0.2">
      <c r="B39" s="172" t="str">
        <f>CONCATENATE(C94,"     ",D94)</f>
        <v xml:space="preserve">     </v>
      </c>
      <c r="C39" s="1110" t="s">
        <v>571</v>
      </c>
      <c r="D39" s="1111"/>
      <c r="E39" s="102">
        <f>E35+E38</f>
        <v>0</v>
      </c>
      <c r="G39" s="373" t="e">
        <f>SUMM!#REF!</f>
        <v>#REF!</v>
      </c>
      <c r="H39" s="359" t="str">
        <f>CONCATENATE("",E1-1," Fund Mill Rate")</f>
        <v>2019 Fund Mill Rate</v>
      </c>
      <c r="I39" s="370"/>
      <c r="J39" s="371"/>
    </row>
    <row r="40" spans="2:10" x14ac:dyDescent="0.2">
      <c r="B40" s="172" t="str">
        <f>CONCATENATE(C95,"     ",D95)</f>
        <v xml:space="preserve">     </v>
      </c>
      <c r="C40" s="110"/>
      <c r="D40" s="96" t="s">
        <v>38</v>
      </c>
      <c r="E40" s="41">
        <f>IF(E39-E24&gt;0,E39-E24,0)</f>
        <v>0</v>
      </c>
      <c r="G40" s="375">
        <f>SUMM!H27</f>
        <v>63.456000000000003</v>
      </c>
      <c r="H40" s="359" t="str">
        <f>CONCATENATE("Total ",E1," Mill Rate")</f>
        <v>Total 2020 Mill Rate</v>
      </c>
      <c r="I40" s="370"/>
      <c r="J40" s="371"/>
    </row>
    <row r="41" spans="2:10" x14ac:dyDescent="0.2">
      <c r="B41" s="96"/>
      <c r="C41" s="158" t="s">
        <v>572</v>
      </c>
      <c r="D41" s="303">
        <f>inputOth!E50</f>
        <v>0.03</v>
      </c>
      <c r="E41" s="102">
        <f>ROUND(IF(D41&gt;0,(E40*D41),0),0)</f>
        <v>0</v>
      </c>
      <c r="G41" s="373">
        <f>SUMM!E27</f>
        <v>63.877000000000002</v>
      </c>
      <c r="H41" s="367" t="str">
        <f>CONCATENATE("Total ",E1-1," Mill Rate")</f>
        <v>Total 2019 Mill Rate</v>
      </c>
      <c r="I41" s="368"/>
      <c r="J41" s="369"/>
    </row>
    <row r="42" spans="2:10" ht="16.5" thickBot="1" x14ac:dyDescent="0.25">
      <c r="B42" s="16"/>
      <c r="C42" s="1106" t="str">
        <f>CONCATENATE("Amount of  ",E1-1," Ad Valorem Tax")</f>
        <v>Amount of  2019 Ad Valorem Tax</v>
      </c>
      <c r="D42" s="1107"/>
      <c r="E42" s="115">
        <f>E40+E41</f>
        <v>0</v>
      </c>
    </row>
    <row r="43" spans="2:10" ht="16.5" thickTop="1" x14ac:dyDescent="0.2">
      <c r="B43" s="16"/>
      <c r="C43" s="1106"/>
      <c r="D43" s="1106"/>
      <c r="E43" s="159"/>
      <c r="G43" s="453"/>
      <c r="H43" s="446"/>
      <c r="I43" s="445"/>
      <c r="J43" s="467"/>
    </row>
    <row r="44" spans="2:10" x14ac:dyDescent="0.2">
      <c r="B44" s="16"/>
      <c r="C44" s="159"/>
      <c r="D44" s="159"/>
      <c r="E44" s="159"/>
      <c r="G44" s="444" t="str">
        <f>CONCATENATE("Computed ",E1," tax levy limit amount")</f>
        <v>Computed 2020 tax levy limit amount</v>
      </c>
      <c r="H44" s="443"/>
      <c r="I44" s="443"/>
      <c r="J44" s="449">
        <f>Comp1!J47</f>
        <v>0</v>
      </c>
    </row>
    <row r="45" spans="2:10" x14ac:dyDescent="0.2">
      <c r="B45" s="19"/>
      <c r="C45" s="19"/>
      <c r="D45" s="161"/>
      <c r="E45" s="161"/>
      <c r="G45" s="442" t="str">
        <f>CONCATENATE("Total ",E1," tax levy amount")</f>
        <v>Total 2020 tax levy amount</v>
      </c>
      <c r="H45" s="441"/>
      <c r="I45" s="441"/>
      <c r="J45" s="447">
        <f>SUMM!G27</f>
        <v>309256</v>
      </c>
    </row>
    <row r="46" spans="2:10" x14ac:dyDescent="0.2">
      <c r="B46" s="19" t="s">
        <v>23</v>
      </c>
      <c r="C46" s="345" t="str">
        <f t="shared" ref="C46:E47" si="0">C4</f>
        <v xml:space="preserve">Prior Year </v>
      </c>
      <c r="D46" s="346" t="str">
        <f t="shared" si="0"/>
        <v xml:space="preserve">Current Year </v>
      </c>
      <c r="E46" s="92" t="str">
        <f t="shared" si="0"/>
        <v xml:space="preserve">Proposed Budget </v>
      </c>
    </row>
    <row r="47" spans="2:10" x14ac:dyDescent="0.2">
      <c r="B47" s="169" t="str">
        <f>inputPrYr!B24</f>
        <v>Library</v>
      </c>
      <c r="C47" s="154" t="str">
        <f t="shared" si="0"/>
        <v>Actual for 2018</v>
      </c>
      <c r="D47" s="154" t="str">
        <f t="shared" si="0"/>
        <v>Estimate for 2019</v>
      </c>
      <c r="E47" s="99" t="str">
        <f t="shared" si="0"/>
        <v>Year for 2020</v>
      </c>
    </row>
    <row r="48" spans="2:10" x14ac:dyDescent="0.2">
      <c r="B48" s="93" t="s">
        <v>125</v>
      </c>
      <c r="C48" s="165"/>
      <c r="D48" s="153">
        <f>C75</f>
        <v>0</v>
      </c>
      <c r="E48" s="102">
        <f>D75</f>
        <v>0</v>
      </c>
    </row>
    <row r="49" spans="2:10" x14ac:dyDescent="0.2">
      <c r="B49" s="95" t="s">
        <v>127</v>
      </c>
      <c r="C49" s="93"/>
      <c r="D49" s="153"/>
      <c r="E49" s="102"/>
    </row>
    <row r="50" spans="2:10" x14ac:dyDescent="0.2">
      <c r="B50" s="93" t="s">
        <v>24</v>
      </c>
      <c r="C50" s="165"/>
      <c r="D50" s="153">
        <f>IF(inputPrYr!H21&gt;0,inputPrYr!G24,inputPrYr!E24)</f>
        <v>0</v>
      </c>
      <c r="E50" s="112" t="s">
        <v>13</v>
      </c>
    </row>
    <row r="51" spans="2:10" x14ac:dyDescent="0.2">
      <c r="B51" s="93" t="s">
        <v>25</v>
      </c>
      <c r="C51" s="165"/>
      <c r="D51" s="104"/>
      <c r="E51" s="34"/>
    </row>
    <row r="52" spans="2:10" x14ac:dyDescent="0.2">
      <c r="B52" s="93" t="s">
        <v>26</v>
      </c>
      <c r="C52" s="165"/>
      <c r="D52" s="104"/>
      <c r="E52" s="102" t="str">
        <f>MVALLOC!D9</f>
        <v xml:space="preserve">  </v>
      </c>
    </row>
    <row r="53" spans="2:10" x14ac:dyDescent="0.2">
      <c r="B53" s="93" t="s">
        <v>27</v>
      </c>
      <c r="C53" s="165"/>
      <c r="D53" s="104"/>
      <c r="E53" s="102" t="str">
        <f>MVALLOC!E9</f>
        <v xml:space="preserve"> </v>
      </c>
    </row>
    <row r="54" spans="2:10" x14ac:dyDescent="0.2">
      <c r="B54" s="108" t="s">
        <v>117</v>
      </c>
      <c r="C54" s="165"/>
      <c r="D54" s="104"/>
      <c r="E54" s="102" t="str">
        <f>MVALLOC!F9</f>
        <v xml:space="preserve"> </v>
      </c>
    </row>
    <row r="55" spans="2:10" x14ac:dyDescent="0.2">
      <c r="B55" s="440" t="s">
        <v>959</v>
      </c>
      <c r="C55" s="165"/>
      <c r="D55" s="104"/>
      <c r="E55" s="102" t="str">
        <f>MVALLOC!G9</f>
        <v xml:space="preserve"> </v>
      </c>
    </row>
    <row r="56" spans="2:10" x14ac:dyDescent="0.2">
      <c r="B56" s="440" t="s">
        <v>960</v>
      </c>
      <c r="C56" s="165"/>
      <c r="D56" s="104"/>
      <c r="E56" s="102" t="str">
        <f>MVALLOC!H9</f>
        <v xml:space="preserve"> </v>
      </c>
    </row>
    <row r="57" spans="2:10" x14ac:dyDescent="0.2">
      <c r="B57" s="34"/>
      <c r="C57" s="165"/>
      <c r="D57" s="104"/>
      <c r="E57" s="34"/>
    </row>
    <row r="58" spans="2:10" x14ac:dyDescent="0.2">
      <c r="B58" s="116" t="s">
        <v>29</v>
      </c>
      <c r="C58" s="165"/>
      <c r="D58" s="104"/>
      <c r="E58" s="34"/>
    </row>
    <row r="59" spans="2:10" x14ac:dyDescent="0.2">
      <c r="B59" s="108" t="s">
        <v>227</v>
      </c>
      <c r="C59" s="165"/>
      <c r="D59" s="104"/>
      <c r="E59" s="256">
        <f>nhood!E8*-1</f>
        <v>0</v>
      </c>
    </row>
    <row r="60" spans="2:10" x14ac:dyDescent="0.2">
      <c r="B60" s="93" t="s">
        <v>226</v>
      </c>
      <c r="C60" s="165"/>
      <c r="D60" s="104"/>
      <c r="E60" s="34"/>
    </row>
    <row r="61" spans="2:10" x14ac:dyDescent="0.2">
      <c r="B61" s="93" t="s">
        <v>728</v>
      </c>
      <c r="C61" s="155" t="str">
        <f>IF(C62*0.1&lt;C60,"Exceed 10% Rule","")</f>
        <v/>
      </c>
      <c r="D61" s="170" t="str">
        <f>IF(D62*0.1&lt;D60,"Exceed 10% Rule","")</f>
        <v/>
      </c>
      <c r="E61" s="113" t="str">
        <f>IF(E63*0.01+E81&lt;E60,"Exceed 10% Rule","")</f>
        <v/>
      </c>
      <c r="G61" s="1101" t="str">
        <f>CONCATENATE("Desired Carryover Into ",E1+1,"")</f>
        <v>Desired Carryover Into 2021</v>
      </c>
      <c r="H61" s="1102"/>
      <c r="I61" s="1102"/>
      <c r="J61" s="1103"/>
    </row>
    <row r="62" spans="2:10" x14ac:dyDescent="0.2">
      <c r="B62" s="106" t="s">
        <v>30</v>
      </c>
      <c r="C62" s="166">
        <f>SUM(C50:C60)</f>
        <v>0</v>
      </c>
      <c r="D62" s="166">
        <f>SUM(D50:D60)</f>
        <v>0</v>
      </c>
      <c r="E62" s="107">
        <f>SUM(E50:E60)</f>
        <v>0</v>
      </c>
      <c r="G62" s="477"/>
      <c r="H62" s="469"/>
      <c r="I62" s="476"/>
      <c r="J62" s="478"/>
    </row>
    <row r="63" spans="2:10" x14ac:dyDescent="0.2">
      <c r="B63" s="106" t="s">
        <v>31</v>
      </c>
      <c r="C63" s="166">
        <f>C48+C62</f>
        <v>0</v>
      </c>
      <c r="D63" s="166">
        <f>D48+D62</f>
        <v>0</v>
      </c>
      <c r="E63" s="107">
        <f>E48+E62</f>
        <v>0</v>
      </c>
      <c r="G63" s="479" t="s">
        <v>577</v>
      </c>
      <c r="H63" s="476"/>
      <c r="I63" s="476"/>
      <c r="J63" s="480">
        <v>0</v>
      </c>
    </row>
    <row r="64" spans="2:10" x14ac:dyDescent="0.2">
      <c r="B64" s="93" t="s">
        <v>33</v>
      </c>
      <c r="C64" s="93"/>
      <c r="D64" s="153"/>
      <c r="E64" s="102"/>
      <c r="G64" s="477" t="s">
        <v>578</v>
      </c>
      <c r="H64" s="469"/>
      <c r="I64" s="469"/>
      <c r="J64" s="483" t="str">
        <f>IF(J63=0,"",ROUND((J63+E81-G76)/inputOth!E7*1000,3)-G81)</f>
        <v/>
      </c>
    </row>
    <row r="65" spans="2:11" x14ac:dyDescent="0.2">
      <c r="B65" s="105"/>
      <c r="C65" s="165"/>
      <c r="D65" s="104"/>
      <c r="E65" s="34"/>
      <c r="G65" s="488" t="str">
        <f>CONCATENATE("",E1," Tot Exp/Non-Appr Must Be:")</f>
        <v>2020 Tot Exp/Non-Appr Must Be:</v>
      </c>
      <c r="H65" s="482"/>
      <c r="I65" s="481"/>
      <c r="J65" s="487">
        <f>IF(J63&gt;0,IF(E78&lt;E63,IF(J63=G76,E78,((J63-G76)*(1-D80))+E63),E78+(J63-G76)),0)</f>
        <v>0</v>
      </c>
    </row>
    <row r="66" spans="2:11" x14ac:dyDescent="0.2">
      <c r="B66" s="105"/>
      <c r="C66" s="165"/>
      <c r="D66" s="104"/>
      <c r="E66" s="34"/>
      <c r="G66" s="489" t="s">
        <v>745</v>
      </c>
      <c r="H66" s="486"/>
      <c r="I66" s="486"/>
      <c r="J66" s="485">
        <f>IF(J63&gt;0,J65-E78,0)</f>
        <v>0</v>
      </c>
    </row>
    <row r="67" spans="2:11" x14ac:dyDescent="0.2">
      <c r="B67" s="105"/>
      <c r="C67" s="165"/>
      <c r="D67" s="104"/>
      <c r="E67" s="34"/>
    </row>
    <row r="68" spans="2:11" x14ac:dyDescent="0.2">
      <c r="B68" s="105"/>
      <c r="C68" s="165"/>
      <c r="D68" s="104"/>
      <c r="E68" s="34"/>
      <c r="G68" s="1101" t="str">
        <f>CONCATENATE("Projected Carryover Into ",E1+1,"")</f>
        <v>Projected Carryover Into 2021</v>
      </c>
      <c r="H68" s="1102"/>
      <c r="I68" s="1102"/>
      <c r="J68" s="1103"/>
    </row>
    <row r="69" spans="2:11" x14ac:dyDescent="0.2">
      <c r="B69" s="105"/>
      <c r="C69" s="165"/>
      <c r="D69" s="104"/>
      <c r="E69" s="34"/>
      <c r="G69" s="468"/>
      <c r="H69" s="469"/>
      <c r="I69" s="469"/>
      <c r="J69" s="466"/>
    </row>
    <row r="70" spans="2:11" x14ac:dyDescent="0.2">
      <c r="B70" s="105"/>
      <c r="C70" s="165"/>
      <c r="D70" s="104"/>
      <c r="E70" s="34"/>
      <c r="G70" s="471">
        <f>D75</f>
        <v>0</v>
      </c>
      <c r="H70" s="475" t="str">
        <f>CONCATENATE("",E1-1," Ending Cash Balance (est.)")</f>
        <v>2019 Ending Cash Balance (est.)</v>
      </c>
      <c r="I70" s="484"/>
      <c r="J70" s="466"/>
    </row>
    <row r="71" spans="2:11" x14ac:dyDescent="0.2">
      <c r="B71" s="105"/>
      <c r="C71" s="165"/>
      <c r="D71" s="104"/>
      <c r="E71" s="34"/>
      <c r="G71" s="471">
        <f>E62</f>
        <v>0</v>
      </c>
      <c r="H71" s="476" t="str">
        <f>CONCATENATE("",E1," Non-AV Receipts (est.)")</f>
        <v>2020 Non-AV Receipts (est.)</v>
      </c>
      <c r="I71" s="484"/>
      <c r="J71" s="466"/>
    </row>
    <row r="72" spans="2:11" x14ac:dyDescent="0.2">
      <c r="B72" s="108" t="s">
        <v>226</v>
      </c>
      <c r="C72" s="165"/>
      <c r="D72" s="104"/>
      <c r="E72" s="34"/>
      <c r="G72" s="473">
        <f>IF(E80&gt;0,E79,E81)</f>
        <v>0</v>
      </c>
      <c r="H72" s="476" t="str">
        <f>CONCATENATE("",E1," Ad Valorem Tax (est.)")</f>
        <v>2020 Ad Valorem Tax (est.)</v>
      </c>
      <c r="I72" s="484"/>
      <c r="J72" s="466"/>
      <c r="K72" s="304" t="str">
        <f>IF(G72=E81,"","Note: Does not include Delinquent Taxes")</f>
        <v/>
      </c>
    </row>
    <row r="73" spans="2:11" x14ac:dyDescent="0.2">
      <c r="B73" s="108" t="s">
        <v>573</v>
      </c>
      <c r="C73" s="155" t="str">
        <f>IF(C74*0.1&lt;C72,"Exceed 10% Rule","")</f>
        <v/>
      </c>
      <c r="D73" s="170" t="str">
        <f>IF(D74*0.1&lt;D72,"Exceed 10% Rule","")</f>
        <v/>
      </c>
      <c r="E73" s="113" t="str">
        <f>IF(E74*0.1&lt;E72,"Exceed 10% Rule","")</f>
        <v/>
      </c>
      <c r="G73" s="307">
        <f>SUM(G70:G72)</f>
        <v>0</v>
      </c>
      <c r="H73" s="476" t="str">
        <f>CONCATENATE("Total ",E1," Resources Available")</f>
        <v>Total 2020 Resources Available</v>
      </c>
      <c r="I73" s="470"/>
      <c r="J73" s="466"/>
    </row>
    <row r="74" spans="2:11" x14ac:dyDescent="0.2">
      <c r="B74" s="106" t="s">
        <v>37</v>
      </c>
      <c r="C74" s="166">
        <f>SUM(C65:C72)</f>
        <v>0</v>
      </c>
      <c r="D74" s="166">
        <f>SUM(D65:D72)</f>
        <v>0</v>
      </c>
      <c r="E74" s="107">
        <f>SUM(E65:E72)</f>
        <v>0</v>
      </c>
      <c r="G74" s="309"/>
      <c r="H74" s="472"/>
      <c r="I74" s="469"/>
      <c r="J74" s="466"/>
    </row>
    <row r="75" spans="2:11" x14ac:dyDescent="0.2">
      <c r="B75" s="93" t="s">
        <v>126</v>
      </c>
      <c r="C75" s="167">
        <f>C63-C74</f>
        <v>0</v>
      </c>
      <c r="D75" s="167">
        <f>D63-D74</f>
        <v>0</v>
      </c>
      <c r="E75" s="112" t="s">
        <v>13</v>
      </c>
      <c r="G75" s="308">
        <f>ROUND(C74*0.05+C74,0)</f>
        <v>0</v>
      </c>
      <c r="H75" s="472" t="str">
        <f>CONCATENATE("Less ",E1-2," Expenditures + 5%")</f>
        <v>Less 2018 Expenditures + 5%</v>
      </c>
      <c r="I75" s="470"/>
      <c r="J75" s="466"/>
    </row>
    <row r="76" spans="2:11" x14ac:dyDescent="0.2">
      <c r="B76" s="97" t="str">
        <f>CONCATENATE("",E1-2,"/",E1-1,"/",E1," Budget Authority Amount:")</f>
        <v>2018/2019/2020 Budget Authority Amount:</v>
      </c>
      <c r="C76" s="256">
        <f>inputOth!B66</f>
        <v>3224</v>
      </c>
      <c r="D76" s="256">
        <f>inputPrYr!D24</f>
        <v>0</v>
      </c>
      <c r="E76" s="102">
        <f>E74</f>
        <v>0</v>
      </c>
      <c r="G76" s="310">
        <f>G73-G75</f>
        <v>0</v>
      </c>
      <c r="H76" s="311" t="str">
        <f>CONCATENATE("Projected ",E1+1," carryover (est.)")</f>
        <v>Projected 2021 carryover (est.)</v>
      </c>
      <c r="I76" s="474"/>
      <c r="J76" s="285"/>
    </row>
    <row r="77" spans="2:11" x14ac:dyDescent="0.2">
      <c r="B77" s="91"/>
      <c r="C77" s="1108" t="s">
        <v>570</v>
      </c>
      <c r="D77" s="1109"/>
      <c r="E77" s="34"/>
    </row>
    <row r="78" spans="2:11" x14ac:dyDescent="0.2">
      <c r="B78" s="172" t="str">
        <f>CONCATENATE(C97,"     ",D97)</f>
        <v xml:space="preserve">     </v>
      </c>
      <c r="C78" s="1110" t="s">
        <v>571</v>
      </c>
      <c r="D78" s="1111"/>
      <c r="E78" s="102">
        <f>E74+E77</f>
        <v>0</v>
      </c>
      <c r="G78" s="1093" t="s">
        <v>801</v>
      </c>
      <c r="H78" s="1094"/>
      <c r="I78" s="1094"/>
      <c r="J78" s="1095"/>
    </row>
    <row r="79" spans="2:11" x14ac:dyDescent="0.2">
      <c r="B79" s="172" t="str">
        <f>CONCATENATE(C98,"     ",D98)</f>
        <v xml:space="preserve">     </v>
      </c>
      <c r="C79" s="110"/>
      <c r="D79" s="96" t="s">
        <v>38</v>
      </c>
      <c r="E79" s="41">
        <f>IF(E78-E63&gt;0,E78-E63,0)</f>
        <v>0</v>
      </c>
      <c r="F79" s="109"/>
      <c r="G79" s="465"/>
      <c r="H79" s="456"/>
      <c r="I79" s="457"/>
      <c r="J79" s="464"/>
    </row>
    <row r="80" spans="2:11" x14ac:dyDescent="0.2">
      <c r="B80" s="96"/>
      <c r="C80" s="158" t="s">
        <v>572</v>
      </c>
      <c r="D80" s="303">
        <f>inputOth!E50</f>
        <v>0.03</v>
      </c>
      <c r="E80" s="102">
        <f>ROUND(IF(D80&gt;0,(E79*D80),0),0)</f>
        <v>0</v>
      </c>
      <c r="F80" s="386" t="str">
        <f>IF(E74/0.95-E74&lt;E77,"Exceeds 5%","")</f>
        <v/>
      </c>
      <c r="G80" s="463" t="e">
        <f>SUMM!#REF!</f>
        <v>#REF!</v>
      </c>
      <c r="H80" s="456" t="str">
        <f>CONCATENATE("",E1," Fund Mill Rate")</f>
        <v>2020 Fund Mill Rate</v>
      </c>
      <c r="I80" s="457"/>
      <c r="J80" s="464"/>
    </row>
    <row r="81" spans="2:10" ht="16.5" thickBot="1" x14ac:dyDescent="0.25">
      <c r="B81" s="16"/>
      <c r="C81" s="1106" t="str">
        <f>CONCATENATE("Amount of  ",E1-1," Ad Valorem Tax")</f>
        <v>Amount of  2019 Ad Valorem Tax</v>
      </c>
      <c r="D81" s="1107"/>
      <c r="E81" s="115">
        <f>E79+E80</f>
        <v>0</v>
      </c>
      <c r="G81" s="462" t="e">
        <f>SUMM!#REF!</f>
        <v>#REF!</v>
      </c>
      <c r="H81" s="456" t="str">
        <f>CONCATENATE("",E1-1," Fund Mill Rate")</f>
        <v>2019 Fund Mill Rate</v>
      </c>
      <c r="I81" s="457"/>
      <c r="J81" s="464"/>
    </row>
    <row r="82" spans="2:10" ht="16.5" thickTop="1" x14ac:dyDescent="0.2">
      <c r="B82" s="16"/>
      <c r="C82" s="1106"/>
      <c r="D82" s="1106"/>
      <c r="E82" s="16"/>
      <c r="G82" s="461">
        <f>SUMM!H27</f>
        <v>63.456000000000003</v>
      </c>
      <c r="H82" s="456" t="str">
        <f>CONCATENATE("Total ",E1," Mill Rate")</f>
        <v>Total 2020 Mill Rate</v>
      </c>
      <c r="I82" s="457"/>
      <c r="J82" s="464"/>
    </row>
    <row r="83" spans="2:10" x14ac:dyDescent="0.2">
      <c r="B83" s="538" t="s">
        <v>979</v>
      </c>
      <c r="C83" s="492"/>
      <c r="D83" s="492"/>
      <c r="E83" s="493"/>
      <c r="G83" s="462">
        <f>SUMM!E27</f>
        <v>63.877000000000002</v>
      </c>
      <c r="H83" s="460" t="str">
        <f>CONCATENATE("Total ",E1-1," Mill Rate")</f>
        <v>Total 2019 Mill Rate</v>
      </c>
      <c r="I83" s="459"/>
      <c r="J83" s="458"/>
    </row>
    <row r="84" spans="2:10" x14ac:dyDescent="0.2">
      <c r="B84" s="46"/>
      <c r="C84" s="159"/>
      <c r="D84" s="159"/>
      <c r="E84" s="353"/>
      <c r="F84" s="287" t="str">
        <f>IF('Library Grant '!F33="","",IF('Library Grant '!F33="Qualify","Qualifies for State Library Grant","See 'Library Grant' tab"))</f>
        <v>Qualifies for State Library Grant</v>
      </c>
    </row>
    <row r="85" spans="2:10" x14ac:dyDescent="0.2">
      <c r="B85" s="280"/>
      <c r="C85" s="494"/>
      <c r="D85" s="494"/>
      <c r="E85" s="53"/>
      <c r="G85" s="453"/>
      <c r="H85" s="451"/>
      <c r="I85" s="452"/>
      <c r="J85" s="467"/>
    </row>
    <row r="86" spans="2:10" x14ac:dyDescent="0.2">
      <c r="B86" s="16"/>
      <c r="C86" s="159"/>
      <c r="D86" s="96"/>
      <c r="E86" s="96"/>
      <c r="G86" s="450" t="str">
        <f>CONCATENATE("Computed ",E1," tax levy limit amount")</f>
        <v>Computed 2020 tax levy limit amount</v>
      </c>
      <c r="H86" s="454"/>
      <c r="I86" s="454"/>
      <c r="J86" s="449">
        <f>Comp1!J47</f>
        <v>0</v>
      </c>
    </row>
    <row r="87" spans="2:10" x14ac:dyDescent="0.2">
      <c r="B87" s="91" t="s">
        <v>40</v>
      </c>
      <c r="C87" s="404"/>
      <c r="D87" s="57"/>
      <c r="E87" s="16"/>
      <c r="G87" s="448" t="str">
        <f>CONCATENATE("Total ",E1," tax levy amount")</f>
        <v>Total 2020 tax levy amount</v>
      </c>
      <c r="H87" s="284"/>
      <c r="I87" s="284"/>
      <c r="J87" s="447">
        <f>SUMM!G27</f>
        <v>309256</v>
      </c>
    </row>
    <row r="88" spans="2:10" x14ac:dyDescent="0.2">
      <c r="B88" s="157"/>
    </row>
    <row r="89" spans="2:10" x14ac:dyDescent="0.2">
      <c r="C89" s="62"/>
    </row>
    <row r="90" spans="2:10" x14ac:dyDescent="0.2">
      <c r="B90" s="62"/>
    </row>
    <row r="94" spans="2:10" hidden="1" x14ac:dyDescent="0.2">
      <c r="C94" s="17" t="str">
        <f>IF(C35&gt;C37,"See Tab A","")</f>
        <v/>
      </c>
      <c r="D94" s="17" t="str">
        <f>IF(D35&gt;D37,"See Tab C","")</f>
        <v/>
      </c>
    </row>
    <row r="95" spans="2:10" hidden="1" x14ac:dyDescent="0.2">
      <c r="C95" s="17" t="str">
        <f>IF(C36&lt;0,"See Tab B","")</f>
        <v/>
      </c>
      <c r="D95" s="17" t="str">
        <f>IF(D36&lt;0,"See Tab D","")</f>
        <v/>
      </c>
    </row>
    <row r="96" spans="2:10" hidden="1" x14ac:dyDescent="0.2"/>
    <row r="97" spans="3:4" hidden="1" x14ac:dyDescent="0.2">
      <c r="C97" s="17" t="str">
        <f>IF(C74&gt;C76,"See Tab A","")</f>
        <v/>
      </c>
      <c r="D97" s="17" t="str">
        <f>IF(D74&gt;D76,"See Tab C","")</f>
        <v/>
      </c>
    </row>
    <row r="98" spans="3:4" hidden="1" x14ac:dyDescent="0.2">
      <c r="C98" s="17" t="str">
        <f>IF(C75&lt;0,"See Tab B","")</f>
        <v/>
      </c>
      <c r="D98" s="17" t="str">
        <f>IF(D75&lt;0,"See Tab D","")</f>
        <v/>
      </c>
    </row>
  </sheetData>
  <mergeCells count="14">
    <mergeCell ref="C82:D82"/>
    <mergeCell ref="C81:D81"/>
    <mergeCell ref="C77:D77"/>
    <mergeCell ref="C78:D78"/>
    <mergeCell ref="C38:D38"/>
    <mergeCell ref="C39:D39"/>
    <mergeCell ref="C42:D42"/>
    <mergeCell ref="C43:D43"/>
    <mergeCell ref="G78:J78"/>
    <mergeCell ref="G26:J26"/>
    <mergeCell ref="G36:J36"/>
    <mergeCell ref="G68:J68"/>
    <mergeCell ref="G19:J19"/>
    <mergeCell ref="G61:J61"/>
  </mergeCells>
  <phoneticPr fontId="9" type="noConversion"/>
  <conditionalFormatting sqref="E72">
    <cfRule type="cellIs" dxfId="72" priority="20" stopIfTrue="1" operator="greaterThan">
      <formula>$E$74*0.1</formula>
    </cfRule>
  </conditionalFormatting>
  <conditionalFormatting sqref="E77">
    <cfRule type="cellIs" dxfId="71" priority="19" stopIfTrue="1" operator="greaterThan">
      <formula>$E$74/0.95-$E$74</formula>
    </cfRule>
  </conditionalFormatting>
  <conditionalFormatting sqref="E33">
    <cfRule type="cellIs" dxfId="70" priority="18" stopIfTrue="1" operator="greaterThan">
      <formula>$E$35*0.1</formula>
    </cfRule>
  </conditionalFormatting>
  <conditionalFormatting sqref="E38">
    <cfRule type="cellIs" dxfId="69" priority="17" stopIfTrue="1" operator="greaterThan">
      <formula>$E$35/0.95-$E$35</formula>
    </cfRule>
  </conditionalFormatting>
  <conditionalFormatting sqref="C74">
    <cfRule type="cellIs" dxfId="68" priority="16" stopIfTrue="1" operator="greaterThan">
      <formula>$C$76</formula>
    </cfRule>
  </conditionalFormatting>
  <conditionalFormatting sqref="C75 C36">
    <cfRule type="cellIs" dxfId="67" priority="15" stopIfTrue="1" operator="lessThan">
      <formula>0</formula>
    </cfRule>
  </conditionalFormatting>
  <conditionalFormatting sqref="D74">
    <cfRule type="cellIs" dxfId="66" priority="14" stopIfTrue="1" operator="greaterThan">
      <formula>$D$76</formula>
    </cfRule>
  </conditionalFormatting>
  <conditionalFormatting sqref="C35">
    <cfRule type="cellIs" dxfId="65" priority="13" stopIfTrue="1" operator="greaterThan">
      <formula>$C$37</formula>
    </cfRule>
  </conditionalFormatting>
  <conditionalFormatting sqref="D35">
    <cfRule type="cellIs" dxfId="64" priority="12" stopIfTrue="1" operator="greaterThan">
      <formula>$D$37</formula>
    </cfRule>
  </conditionalFormatting>
  <conditionalFormatting sqref="C33">
    <cfRule type="cellIs" dxfId="63" priority="11" stopIfTrue="1" operator="greaterThan">
      <formula>$C$35*0.1</formula>
    </cfRule>
  </conditionalFormatting>
  <conditionalFormatting sqref="D33">
    <cfRule type="cellIs" dxfId="62" priority="10" stopIfTrue="1" operator="greaterThan">
      <formula>$D$35*0.1</formula>
    </cfRule>
  </conditionalFormatting>
  <conditionalFormatting sqref="C72">
    <cfRule type="cellIs" dxfId="61" priority="9" stopIfTrue="1" operator="greaterThan">
      <formula>$C$74*0.1</formula>
    </cfRule>
  </conditionalFormatting>
  <conditionalFormatting sqref="D72">
    <cfRule type="cellIs" dxfId="60" priority="8" stopIfTrue="1" operator="greaterThan">
      <formula>$D$74*0.1</formula>
    </cfRule>
  </conditionalFormatting>
  <conditionalFormatting sqref="D21">
    <cfRule type="cellIs" dxfId="59" priority="7" stopIfTrue="1" operator="greaterThan">
      <formula>$D$23*0.1</formula>
    </cfRule>
  </conditionalFormatting>
  <conditionalFormatting sqref="C21">
    <cfRule type="cellIs" dxfId="58" priority="6" stopIfTrue="1" operator="greaterThan">
      <formula>$C$23*0.1</formula>
    </cfRule>
  </conditionalFormatting>
  <conditionalFormatting sqref="E21">
    <cfRule type="cellIs" dxfId="57" priority="5" stopIfTrue="1" operator="greaterThan">
      <formula>$E$23*0.1+E42</formula>
    </cfRule>
  </conditionalFormatting>
  <conditionalFormatting sqref="C60">
    <cfRule type="cellIs" dxfId="56" priority="4" stopIfTrue="1" operator="greaterThan">
      <formula>$C$62*0.1</formula>
    </cfRule>
  </conditionalFormatting>
  <conditionalFormatting sqref="D60">
    <cfRule type="cellIs" dxfId="55" priority="3" stopIfTrue="1" operator="greaterThan">
      <formula>$D$62*0.1</formula>
    </cfRule>
  </conditionalFormatting>
  <conditionalFormatting sqref="E60">
    <cfRule type="cellIs" dxfId="54" priority="2" stopIfTrue="1" operator="greaterThan">
      <formula>$E$62*0.1+E81</formula>
    </cfRule>
  </conditionalFormatting>
  <conditionalFormatting sqref="D75 D36">
    <cfRule type="cellIs" dxfId="53" priority="1" stopIfTrue="1" operator="lessThan">
      <formula>0</formula>
    </cfRule>
  </conditionalFormatting>
  <pageMargins left="0.75" right="0.75" top="1" bottom="1" header="0.5" footer="0.5"/>
  <pageSetup scale="49" orientation="portrait" blackAndWhite="1" r:id="rId1"/>
  <headerFooter alignWithMargins="0">
    <oddHeader>&amp;RState of Kansas
City</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B1:E57"/>
  <sheetViews>
    <sheetView topLeftCell="A34" workbookViewId="0">
      <selection activeCell="A36" sqref="A36:XFD36"/>
    </sheetView>
  </sheetViews>
  <sheetFormatPr defaultColWidth="8.88671875" defaultRowHeight="15.75" x14ac:dyDescent="0.2"/>
  <cols>
    <col min="1" max="1" width="2.44140625" style="624" customWidth="1"/>
    <col min="2" max="2" width="31.109375" style="624" customWidth="1"/>
    <col min="3" max="4" width="15.77734375" style="624" customWidth="1"/>
    <col min="5" max="5" width="16.21875" style="624" customWidth="1"/>
    <col min="6" max="16384" width="8.88671875" style="624"/>
  </cols>
  <sheetData>
    <row r="1" spans="2:5" x14ac:dyDescent="0.2">
      <c r="B1" s="626" t="str">
        <f>(inputPrYr!D3)</f>
        <v>UNIFIED GREELEY COUNTY - MUNICIPAL SERVICE DISTRICT</v>
      </c>
      <c r="C1" s="540"/>
      <c r="D1" s="540"/>
      <c r="E1" s="693">
        <f>inputPrYr!C6</f>
        <v>2020</v>
      </c>
    </row>
    <row r="2" spans="2:5" x14ac:dyDescent="0.2">
      <c r="B2" s="540"/>
      <c r="C2" s="540"/>
      <c r="D2" s="540"/>
      <c r="E2" s="606"/>
    </row>
    <row r="3" spans="2:5" x14ac:dyDescent="0.2">
      <c r="B3" s="703" t="s">
        <v>87</v>
      </c>
      <c r="C3" s="605"/>
      <c r="D3" s="605"/>
      <c r="E3" s="605"/>
    </row>
    <row r="4" spans="2:5" x14ac:dyDescent="0.2">
      <c r="B4" s="552" t="s">
        <v>23</v>
      </c>
      <c r="C4" s="705" t="s">
        <v>740</v>
      </c>
      <c r="D4" s="706" t="s">
        <v>741</v>
      </c>
      <c r="E4" s="551" t="s">
        <v>742</v>
      </c>
    </row>
    <row r="5" spans="2:5" x14ac:dyDescent="0.2">
      <c r="B5" s="707" t="str">
        <f>(inputPrYr!B39)</f>
        <v>Special Street Construction</v>
      </c>
      <c r="C5" s="708" t="str">
        <f>CONCATENATE("Actual for ",E1-2,"")</f>
        <v>Actual for 2018</v>
      </c>
      <c r="D5" s="708" t="str">
        <f>CONCATENATE("Estimate for ",E1-1,"")</f>
        <v>Estimate for 2019</v>
      </c>
      <c r="E5" s="709" t="str">
        <f>CONCATENATE("Year for ",E1,"")</f>
        <v>Year for 2020</v>
      </c>
    </row>
    <row r="6" spans="2:5" x14ac:dyDescent="0.2">
      <c r="B6" s="710" t="s">
        <v>125</v>
      </c>
      <c r="C6" s="717">
        <v>63614</v>
      </c>
      <c r="D6" s="671">
        <f>C24</f>
        <v>64936</v>
      </c>
      <c r="E6" s="671">
        <f>D24</f>
        <v>59213</v>
      </c>
    </row>
    <row r="7" spans="2:5" x14ac:dyDescent="0.2">
      <c r="B7" s="713" t="s">
        <v>127</v>
      </c>
      <c r="C7" s="574"/>
      <c r="D7" s="574"/>
      <c r="E7" s="574"/>
    </row>
    <row r="8" spans="2:5" x14ac:dyDescent="0.2">
      <c r="B8" s="732" t="s">
        <v>1091</v>
      </c>
      <c r="C8" s="717">
        <v>20833</v>
      </c>
      <c r="D8" s="717">
        <v>20590</v>
      </c>
      <c r="E8" s="717">
        <v>20620</v>
      </c>
    </row>
    <row r="9" spans="2:5" x14ac:dyDescent="0.2">
      <c r="B9" s="732"/>
      <c r="C9" s="717"/>
      <c r="D9" s="717"/>
      <c r="E9" s="717"/>
    </row>
    <row r="10" spans="2:5" x14ac:dyDescent="0.2">
      <c r="B10" s="720" t="s">
        <v>29</v>
      </c>
      <c r="C10" s="717"/>
      <c r="D10" s="717"/>
      <c r="E10" s="717"/>
    </row>
    <row r="11" spans="2:5" x14ac:dyDescent="0.2">
      <c r="B11" s="575" t="s">
        <v>226</v>
      </c>
      <c r="C11" s="717"/>
      <c r="D11" s="723"/>
      <c r="E11" s="723"/>
    </row>
    <row r="12" spans="2:5" x14ac:dyDescent="0.2">
      <c r="B12" s="710" t="s">
        <v>728</v>
      </c>
      <c r="C12" s="798" t="str">
        <f>IF(C13*0.1&lt;C11,"Exceed 10% Rule","")</f>
        <v/>
      </c>
      <c r="D12" s="761" t="str">
        <f>IF(D13*0.1&lt;D11,"Exceed 10% Rule","")</f>
        <v/>
      </c>
      <c r="E12" s="761" t="str">
        <f>IF(E13*0.1&lt;E11,"Exceed 10% Rule","")</f>
        <v/>
      </c>
    </row>
    <row r="13" spans="2:5" x14ac:dyDescent="0.2">
      <c r="B13" s="727" t="s">
        <v>30</v>
      </c>
      <c r="C13" s="799">
        <f>SUM(C8:C11)</f>
        <v>20833</v>
      </c>
      <c r="D13" s="799">
        <f>SUM(D8:D11)</f>
        <v>20590</v>
      </c>
      <c r="E13" s="799">
        <f>SUM(E8:E11)</f>
        <v>20620</v>
      </c>
    </row>
    <row r="14" spans="2:5" x14ac:dyDescent="0.2">
      <c r="B14" s="727" t="s">
        <v>31</v>
      </c>
      <c r="C14" s="799">
        <f>C6+C13</f>
        <v>84447</v>
      </c>
      <c r="D14" s="799">
        <f>D6+D13</f>
        <v>85526</v>
      </c>
      <c r="E14" s="799">
        <f>E6+E13</f>
        <v>79833</v>
      </c>
    </row>
    <row r="15" spans="2:5" x14ac:dyDescent="0.2">
      <c r="B15" s="559" t="s">
        <v>33</v>
      </c>
      <c r="C15" s="671"/>
      <c r="D15" s="671"/>
      <c r="E15" s="671"/>
    </row>
    <row r="16" spans="2:5" x14ac:dyDescent="0.2">
      <c r="B16" s="732" t="s">
        <v>1092</v>
      </c>
      <c r="C16" s="717">
        <v>15819</v>
      </c>
      <c r="D16" s="717">
        <v>14313</v>
      </c>
      <c r="E16" s="717">
        <v>20000</v>
      </c>
    </row>
    <row r="17" spans="2:5" x14ac:dyDescent="0.25">
      <c r="B17" s="911" t="s">
        <v>34</v>
      </c>
      <c r="C17" s="717"/>
      <c r="D17" s="717">
        <v>2000</v>
      </c>
      <c r="E17" s="717">
        <v>10000</v>
      </c>
    </row>
    <row r="18" spans="2:5" x14ac:dyDescent="0.25">
      <c r="B18" s="911" t="s">
        <v>35</v>
      </c>
      <c r="C18" s="717">
        <v>3692</v>
      </c>
      <c r="D18" s="717">
        <v>7500</v>
      </c>
      <c r="E18" s="717">
        <v>15000</v>
      </c>
    </row>
    <row r="19" spans="2:5" x14ac:dyDescent="0.2">
      <c r="B19" s="732" t="s">
        <v>36</v>
      </c>
      <c r="C19" s="717"/>
      <c r="D19" s="717">
        <v>2500</v>
      </c>
      <c r="E19" s="717">
        <v>34833</v>
      </c>
    </row>
    <row r="20" spans="2:5" x14ac:dyDescent="0.2">
      <c r="B20" s="721" t="str">
        <f>CONCATENATE("Cash Forward (",E1," column)")</f>
        <v>Cash Forward (2020 column)</v>
      </c>
      <c r="C20" s="717"/>
      <c r="D20" s="717"/>
      <c r="E20" s="717"/>
    </row>
    <row r="21" spans="2:5" x14ac:dyDescent="0.2">
      <c r="B21" s="721" t="s">
        <v>226</v>
      </c>
      <c r="C21" s="717"/>
      <c r="D21" s="723"/>
      <c r="E21" s="723"/>
    </row>
    <row r="22" spans="2:5" x14ac:dyDescent="0.2">
      <c r="B22" s="721" t="s">
        <v>729</v>
      </c>
      <c r="C22" s="798" t="str">
        <f>IF(C23*0.1&lt;C21,"Exceed 10% Rule","")</f>
        <v/>
      </c>
      <c r="D22" s="761" t="str">
        <f>IF(D23*0.1&lt;D21,"Exceed 10% Rule","")</f>
        <v/>
      </c>
      <c r="E22" s="761" t="str">
        <f>IF(E23*0.1&lt;E21,"Exceed 10% Rule","")</f>
        <v/>
      </c>
    </row>
    <row r="23" spans="2:5" x14ac:dyDescent="0.2">
      <c r="B23" s="727" t="s">
        <v>37</v>
      </c>
      <c r="C23" s="799">
        <f>SUM(C16:C21)</f>
        <v>19511</v>
      </c>
      <c r="D23" s="799">
        <f>SUM(D16:D21)</f>
        <v>26313</v>
      </c>
      <c r="E23" s="799">
        <f>SUM(E16:E21)</f>
        <v>79833</v>
      </c>
    </row>
    <row r="24" spans="2:5" x14ac:dyDescent="0.2">
      <c r="B24" s="559" t="s">
        <v>126</v>
      </c>
      <c r="C24" s="671">
        <f>C14-C23</f>
        <v>64936</v>
      </c>
      <c r="D24" s="671">
        <f>D14-D23</f>
        <v>59213</v>
      </c>
      <c r="E24" s="671">
        <f>E14-E23</f>
        <v>0</v>
      </c>
    </row>
    <row r="25" spans="2:5" x14ac:dyDescent="0.2">
      <c r="B25" s="609" t="str">
        <f>CONCATENATE("",E1-2,"/",E1-1,"/",E1," Budget Authority Amount:")</f>
        <v>2018/2019/2020 Budget Authority Amount:</v>
      </c>
      <c r="C25" s="572">
        <f>inputOth!B65</f>
        <v>78791</v>
      </c>
      <c r="D25" s="572">
        <f>inputPrYr!D39</f>
        <v>78418</v>
      </c>
      <c r="E25" s="671">
        <f>E23</f>
        <v>79833</v>
      </c>
    </row>
    <row r="26" spans="2:5" x14ac:dyDescent="0.2">
      <c r="B26" s="543"/>
      <c r="C26" s="774" t="str">
        <f>IF(C23&gt;C25,"See Tab A","")</f>
        <v/>
      </c>
      <c r="D26" s="774" t="str">
        <f>IF(D23&gt;D25,"See Tab C","")</f>
        <v/>
      </c>
      <c r="E26" s="800" t="str">
        <f>IF(E24&lt;0,"See Tab E","")</f>
        <v/>
      </c>
    </row>
    <row r="27" spans="2:5" x14ac:dyDescent="0.2">
      <c r="B27" s="540"/>
      <c r="C27" s="801"/>
      <c r="D27" s="801"/>
      <c r="E27" s="801"/>
    </row>
    <row r="28" spans="2:5" x14ac:dyDescent="0.2">
      <c r="B28" s="552" t="s">
        <v>23</v>
      </c>
      <c r="C28" s="802"/>
      <c r="D28" s="802"/>
      <c r="E28" s="802"/>
    </row>
    <row r="29" spans="2:5" x14ac:dyDescent="0.2">
      <c r="B29" s="540"/>
      <c r="C29" s="803" t="str">
        <f t="shared" ref="C29:E30" si="0">C4</f>
        <v xml:space="preserve">Prior Year </v>
      </c>
      <c r="D29" s="551" t="str">
        <f t="shared" si="0"/>
        <v>Current Year</v>
      </c>
      <c r="E29" s="551" t="str">
        <f t="shared" si="0"/>
        <v>Proposed Budget</v>
      </c>
    </row>
    <row r="30" spans="2:5" x14ac:dyDescent="0.2">
      <c r="B30" s="804" t="str">
        <f>(inputPrYr!B40)</f>
        <v>Special Parks &amp; Recreation</v>
      </c>
      <c r="C30" s="709" t="str">
        <f t="shared" si="0"/>
        <v>Actual for 2018</v>
      </c>
      <c r="D30" s="709" t="str">
        <f t="shared" si="0"/>
        <v>Estimate for 2019</v>
      </c>
      <c r="E30" s="709" t="str">
        <f t="shared" si="0"/>
        <v>Year for 2020</v>
      </c>
    </row>
    <row r="31" spans="2:5" x14ac:dyDescent="0.2">
      <c r="B31" s="710" t="s">
        <v>125</v>
      </c>
      <c r="C31" s="717">
        <v>5189</v>
      </c>
      <c r="D31" s="671">
        <f>C50</f>
        <v>7639</v>
      </c>
      <c r="E31" s="671">
        <f>D50</f>
        <v>5139</v>
      </c>
    </row>
    <row r="32" spans="2:5" x14ac:dyDescent="0.2">
      <c r="B32" s="710" t="s">
        <v>127</v>
      </c>
      <c r="C32" s="574"/>
      <c r="D32" s="574"/>
      <c r="E32" s="574"/>
    </row>
    <row r="33" spans="2:5" x14ac:dyDescent="0.2">
      <c r="B33" s="732" t="s">
        <v>1093</v>
      </c>
      <c r="C33" s="717">
        <v>2450</v>
      </c>
      <c r="D33" s="717">
        <v>1500</v>
      </c>
      <c r="E33" s="717">
        <v>2283</v>
      </c>
    </row>
    <row r="34" spans="2:5" x14ac:dyDescent="0.2">
      <c r="B34" s="732" t="s">
        <v>1094</v>
      </c>
      <c r="C34" s="717"/>
      <c r="D34" s="717"/>
      <c r="E34" s="717"/>
    </row>
    <row r="35" spans="2:5" x14ac:dyDescent="0.2">
      <c r="B35" s="732"/>
      <c r="C35" s="717"/>
      <c r="D35" s="717"/>
      <c r="E35" s="717"/>
    </row>
    <row r="36" spans="2:5" x14ac:dyDescent="0.2">
      <c r="B36" s="720" t="s">
        <v>29</v>
      </c>
      <c r="C36" s="717"/>
      <c r="D36" s="717"/>
      <c r="E36" s="717"/>
    </row>
    <row r="37" spans="2:5" x14ac:dyDescent="0.2">
      <c r="B37" s="575" t="s">
        <v>226</v>
      </c>
      <c r="C37" s="717"/>
      <c r="D37" s="717"/>
      <c r="E37" s="717"/>
    </row>
    <row r="38" spans="2:5" x14ac:dyDescent="0.2">
      <c r="B38" s="710" t="s">
        <v>728</v>
      </c>
      <c r="C38" s="798" t="str">
        <f>IF(C39*0.1&lt;C37,"Exceed 10% Rule","")</f>
        <v/>
      </c>
      <c r="D38" s="761" t="str">
        <f>IF(D39*0.1&lt;D37,"Exceed 10% Rule","")</f>
        <v/>
      </c>
      <c r="E38" s="761" t="str">
        <f>IF(E39*0.1&lt;E37,"Exceed 10% Rule","")</f>
        <v/>
      </c>
    </row>
    <row r="39" spans="2:5" x14ac:dyDescent="0.2">
      <c r="B39" s="727" t="s">
        <v>30</v>
      </c>
      <c r="C39" s="799">
        <f>SUM(C33:C37)</f>
        <v>2450</v>
      </c>
      <c r="D39" s="799">
        <f>SUM(D33:D37)</f>
        <v>1500</v>
      </c>
      <c r="E39" s="799">
        <f>SUM(E33:E37)</f>
        <v>2283</v>
      </c>
    </row>
    <row r="40" spans="2:5" x14ac:dyDescent="0.2">
      <c r="B40" s="727" t="s">
        <v>31</v>
      </c>
      <c r="C40" s="799">
        <f>C31+C39</f>
        <v>7639</v>
      </c>
      <c r="D40" s="799">
        <f>D31+D39</f>
        <v>9139</v>
      </c>
      <c r="E40" s="799">
        <f>E31+E39</f>
        <v>7422</v>
      </c>
    </row>
    <row r="41" spans="2:5" x14ac:dyDescent="0.2">
      <c r="B41" s="559" t="s">
        <v>33</v>
      </c>
      <c r="C41" s="671"/>
      <c r="D41" s="671"/>
      <c r="E41" s="671"/>
    </row>
    <row r="42" spans="2:5" x14ac:dyDescent="0.2">
      <c r="B42" s="912" t="s">
        <v>1095</v>
      </c>
      <c r="C42" s="717">
        <v>0</v>
      </c>
      <c r="D42" s="717">
        <v>1000</v>
      </c>
      <c r="E42" s="717">
        <v>3000</v>
      </c>
    </row>
    <row r="43" spans="2:5" x14ac:dyDescent="0.25">
      <c r="B43" s="913" t="s">
        <v>1096</v>
      </c>
      <c r="C43" s="717"/>
      <c r="D43" s="717">
        <v>2000</v>
      </c>
      <c r="E43" s="717">
        <v>3000</v>
      </c>
    </row>
    <row r="44" spans="2:5" x14ac:dyDescent="0.25">
      <c r="B44" s="913" t="s">
        <v>1097</v>
      </c>
      <c r="C44" s="717"/>
      <c r="D44" s="717">
        <v>1000</v>
      </c>
      <c r="E44" s="717">
        <v>1422</v>
      </c>
    </row>
    <row r="45" spans="2:5" x14ac:dyDescent="0.2">
      <c r="B45" s="732"/>
      <c r="C45" s="717"/>
      <c r="D45" s="717"/>
      <c r="E45" s="717"/>
    </row>
    <row r="46" spans="2:5" x14ac:dyDescent="0.2">
      <c r="B46" s="721" t="str">
        <f>CONCATENATE("Cash Forward (",E1," column)")</f>
        <v>Cash Forward (2020 column)</v>
      </c>
      <c r="C46" s="717"/>
      <c r="D46" s="717"/>
      <c r="E46" s="717"/>
    </row>
    <row r="47" spans="2:5" x14ac:dyDescent="0.2">
      <c r="B47" s="721" t="s">
        <v>226</v>
      </c>
      <c r="C47" s="717"/>
      <c r="D47" s="723"/>
      <c r="E47" s="723"/>
    </row>
    <row r="48" spans="2:5" x14ac:dyDescent="0.2">
      <c r="B48" s="721" t="s">
        <v>729</v>
      </c>
      <c r="C48" s="798" t="str">
        <f>IF(C49*0.1&lt;C47,"Exceed 10% Rule","")</f>
        <v/>
      </c>
      <c r="D48" s="761" t="str">
        <f>IF(D49*0.1&lt;D47,"Exceed 10% Rule","")</f>
        <v/>
      </c>
      <c r="E48" s="761" t="str">
        <f>IF(E49*0.1&lt;E47,"Exceed 10% Rule","")</f>
        <v/>
      </c>
    </row>
    <row r="49" spans="2:5" x14ac:dyDescent="0.2">
      <c r="B49" s="727" t="s">
        <v>37</v>
      </c>
      <c r="C49" s="799">
        <f>SUM(C42:C47)</f>
        <v>0</v>
      </c>
      <c r="D49" s="799">
        <f>SUM(D42:D47)</f>
        <v>4000</v>
      </c>
      <c r="E49" s="799">
        <f>SUM(E42:E47)</f>
        <v>7422</v>
      </c>
    </row>
    <row r="50" spans="2:5" x14ac:dyDescent="0.2">
      <c r="B50" s="559" t="s">
        <v>126</v>
      </c>
      <c r="C50" s="671">
        <f>C40-C49</f>
        <v>7639</v>
      </c>
      <c r="D50" s="671">
        <f>D40-D49</f>
        <v>5139</v>
      </c>
      <c r="E50" s="671">
        <f>E40-E49</f>
        <v>0</v>
      </c>
    </row>
    <row r="51" spans="2:5" x14ac:dyDescent="0.2">
      <c r="B51" s="609" t="str">
        <f>CONCATENATE("",E1-2,"/",E1-1,"/",E1," Budget Authority Amount:")</f>
        <v>2018/2019/2020 Budget Authority Amount:</v>
      </c>
      <c r="C51" s="572">
        <f>inputOth!B66</f>
        <v>3224</v>
      </c>
      <c r="D51" s="572">
        <f>inputPrYr!D40</f>
        <v>5189</v>
      </c>
      <c r="E51" s="805">
        <f>E49</f>
        <v>7422</v>
      </c>
    </row>
    <row r="52" spans="2:5" x14ac:dyDescent="0.2">
      <c r="B52" s="543"/>
      <c r="C52" s="774" t="str">
        <f>IF(C49&gt;C51,"See Tab A","")</f>
        <v/>
      </c>
      <c r="D52" s="774" t="str">
        <f>IF(D49&gt;D51,"See Tab C","")</f>
        <v/>
      </c>
      <c r="E52" s="800" t="str">
        <f>IF(E50&lt;0,"See Tab E","")</f>
        <v/>
      </c>
    </row>
    <row r="53" spans="2:5" x14ac:dyDescent="0.2">
      <c r="B53" s="806" t="s">
        <v>979</v>
      </c>
      <c r="C53" s="807" t="str">
        <f>IF(C50&lt;0,"See Tab B","")</f>
        <v/>
      </c>
      <c r="D53" s="807" t="str">
        <f>IF(D50&lt;0,"See Tab D","")</f>
        <v/>
      </c>
      <c r="E53" s="808"/>
    </row>
    <row r="54" spans="2:5" x14ac:dyDescent="0.2">
      <c r="B54" s="809"/>
      <c r="C54" s="810"/>
      <c r="D54" s="810"/>
      <c r="E54" s="811"/>
    </row>
    <row r="55" spans="2:5" x14ac:dyDescent="0.2">
      <c r="B55" s="812"/>
      <c r="C55" s="813"/>
      <c r="D55" s="813"/>
      <c r="E55" s="577"/>
    </row>
    <row r="56" spans="2:5" x14ac:dyDescent="0.2">
      <c r="B56" s="540"/>
      <c r="C56" s="540"/>
      <c r="D56" s="540"/>
      <c r="E56" s="540"/>
    </row>
    <row r="57" spans="2:5" x14ac:dyDescent="0.2">
      <c r="B57" s="543" t="s">
        <v>40</v>
      </c>
      <c r="C57" s="814">
        <v>8</v>
      </c>
      <c r="D57" s="540"/>
      <c r="E57" s="540"/>
    </row>
  </sheetData>
  <phoneticPr fontId="0" type="noConversion"/>
  <conditionalFormatting sqref="C11">
    <cfRule type="cellIs" dxfId="52" priority="5" stopIfTrue="1" operator="greaterThan">
      <formula>$C$13*0.1</formula>
    </cfRule>
  </conditionalFormatting>
  <conditionalFormatting sqref="D11">
    <cfRule type="cellIs" dxfId="51" priority="6" stopIfTrue="1" operator="greaterThan">
      <formula>$D$13*0.1</formula>
    </cfRule>
  </conditionalFormatting>
  <conditionalFormatting sqref="E11">
    <cfRule type="cellIs" dxfId="50" priority="7" stopIfTrue="1" operator="greaterThan">
      <formula>$E$13*0.1</formula>
    </cfRule>
  </conditionalFormatting>
  <conditionalFormatting sqref="C21">
    <cfRule type="cellIs" dxfId="49" priority="8" stopIfTrue="1" operator="greaterThan">
      <formula>$C$23*0.1</formula>
    </cfRule>
  </conditionalFormatting>
  <conditionalFormatting sqref="D21">
    <cfRule type="cellIs" dxfId="48" priority="9" stopIfTrue="1" operator="greaterThan">
      <formula>$D$23*0.1</formula>
    </cfRule>
  </conditionalFormatting>
  <conditionalFormatting sqref="E21">
    <cfRule type="cellIs" dxfId="47" priority="10" stopIfTrue="1" operator="greaterThan">
      <formula>$E$23*0.1</formula>
    </cfRule>
  </conditionalFormatting>
  <conditionalFormatting sqref="C37">
    <cfRule type="cellIs" dxfId="46" priority="11" stopIfTrue="1" operator="greaterThan">
      <formula>$C$39*0.1</formula>
    </cfRule>
  </conditionalFormatting>
  <conditionalFormatting sqref="D37">
    <cfRule type="cellIs" dxfId="45" priority="12" stopIfTrue="1" operator="greaterThan">
      <formula>$D$39*0.1</formula>
    </cfRule>
  </conditionalFormatting>
  <conditionalFormatting sqref="E37">
    <cfRule type="cellIs" dxfId="44" priority="13" stopIfTrue="1" operator="greaterThan">
      <formula>$E$39*0.1</formula>
    </cfRule>
  </conditionalFormatting>
  <conditionalFormatting sqref="C47">
    <cfRule type="cellIs" dxfId="43" priority="14" stopIfTrue="1" operator="greaterThan">
      <formula>$C$49*0.1</formula>
    </cfRule>
  </conditionalFormatting>
  <conditionalFormatting sqref="D47">
    <cfRule type="cellIs" dxfId="42" priority="15" stopIfTrue="1" operator="greaterThan">
      <formula>$D$49*0.1</formula>
    </cfRule>
  </conditionalFormatting>
  <conditionalFormatting sqref="E47">
    <cfRule type="cellIs" dxfId="41" priority="16" stopIfTrue="1" operator="greaterThan">
      <formula>$E$49*0.1</formula>
    </cfRule>
  </conditionalFormatting>
  <conditionalFormatting sqref="E50 C50 E24 C24">
    <cfRule type="cellIs" dxfId="40" priority="17" stopIfTrue="1" operator="lessThan">
      <formula>0</formula>
    </cfRule>
  </conditionalFormatting>
  <conditionalFormatting sqref="D49">
    <cfRule type="cellIs" dxfId="39" priority="18" stopIfTrue="1" operator="greaterThan">
      <formula>$D$51</formula>
    </cfRule>
  </conditionalFormatting>
  <conditionalFormatting sqref="C49">
    <cfRule type="cellIs" dxfId="38" priority="19" stopIfTrue="1" operator="greaterThan">
      <formula>$C$51</formula>
    </cfRule>
  </conditionalFormatting>
  <conditionalFormatting sqref="D23">
    <cfRule type="cellIs" dxfId="37" priority="20" stopIfTrue="1" operator="greaterThan">
      <formula>$D$25</formula>
    </cfRule>
  </conditionalFormatting>
  <conditionalFormatting sqref="C23">
    <cfRule type="cellIs" dxfId="36" priority="21" stopIfTrue="1" operator="greaterThan">
      <formula>$C$25</formula>
    </cfRule>
  </conditionalFormatting>
  <conditionalFormatting sqref="D50">
    <cfRule type="cellIs" dxfId="35" priority="4" stopIfTrue="1" operator="lessThan">
      <formula>0</formula>
    </cfRule>
  </conditionalFormatting>
  <conditionalFormatting sqref="D24">
    <cfRule type="cellIs" dxfId="34" priority="3" stopIfTrue="1" operator="lessThan">
      <formula>0</formula>
    </cfRule>
  </conditionalFormatting>
  <conditionalFormatting sqref="E25">
    <cfRule type="cellIs" dxfId="33" priority="2" stopIfTrue="1" operator="lessThan">
      <formula>0</formula>
    </cfRule>
  </conditionalFormatting>
  <conditionalFormatting sqref="E51">
    <cfRule type="cellIs" dxfId="32" priority="1" stopIfTrue="1" operator="lessThan">
      <formula>0</formula>
    </cfRule>
  </conditionalFormatting>
  <pageMargins left="0.5" right="0.5" top="1" bottom="0.5" header="0.5" footer="0.5"/>
  <pageSetup scale="77" orientation="portrait" blackAndWhite="1"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98"/>
  <sheetViews>
    <sheetView zoomScale="90" zoomScaleNormal="90" workbookViewId="0">
      <selection activeCell="C3" sqref="C3"/>
    </sheetView>
  </sheetViews>
  <sheetFormatPr defaultColWidth="8.88671875" defaultRowHeight="15.75" x14ac:dyDescent="0.2"/>
  <cols>
    <col min="1" max="1" width="15.77734375" style="17" customWidth="1"/>
    <col min="2" max="2" width="21.109375" style="17" customWidth="1"/>
    <col min="3" max="3" width="9.77734375" style="17" customWidth="1"/>
    <col min="4" max="4" width="15.109375" style="17" customWidth="1"/>
    <col min="5" max="5" width="15.77734375" style="17" customWidth="1"/>
    <col min="6" max="6" width="1.88671875" style="17" customWidth="1"/>
    <col min="7" max="7" width="18.6640625" style="17" customWidth="1"/>
    <col min="8" max="16384" width="8.88671875" style="17"/>
  </cols>
  <sheetData>
    <row r="1" spans="1:8" x14ac:dyDescent="0.2">
      <c r="A1" s="1022" t="s">
        <v>940</v>
      </c>
      <c r="B1" s="1023"/>
      <c r="C1" s="1023"/>
      <c r="D1" s="1023"/>
      <c r="E1" s="1023"/>
    </row>
    <row r="2" spans="1:8" x14ac:dyDescent="0.2">
      <c r="A2" s="15"/>
      <c r="B2" s="16"/>
      <c r="C2" s="16"/>
      <c r="D2" s="16"/>
      <c r="E2" s="16"/>
    </row>
    <row r="3" spans="1:8" x14ac:dyDescent="0.2">
      <c r="A3" s="431" t="s">
        <v>941</v>
      </c>
      <c r="B3" s="16"/>
      <c r="C3" s="16"/>
      <c r="D3" s="399" t="s">
        <v>1053</v>
      </c>
      <c r="E3" s="400"/>
    </row>
    <row r="4" spans="1:8" x14ac:dyDescent="0.2">
      <c r="A4" s="431" t="s">
        <v>942</v>
      </c>
      <c r="B4" s="16"/>
      <c r="C4" s="16"/>
      <c r="D4" s="399" t="s">
        <v>1054</v>
      </c>
      <c r="E4" s="400"/>
    </row>
    <row r="5" spans="1:8" x14ac:dyDescent="0.2">
      <c r="A5" s="432"/>
      <c r="B5" s="16"/>
      <c r="C5" s="16"/>
      <c r="D5" s="20"/>
      <c r="E5" s="16"/>
    </row>
    <row r="6" spans="1:8" x14ac:dyDescent="0.2">
      <c r="A6" s="431" t="s">
        <v>943</v>
      </c>
      <c r="B6" s="16"/>
      <c r="C6" s="21">
        <v>2020</v>
      </c>
      <c r="D6" s="20"/>
      <c r="E6" s="16"/>
    </row>
    <row r="7" spans="1:8" x14ac:dyDescent="0.2">
      <c r="A7" s="431"/>
      <c r="B7" s="16"/>
      <c r="C7" s="16"/>
      <c r="D7" s="20"/>
      <c r="E7" s="16"/>
    </row>
    <row r="8" spans="1:8" x14ac:dyDescent="0.2">
      <c r="A8" s="431" t="s">
        <v>982</v>
      </c>
      <c r="B8" s="16"/>
      <c r="C8" s="495">
        <v>1.4999999999999999E-2</v>
      </c>
      <c r="D8" s="20"/>
      <c r="E8" s="16"/>
    </row>
    <row r="9" spans="1:8" x14ac:dyDescent="0.2">
      <c r="A9" s="431"/>
      <c r="B9" s="16"/>
      <c r="C9" s="16"/>
      <c r="D9" s="20"/>
      <c r="E9" s="16"/>
    </row>
    <row r="10" spans="1:8" x14ac:dyDescent="0.2">
      <c r="A10" s="431" t="s">
        <v>983</v>
      </c>
      <c r="B10" s="16"/>
      <c r="C10" s="495">
        <v>2.5000000000000001E-2</v>
      </c>
      <c r="D10" s="20"/>
      <c r="E10" s="16"/>
    </row>
    <row r="11" spans="1:8" x14ac:dyDescent="0.2">
      <c r="A11" s="16"/>
      <c r="B11" s="16"/>
      <c r="C11" s="16"/>
      <c r="D11" s="16"/>
      <c r="E11" s="16"/>
    </row>
    <row r="12" spans="1:8" x14ac:dyDescent="0.2">
      <c r="A12" s="1024" t="s">
        <v>944</v>
      </c>
      <c r="B12" s="1024"/>
      <c r="C12" s="1024"/>
      <c r="D12" s="1024"/>
      <c r="E12" s="1024"/>
    </row>
    <row r="13" spans="1:8" ht="15.75" customHeight="1" x14ac:dyDescent="0.2">
      <c r="A13" s="1024"/>
      <c r="B13" s="1024"/>
      <c r="C13" s="1024"/>
      <c r="D13" s="1024"/>
      <c r="E13" s="1024"/>
      <c r="F13" s="279"/>
      <c r="G13" s="1025" t="s">
        <v>946</v>
      </c>
      <c r="H13" s="1026"/>
    </row>
    <row r="14" spans="1:8" x14ac:dyDescent="0.2">
      <c r="A14" s="1024"/>
      <c r="B14" s="1024"/>
      <c r="C14" s="1024"/>
      <c r="D14" s="1024"/>
      <c r="E14" s="1024"/>
      <c r="F14" s="279"/>
      <c r="G14" s="1027"/>
      <c r="H14" s="1028"/>
    </row>
    <row r="15" spans="1:8" x14ac:dyDescent="0.2">
      <c r="A15" s="1020" t="s">
        <v>945</v>
      </c>
      <c r="B15" s="1021"/>
      <c r="C15" s="1021"/>
      <c r="D15" s="1021"/>
      <c r="E15" s="1021"/>
      <c r="F15" s="279"/>
      <c r="G15" s="1027"/>
      <c r="H15" s="1028"/>
    </row>
    <row r="16" spans="1:8" x14ac:dyDescent="0.2">
      <c r="A16" s="23"/>
      <c r="B16" s="23"/>
      <c r="C16" s="23"/>
      <c r="D16" s="23"/>
      <c r="E16" s="23"/>
      <c r="F16" s="279"/>
      <c r="G16" s="1027"/>
      <c r="H16" s="1028"/>
    </row>
    <row r="17" spans="1:8" x14ac:dyDescent="0.2">
      <c r="A17" s="437" t="s">
        <v>206</v>
      </c>
      <c r="B17" s="436"/>
      <c r="C17" s="16"/>
      <c r="D17" s="16"/>
      <c r="E17" s="16"/>
      <c r="F17" s="279"/>
      <c r="G17" s="1027"/>
      <c r="H17" s="1028"/>
    </row>
    <row r="18" spans="1:8" x14ac:dyDescent="0.2">
      <c r="A18" s="435" t="str">
        <f>CONCATENATE("the ",C6-1," Budget, Certificate Page:")</f>
        <v>the 2019 Budget, Certificate Page:</v>
      </c>
      <c r="B18" s="434"/>
      <c r="C18" s="24"/>
      <c r="D18" s="16"/>
      <c r="E18" s="16"/>
      <c r="F18" s="279"/>
      <c r="G18" s="1027"/>
      <c r="H18" s="1028"/>
    </row>
    <row r="19" spans="1:8" x14ac:dyDescent="0.2">
      <c r="A19" s="433" t="s">
        <v>300</v>
      </c>
      <c r="B19" s="409"/>
      <c r="C19" s="24"/>
      <c r="D19" s="16"/>
      <c r="E19" s="16"/>
      <c r="F19" s="279"/>
      <c r="G19" s="1029"/>
      <c r="H19" s="1030"/>
    </row>
    <row r="20" spans="1:8" x14ac:dyDescent="0.2">
      <c r="A20" s="25"/>
      <c r="B20" s="16"/>
      <c r="C20" s="16"/>
      <c r="D20" s="26">
        <f>C6-1</f>
        <v>2019</v>
      </c>
      <c r="E20" s="27">
        <f>$C$6-2</f>
        <v>2018</v>
      </c>
      <c r="F20" s="439"/>
      <c r="G20" s="282" t="s">
        <v>737</v>
      </c>
      <c r="H20" s="94" t="s">
        <v>39</v>
      </c>
    </row>
    <row r="21" spans="1:8" x14ac:dyDescent="0.2">
      <c r="A21" s="19" t="s">
        <v>285</v>
      </c>
      <c r="B21" s="16"/>
      <c r="C21" s="28" t="s">
        <v>286</v>
      </c>
      <c r="D21" s="29" t="s">
        <v>299</v>
      </c>
      <c r="E21" s="30" t="s">
        <v>282</v>
      </c>
      <c r="F21" s="439"/>
      <c r="G21" s="283" t="str">
        <f>CONCATENATE("",E20," Ad Valorem Tax")</f>
        <v>2018 Ad Valorem Tax</v>
      </c>
      <c r="H21" s="385">
        <v>0.03</v>
      </c>
    </row>
    <row r="22" spans="1:8" x14ac:dyDescent="0.2">
      <c r="A22" s="16"/>
      <c r="B22" s="31" t="s">
        <v>287</v>
      </c>
      <c r="C22" s="94" t="s">
        <v>128</v>
      </c>
      <c r="D22" s="33">
        <v>881500</v>
      </c>
      <c r="E22" s="34">
        <v>303620</v>
      </c>
      <c r="F22" s="439"/>
      <c r="G22" s="281">
        <f>IF(H21&gt;0,ROUND(E22-(E22*H$21),0),0)</f>
        <v>294511</v>
      </c>
    </row>
    <row r="23" spans="1:8" x14ac:dyDescent="0.2">
      <c r="A23" s="16"/>
      <c r="B23" s="31" t="s">
        <v>258</v>
      </c>
      <c r="C23" s="94" t="s">
        <v>143</v>
      </c>
      <c r="D23" s="33"/>
      <c r="E23" s="34"/>
      <c r="F23" s="439"/>
      <c r="G23" s="281">
        <f>IF(H21&gt;0,ROUND(E23-(E23*H21),0),0)</f>
        <v>0</v>
      </c>
    </row>
    <row r="24" spans="1:8" x14ac:dyDescent="0.2">
      <c r="A24" s="16"/>
      <c r="B24" s="31" t="s">
        <v>736</v>
      </c>
      <c r="C24" s="94" t="s">
        <v>735</v>
      </c>
      <c r="D24" s="33"/>
      <c r="E24" s="34"/>
      <c r="F24" s="439"/>
      <c r="G24" s="281">
        <f>IF(H$21&gt;0,ROUND(E24-(E24*H$21),0),0)</f>
        <v>0</v>
      </c>
    </row>
    <row r="25" spans="1:8" x14ac:dyDescent="0.2">
      <c r="A25" s="19" t="s">
        <v>205</v>
      </c>
      <c r="B25" s="16"/>
      <c r="C25" s="16"/>
      <c r="D25" s="35"/>
      <c r="E25" s="36"/>
      <c r="F25" s="439"/>
      <c r="G25" s="36"/>
    </row>
    <row r="26" spans="1:8" x14ac:dyDescent="0.2">
      <c r="A26" s="16"/>
      <c r="B26" s="351"/>
      <c r="C26" s="175"/>
      <c r="D26" s="34"/>
      <c r="E26" s="34"/>
      <c r="F26" s="439"/>
      <c r="G26" s="281">
        <f t="shared" ref="G26:G35" si="0">IF(H$21&gt;0,ROUND(E26-(E26*H$21),0),0)</f>
        <v>0</v>
      </c>
    </row>
    <row r="27" spans="1:8" x14ac:dyDescent="0.2">
      <c r="A27" s="16"/>
      <c r="B27" s="37"/>
      <c r="C27" s="176"/>
      <c r="D27" s="34"/>
      <c r="E27" s="34"/>
      <c r="F27" s="439"/>
      <c r="G27" s="281">
        <f t="shared" si="0"/>
        <v>0</v>
      </c>
    </row>
    <row r="28" spans="1:8" x14ac:dyDescent="0.2">
      <c r="A28" s="16"/>
      <c r="B28" s="37"/>
      <c r="C28" s="176"/>
      <c r="D28" s="34"/>
      <c r="E28" s="34"/>
      <c r="F28" s="439"/>
      <c r="G28" s="281">
        <f t="shared" si="0"/>
        <v>0</v>
      </c>
    </row>
    <row r="29" spans="1:8" x14ac:dyDescent="0.2">
      <c r="A29" s="16"/>
      <c r="B29" s="37"/>
      <c r="C29" s="176"/>
      <c r="D29" s="34"/>
      <c r="E29" s="34"/>
      <c r="F29" s="439"/>
      <c r="G29" s="281">
        <f t="shared" si="0"/>
        <v>0</v>
      </c>
    </row>
    <row r="30" spans="1:8" x14ac:dyDescent="0.2">
      <c r="A30" s="16"/>
      <c r="B30" s="37"/>
      <c r="C30" s="176"/>
      <c r="D30" s="34"/>
      <c r="E30" s="34"/>
      <c r="F30" s="439"/>
      <c r="G30" s="281">
        <f t="shared" si="0"/>
        <v>0</v>
      </c>
    </row>
    <row r="31" spans="1:8" x14ac:dyDescent="0.2">
      <c r="A31" s="16"/>
      <c r="B31" s="37"/>
      <c r="C31" s="176"/>
      <c r="D31" s="34"/>
      <c r="E31" s="34"/>
      <c r="F31" s="439"/>
      <c r="G31" s="281">
        <f t="shared" si="0"/>
        <v>0</v>
      </c>
    </row>
    <row r="32" spans="1:8" x14ac:dyDescent="0.2">
      <c r="A32" s="16"/>
      <c r="B32" s="37"/>
      <c r="C32" s="176"/>
      <c r="D32" s="34"/>
      <c r="E32" s="34"/>
      <c r="F32" s="439"/>
      <c r="G32" s="281">
        <f t="shared" si="0"/>
        <v>0</v>
      </c>
    </row>
    <row r="33" spans="1:7" x14ac:dyDescent="0.2">
      <c r="A33" s="16"/>
      <c r="B33" s="37"/>
      <c r="C33" s="176"/>
      <c r="D33" s="34"/>
      <c r="E33" s="34"/>
      <c r="F33" s="439"/>
      <c r="G33" s="281">
        <f t="shared" si="0"/>
        <v>0</v>
      </c>
    </row>
    <row r="34" spans="1:7" x14ac:dyDescent="0.2">
      <c r="A34" s="16"/>
      <c r="B34" s="37"/>
      <c r="C34" s="176"/>
      <c r="D34" s="34"/>
      <c r="E34" s="34"/>
      <c r="F34" s="439"/>
      <c r="G34" s="281">
        <f t="shared" si="0"/>
        <v>0</v>
      </c>
    </row>
    <row r="35" spans="1:7" x14ac:dyDescent="0.2">
      <c r="A35" s="16"/>
      <c r="B35" s="37"/>
      <c r="C35" s="176"/>
      <c r="D35" s="34"/>
      <c r="E35" s="34"/>
      <c r="F35" s="439"/>
      <c r="G35" s="281">
        <f t="shared" si="0"/>
        <v>0</v>
      </c>
    </row>
    <row r="36" spans="1:7" x14ac:dyDescent="0.2">
      <c r="A36" s="38" t="str">
        <f>CONCATENATE("Total Tax Levy Funds for ",C6-1," Budgeted Year")</f>
        <v>Total Tax Levy Funds for 2019 Budgeted Year</v>
      </c>
      <c r="B36" s="39"/>
      <c r="C36" s="39"/>
      <c r="D36" s="40"/>
      <c r="E36" s="41">
        <f>SUM(E22:E35)</f>
        <v>303620</v>
      </c>
    </row>
    <row r="37" spans="1:7" x14ac:dyDescent="0.2">
      <c r="A37" s="19"/>
      <c r="B37" s="16"/>
      <c r="C37" s="16"/>
      <c r="D37" s="42"/>
      <c r="E37" s="36"/>
    </row>
    <row r="38" spans="1:7" x14ac:dyDescent="0.2">
      <c r="A38" s="19" t="s">
        <v>144</v>
      </c>
      <c r="B38" s="16"/>
      <c r="C38" s="16"/>
      <c r="D38" s="16"/>
      <c r="E38" s="16"/>
    </row>
    <row r="39" spans="1:7" x14ac:dyDescent="0.2">
      <c r="A39" s="16"/>
      <c r="B39" s="43" t="s">
        <v>1058</v>
      </c>
      <c r="C39" s="44"/>
      <c r="D39" s="33">
        <v>78418</v>
      </c>
      <c r="E39" s="44"/>
    </row>
    <row r="40" spans="1:7" x14ac:dyDescent="0.2">
      <c r="A40" s="16"/>
      <c r="B40" s="352" t="s">
        <v>1059</v>
      </c>
      <c r="C40" s="44"/>
      <c r="D40" s="33">
        <v>5189</v>
      </c>
      <c r="E40" s="44"/>
    </row>
    <row r="41" spans="1:7" x14ac:dyDescent="0.2">
      <c r="A41" s="16"/>
      <c r="B41" s="352" t="s">
        <v>1060</v>
      </c>
      <c r="C41" s="44"/>
      <c r="D41" s="33">
        <v>139075</v>
      </c>
      <c r="E41" s="44"/>
    </row>
    <row r="42" spans="1:7" x14ac:dyDescent="0.2">
      <c r="A42" s="16"/>
      <c r="B42" s="352" t="s">
        <v>1061</v>
      </c>
      <c r="C42" s="44"/>
      <c r="D42" s="33">
        <v>61253</v>
      </c>
      <c r="E42" s="44"/>
    </row>
    <row r="43" spans="1:7" x14ac:dyDescent="0.2">
      <c r="A43" s="16"/>
      <c r="B43" s="352"/>
      <c r="C43" s="44"/>
      <c r="D43" s="33"/>
      <c r="E43" s="44"/>
    </row>
    <row r="44" spans="1:7" x14ac:dyDescent="0.2">
      <c r="A44" s="16"/>
      <c r="B44" s="352"/>
      <c r="C44" s="44"/>
      <c r="D44" s="33"/>
      <c r="E44" s="44"/>
    </row>
    <row r="45" spans="1:7" x14ac:dyDescent="0.2">
      <c r="A45" s="45"/>
      <c r="B45" s="351"/>
      <c r="C45" s="46"/>
      <c r="D45" s="33"/>
      <c r="E45" s="47"/>
    </row>
    <row r="46" spans="1:7" x14ac:dyDescent="0.2">
      <c r="A46" s="45"/>
      <c r="B46" s="351"/>
      <c r="C46" s="44"/>
      <c r="D46" s="33"/>
      <c r="E46" s="47"/>
    </row>
    <row r="47" spans="1:7" x14ac:dyDescent="0.2">
      <c r="A47" s="45"/>
      <c r="B47" s="47"/>
      <c r="C47" s="44"/>
      <c r="D47" s="47"/>
      <c r="E47" s="47"/>
    </row>
    <row r="48" spans="1:7" x14ac:dyDescent="0.2">
      <c r="A48" s="45" t="s">
        <v>184</v>
      </c>
      <c r="B48" s="44"/>
      <c r="C48" s="44"/>
      <c r="D48" s="44"/>
      <c r="E48" s="47"/>
    </row>
    <row r="49" spans="1:5" x14ac:dyDescent="0.2">
      <c r="A49" s="48">
        <v>1</v>
      </c>
      <c r="B49" s="351" t="s">
        <v>1062</v>
      </c>
      <c r="C49" s="44"/>
      <c r="D49" s="33">
        <v>291452</v>
      </c>
      <c r="E49" s="47"/>
    </row>
    <row r="50" spans="1:5" x14ac:dyDescent="0.2">
      <c r="A50" s="48">
        <v>2</v>
      </c>
      <c r="B50" s="351"/>
      <c r="C50" s="44"/>
      <c r="D50" s="33"/>
      <c r="E50" s="47"/>
    </row>
    <row r="51" spans="1:5" x14ac:dyDescent="0.2">
      <c r="A51" s="48">
        <v>3</v>
      </c>
      <c r="B51" s="351"/>
      <c r="C51" s="44"/>
      <c r="D51" s="33"/>
      <c r="E51" s="47"/>
    </row>
    <row r="52" spans="1:5" x14ac:dyDescent="0.2">
      <c r="A52" s="48">
        <v>4</v>
      </c>
      <c r="B52" s="351"/>
      <c r="C52" s="44"/>
      <c r="D52" s="33"/>
      <c r="E52" s="47"/>
    </row>
    <row r="53" spans="1:5" x14ac:dyDescent="0.2">
      <c r="A53" s="38" t="str">
        <f>CONCATENATE("Total Expenditures for ",C6-1," Budgeted Year")</f>
        <v>Total Expenditures for 2019 Budgeted Year</v>
      </c>
      <c r="B53" s="39"/>
      <c r="C53" s="39"/>
      <c r="D53" s="41">
        <f>SUM(D22:D24,D26:D35,D39:D46,D49:D52)</f>
        <v>1456887</v>
      </c>
      <c r="E53" s="16"/>
    </row>
    <row r="54" spans="1:5" x14ac:dyDescent="0.2">
      <c r="A54" s="45"/>
      <c r="B54" s="44"/>
      <c r="C54" s="44"/>
      <c r="D54" s="16"/>
      <c r="E54" s="16"/>
    </row>
    <row r="55" spans="1:5" x14ac:dyDescent="0.2">
      <c r="A55" s="45" t="s">
        <v>185</v>
      </c>
      <c r="B55" s="44"/>
      <c r="C55" s="44"/>
      <c r="D55" s="44"/>
      <c r="E55" s="16"/>
    </row>
    <row r="56" spans="1:5" x14ac:dyDescent="0.2">
      <c r="A56" s="48">
        <v>1</v>
      </c>
      <c r="B56" s="351" t="s">
        <v>1063</v>
      </c>
      <c r="C56" s="44"/>
      <c r="D56" s="44"/>
      <c r="E56" s="16"/>
    </row>
    <row r="57" spans="1:5" x14ac:dyDescent="0.2">
      <c r="A57" s="48">
        <v>2</v>
      </c>
      <c r="B57" s="351" t="s">
        <v>1064</v>
      </c>
      <c r="C57" s="44"/>
      <c r="D57" s="44"/>
      <c r="E57" s="16"/>
    </row>
    <row r="58" spans="1:5" x14ac:dyDescent="0.2">
      <c r="A58" s="48">
        <v>3</v>
      </c>
      <c r="B58" s="351" t="s">
        <v>1065</v>
      </c>
      <c r="C58" s="44"/>
      <c r="D58" s="44"/>
      <c r="E58" s="16"/>
    </row>
    <row r="59" spans="1:5" x14ac:dyDescent="0.2">
      <c r="A59" s="48">
        <v>4</v>
      </c>
      <c r="B59" s="351" t="s">
        <v>1066</v>
      </c>
      <c r="C59" s="44"/>
      <c r="D59" s="44"/>
      <c r="E59" s="16"/>
    </row>
    <row r="60" spans="1:5" x14ac:dyDescent="0.2">
      <c r="A60" s="48">
        <v>5</v>
      </c>
      <c r="B60" s="351" t="s">
        <v>1067</v>
      </c>
      <c r="C60" s="44"/>
      <c r="D60" s="44"/>
      <c r="E60" s="16"/>
    </row>
    <row r="61" spans="1:5" x14ac:dyDescent="0.2">
      <c r="A61" s="45" t="s">
        <v>160</v>
      </c>
      <c r="B61" s="44"/>
      <c r="C61" s="44"/>
      <c r="D61" s="44"/>
      <c r="E61" s="16"/>
    </row>
    <row r="62" spans="1:5" x14ac:dyDescent="0.2">
      <c r="A62" s="48">
        <v>1</v>
      </c>
      <c r="B62" s="351" t="s">
        <v>1068</v>
      </c>
      <c r="C62" s="44"/>
      <c r="D62" s="44"/>
      <c r="E62" s="16"/>
    </row>
    <row r="63" spans="1:5" x14ac:dyDescent="0.2">
      <c r="A63" s="48">
        <v>2</v>
      </c>
      <c r="B63" s="351"/>
      <c r="C63" s="44"/>
      <c r="D63" s="44"/>
      <c r="E63" s="16"/>
    </row>
    <row r="64" spans="1:5" x14ac:dyDescent="0.2">
      <c r="A64" s="48">
        <v>3</v>
      </c>
      <c r="B64" s="351"/>
      <c r="C64" s="44"/>
      <c r="D64" s="44"/>
      <c r="E64" s="16"/>
    </row>
    <row r="65" spans="1:5" x14ac:dyDescent="0.2">
      <c r="A65" s="48">
        <v>4</v>
      </c>
      <c r="B65" s="351"/>
      <c r="C65" s="44"/>
      <c r="D65" s="44"/>
      <c r="E65" s="16"/>
    </row>
    <row r="66" spans="1:5" ht="18" customHeight="1" x14ac:dyDescent="0.2">
      <c r="A66" s="48">
        <v>5</v>
      </c>
      <c r="B66" s="351"/>
      <c r="C66" s="16"/>
      <c r="D66" s="16"/>
      <c r="E66" s="16"/>
    </row>
    <row r="67" spans="1:5" x14ac:dyDescent="0.2">
      <c r="A67" s="16"/>
      <c r="B67" s="16"/>
      <c r="C67" s="16"/>
      <c r="D67" s="413" t="str">
        <f>CONCATENATE("",C6-3," Tax Rate")</f>
        <v>2017 Tax Rate</v>
      </c>
      <c r="E67" s="16"/>
    </row>
    <row r="68" spans="1:5" x14ac:dyDescent="0.2">
      <c r="A68" s="411" t="str">
        <f>CONCATENATE("From the ",C6-1," Budget, Budget Summary Page")</f>
        <v>From the 2019 Budget, Budget Summary Page</v>
      </c>
      <c r="B68" s="412"/>
      <c r="C68" s="16"/>
      <c r="D68" s="414" t="str">
        <f>CONCATENATE("(",C6-2," Column)")</f>
        <v>(2018 Column)</v>
      </c>
      <c r="E68" s="16"/>
    </row>
    <row r="69" spans="1:5" x14ac:dyDescent="0.2">
      <c r="A69" s="16"/>
      <c r="B69" s="410" t="str">
        <f>B22</f>
        <v>General</v>
      </c>
      <c r="C69" s="50"/>
      <c r="D69" s="51">
        <v>64.308000000000007</v>
      </c>
      <c r="E69" s="16"/>
    </row>
    <row r="70" spans="1:5" x14ac:dyDescent="0.2">
      <c r="A70" s="16"/>
      <c r="B70" s="49" t="str">
        <f>B23</f>
        <v>Debt Service</v>
      </c>
      <c r="C70" s="50"/>
      <c r="D70" s="51"/>
      <c r="E70" s="16"/>
    </row>
    <row r="71" spans="1:5" x14ac:dyDescent="0.2">
      <c r="A71" s="16"/>
      <c r="B71" s="49" t="str">
        <f>B24</f>
        <v>Library</v>
      </c>
      <c r="C71" s="32"/>
      <c r="D71" s="51"/>
      <c r="E71" s="16"/>
    </row>
    <row r="72" spans="1:5" x14ac:dyDescent="0.2">
      <c r="A72" s="16"/>
      <c r="B72" s="49">
        <f t="shared" ref="B72:B81" si="1">B26</f>
        <v>0</v>
      </c>
      <c r="C72" s="32"/>
      <c r="D72" s="51"/>
      <c r="E72" s="16"/>
    </row>
    <row r="73" spans="1:5" x14ac:dyDescent="0.2">
      <c r="A73" s="16"/>
      <c r="B73" s="49">
        <f t="shared" si="1"/>
        <v>0</v>
      </c>
      <c r="C73" s="32"/>
      <c r="D73" s="51"/>
      <c r="E73" s="16"/>
    </row>
    <row r="74" spans="1:5" x14ac:dyDescent="0.2">
      <c r="A74" s="16"/>
      <c r="B74" s="49">
        <f t="shared" si="1"/>
        <v>0</v>
      </c>
      <c r="C74" s="32"/>
      <c r="D74" s="51"/>
      <c r="E74" s="16"/>
    </row>
    <row r="75" spans="1:5" x14ac:dyDescent="0.2">
      <c r="A75" s="16"/>
      <c r="B75" s="49">
        <f t="shared" si="1"/>
        <v>0</v>
      </c>
      <c r="C75" s="32"/>
      <c r="D75" s="51"/>
      <c r="E75" s="16"/>
    </row>
    <row r="76" spans="1:5" x14ac:dyDescent="0.2">
      <c r="A76" s="16"/>
      <c r="B76" s="49">
        <f t="shared" si="1"/>
        <v>0</v>
      </c>
      <c r="C76" s="32"/>
      <c r="D76" s="51"/>
      <c r="E76" s="16"/>
    </row>
    <row r="77" spans="1:5" x14ac:dyDescent="0.2">
      <c r="A77" s="16"/>
      <c r="B77" s="49">
        <f t="shared" si="1"/>
        <v>0</v>
      </c>
      <c r="C77" s="32"/>
      <c r="D77" s="51"/>
      <c r="E77" s="16"/>
    </row>
    <row r="78" spans="1:5" x14ac:dyDescent="0.2">
      <c r="A78" s="16"/>
      <c r="B78" s="49">
        <f t="shared" si="1"/>
        <v>0</v>
      </c>
      <c r="C78" s="32"/>
      <c r="D78" s="51"/>
      <c r="E78" s="16"/>
    </row>
    <row r="79" spans="1:5" x14ac:dyDescent="0.2">
      <c r="A79" s="16"/>
      <c r="B79" s="49">
        <f t="shared" si="1"/>
        <v>0</v>
      </c>
      <c r="C79" s="32"/>
      <c r="D79" s="51"/>
      <c r="E79" s="16"/>
    </row>
    <row r="80" spans="1:5" x14ac:dyDescent="0.2">
      <c r="A80" s="16"/>
      <c r="B80" s="49">
        <f t="shared" si="1"/>
        <v>0</v>
      </c>
      <c r="C80" s="32"/>
      <c r="D80" s="51"/>
      <c r="E80" s="16"/>
    </row>
    <row r="81" spans="1:5" x14ac:dyDescent="0.2">
      <c r="A81" s="16"/>
      <c r="B81" s="49">
        <f t="shared" si="1"/>
        <v>0</v>
      </c>
      <c r="C81" s="32"/>
      <c r="D81" s="51"/>
      <c r="E81" s="16"/>
    </row>
    <row r="82" spans="1:5" x14ac:dyDescent="0.2">
      <c r="A82" s="19" t="s">
        <v>288</v>
      </c>
      <c r="B82" s="16"/>
      <c r="C82" s="16"/>
      <c r="D82" s="52">
        <f>SUM(D69:D81)</f>
        <v>64.308000000000007</v>
      </c>
      <c r="E82" s="16"/>
    </row>
    <row r="83" spans="1:5" x14ac:dyDescent="0.2">
      <c r="A83" s="16"/>
      <c r="B83" s="16"/>
      <c r="C83" s="16"/>
      <c r="D83" s="16"/>
      <c r="E83" s="16"/>
    </row>
    <row r="84" spans="1:5" x14ac:dyDescent="0.2">
      <c r="A84" s="415" t="str">
        <f>CONCATENATE("Total Tax Levied (",C6-2," budget column)")</f>
        <v>Total Tax Levied (2018 budget column)</v>
      </c>
      <c r="B84" s="412"/>
      <c r="C84" s="39"/>
      <c r="D84" s="53"/>
      <c r="E84" s="34">
        <v>289791</v>
      </c>
    </row>
    <row r="85" spans="1:5" x14ac:dyDescent="0.2">
      <c r="A85" s="416" t="str">
        <f>CONCATENATE("Assessed Valuation  (",C6-2," budget column)")</f>
        <v>Assessed Valuation  (2018 budget column)</v>
      </c>
      <c r="B85" s="412"/>
      <c r="C85" s="55"/>
      <c r="D85" s="56"/>
      <c r="E85" s="34">
        <v>4506289</v>
      </c>
    </row>
    <row r="86" spans="1:5" x14ac:dyDescent="0.2">
      <c r="A86" s="16"/>
      <c r="B86" s="16"/>
      <c r="C86" s="16"/>
      <c r="D86" s="24"/>
      <c r="E86" s="35"/>
    </row>
    <row r="87" spans="1:5" x14ac:dyDescent="0.2">
      <c r="A87" s="417" t="s">
        <v>218</v>
      </c>
      <c r="B87" s="436"/>
      <c r="C87" s="57"/>
      <c r="D87" s="58">
        <f>C6-3</f>
        <v>2017</v>
      </c>
      <c r="E87" s="59">
        <f>C6-2</f>
        <v>2018</v>
      </c>
    </row>
    <row r="88" spans="1:5" x14ac:dyDescent="0.2">
      <c r="A88" s="418" t="s">
        <v>145</v>
      </c>
      <c r="B88" s="419"/>
      <c r="C88" s="60"/>
      <c r="D88" s="33"/>
      <c r="E88" s="33"/>
    </row>
    <row r="89" spans="1:5" x14ac:dyDescent="0.2">
      <c r="A89" s="420" t="s">
        <v>146</v>
      </c>
      <c r="B89" s="412"/>
      <c r="C89" s="61"/>
      <c r="D89" s="33"/>
      <c r="E89" s="33"/>
    </row>
    <row r="90" spans="1:5" x14ac:dyDescent="0.2">
      <c r="A90" s="420" t="s">
        <v>147</v>
      </c>
      <c r="B90" s="412"/>
      <c r="C90" s="61"/>
      <c r="D90" s="33"/>
      <c r="E90" s="33"/>
    </row>
    <row r="91" spans="1:5" x14ac:dyDescent="0.2">
      <c r="A91" s="420" t="s">
        <v>148</v>
      </c>
      <c r="B91" s="412"/>
      <c r="C91" s="61"/>
      <c r="D91" s="33">
        <v>80976</v>
      </c>
      <c r="E91" s="33">
        <v>50291</v>
      </c>
    </row>
    <row r="98" spans="1:5" s="62" customFormat="1" x14ac:dyDescent="0.2">
      <c r="A98" s="17"/>
      <c r="B98" s="17"/>
      <c r="C98" s="17"/>
      <c r="D98" s="17"/>
      <c r="E98" s="17"/>
    </row>
  </sheetData>
  <mergeCells count="4">
    <mergeCell ref="A15:E15"/>
    <mergeCell ref="A1:E1"/>
    <mergeCell ref="A12:E14"/>
    <mergeCell ref="G13:H19"/>
  </mergeCells>
  <phoneticPr fontId="0" type="noConversion"/>
  <pageMargins left="0.5" right="0.5" top="1" bottom="0.5" header="0.5" footer="0.25"/>
  <pageSetup scale="71"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pageSetUpPr fitToPage="1"/>
  </sheetPr>
  <dimension ref="B1:E60"/>
  <sheetViews>
    <sheetView topLeftCell="A31" zoomScale="172" zoomScaleNormal="172" workbookViewId="0">
      <selection activeCell="A40" sqref="A40:XFD40"/>
    </sheetView>
  </sheetViews>
  <sheetFormatPr defaultColWidth="8.88671875" defaultRowHeight="15.75" x14ac:dyDescent="0.2"/>
  <cols>
    <col min="1" max="1" width="2.44140625" style="624" customWidth="1"/>
    <col min="2" max="2" width="31.109375" style="624" customWidth="1"/>
    <col min="3" max="4" width="15.77734375" style="624" customWidth="1"/>
    <col min="5" max="5" width="16.33203125" style="624" customWidth="1"/>
    <col min="6" max="16384" width="8.88671875" style="624"/>
  </cols>
  <sheetData>
    <row r="1" spans="2:5" x14ac:dyDescent="0.2">
      <c r="B1" s="626" t="str">
        <f>(inputPrYr!D3)</f>
        <v>UNIFIED GREELEY COUNTY - MUNICIPAL SERVICE DISTRICT</v>
      </c>
      <c r="C1" s="540"/>
      <c r="D1" s="540"/>
      <c r="E1" s="693">
        <f>inputPrYr!C6</f>
        <v>2020</v>
      </c>
    </row>
    <row r="2" spans="2:5" x14ac:dyDescent="0.2">
      <c r="B2" s="540"/>
      <c r="C2" s="540"/>
      <c r="D2" s="540"/>
      <c r="E2" s="606"/>
    </row>
    <row r="3" spans="2:5" x14ac:dyDescent="0.2">
      <c r="B3" s="703" t="s">
        <v>87</v>
      </c>
      <c r="C3" s="605"/>
      <c r="D3" s="605"/>
      <c r="E3" s="605"/>
    </row>
    <row r="4" spans="2:5" x14ac:dyDescent="0.2">
      <c r="B4" s="552" t="s">
        <v>23</v>
      </c>
      <c r="C4" s="705" t="s">
        <v>740</v>
      </c>
      <c r="D4" s="706" t="s">
        <v>741</v>
      </c>
      <c r="E4" s="551" t="s">
        <v>742</v>
      </c>
    </row>
    <row r="5" spans="2:5" x14ac:dyDescent="0.2">
      <c r="B5" s="707" t="str">
        <f>(inputPrYr!B41)</f>
        <v>Sanitation</v>
      </c>
      <c r="C5" s="708" t="str">
        <f>CONCATENATE("Actual for ",E1-2,"")</f>
        <v>Actual for 2018</v>
      </c>
      <c r="D5" s="708" t="str">
        <f>CONCATENATE("Estimate for ",E1-1,"")</f>
        <v>Estimate for 2019</v>
      </c>
      <c r="E5" s="709" t="str">
        <f>CONCATENATE("Year for ",E1,"")</f>
        <v>Year for 2020</v>
      </c>
    </row>
    <row r="6" spans="2:5" x14ac:dyDescent="0.2">
      <c r="B6" s="710" t="s">
        <v>125</v>
      </c>
      <c r="C6" s="717">
        <v>46172</v>
      </c>
      <c r="D6" s="671">
        <f>C27</f>
        <v>46853</v>
      </c>
      <c r="E6" s="671">
        <f>D27</f>
        <v>48714</v>
      </c>
    </row>
    <row r="7" spans="2:5" x14ac:dyDescent="0.2">
      <c r="B7" s="713" t="s">
        <v>127</v>
      </c>
      <c r="C7" s="574"/>
      <c r="D7" s="574"/>
      <c r="E7" s="574"/>
    </row>
    <row r="8" spans="2:5" x14ac:dyDescent="0.2">
      <c r="B8" s="914" t="s">
        <v>1098</v>
      </c>
      <c r="C8" s="717">
        <f>109454+8</f>
        <v>109462</v>
      </c>
      <c r="D8" s="717">
        <v>110000</v>
      </c>
      <c r="E8" s="717">
        <v>115000</v>
      </c>
    </row>
    <row r="9" spans="2:5" x14ac:dyDescent="0.2">
      <c r="B9" s="914" t="s">
        <v>1099</v>
      </c>
      <c r="C9" s="717">
        <v>1057</v>
      </c>
      <c r="D9" s="717">
        <v>1250</v>
      </c>
      <c r="E9" s="717">
        <v>1500</v>
      </c>
    </row>
    <row r="10" spans="2:5" x14ac:dyDescent="0.2">
      <c r="B10" s="915" t="s">
        <v>1100</v>
      </c>
      <c r="C10" s="717">
        <v>181</v>
      </c>
      <c r="D10" s="717">
        <v>200</v>
      </c>
      <c r="E10" s="717">
        <v>250</v>
      </c>
    </row>
    <row r="11" spans="2:5" x14ac:dyDescent="0.2">
      <c r="B11" s="914" t="s">
        <v>1101</v>
      </c>
      <c r="C11" s="717">
        <v>874</v>
      </c>
      <c r="D11" s="717">
        <v>1000</v>
      </c>
      <c r="E11" s="717">
        <v>1250</v>
      </c>
    </row>
    <row r="12" spans="2:5" x14ac:dyDescent="0.2">
      <c r="B12" s="916" t="s">
        <v>1094</v>
      </c>
      <c r="C12" s="717">
        <v>610</v>
      </c>
      <c r="D12" s="717">
        <v>1000</v>
      </c>
      <c r="E12" s="717">
        <v>1500</v>
      </c>
    </row>
    <row r="13" spans="2:5" x14ac:dyDescent="0.2">
      <c r="B13" s="575" t="s">
        <v>226</v>
      </c>
      <c r="C13" s="717"/>
      <c r="D13" s="723">
        <v>9000</v>
      </c>
      <c r="E13" s="723"/>
    </row>
    <row r="14" spans="2:5" x14ac:dyDescent="0.2">
      <c r="B14" s="710" t="s">
        <v>728</v>
      </c>
      <c r="C14" s="798" t="str">
        <f>IF(C15*0.1&lt;C13,"Exceed 10% Rule","")</f>
        <v/>
      </c>
      <c r="D14" s="761" t="str">
        <f>IF(D15*0.1&lt;D13,"Exceed 10% Rule","")</f>
        <v/>
      </c>
      <c r="E14" s="761" t="str">
        <f>IF(E15*0.1&lt;E13,"Exceed 10% Rule","")</f>
        <v/>
      </c>
    </row>
    <row r="15" spans="2:5" x14ac:dyDescent="0.2">
      <c r="B15" s="727" t="s">
        <v>30</v>
      </c>
      <c r="C15" s="799">
        <f>SUM(C8:C13)</f>
        <v>112184</v>
      </c>
      <c r="D15" s="799">
        <f>SUM(D8:D13)</f>
        <v>122450</v>
      </c>
      <c r="E15" s="799">
        <f>SUM(E8:E13)</f>
        <v>119500</v>
      </c>
    </row>
    <row r="16" spans="2:5" x14ac:dyDescent="0.2">
      <c r="B16" s="727" t="s">
        <v>31</v>
      </c>
      <c r="C16" s="799">
        <f>C6+C15</f>
        <v>158356</v>
      </c>
      <c r="D16" s="799">
        <f>D6+D15</f>
        <v>169303</v>
      </c>
      <c r="E16" s="799">
        <f>E6+E15</f>
        <v>168214</v>
      </c>
    </row>
    <row r="17" spans="2:5" x14ac:dyDescent="0.2">
      <c r="B17" s="559" t="s">
        <v>33</v>
      </c>
      <c r="C17" s="671"/>
      <c r="D17" s="671"/>
      <c r="E17" s="671"/>
    </row>
    <row r="18" spans="2:5" x14ac:dyDescent="0.25">
      <c r="B18" s="917" t="s">
        <v>1092</v>
      </c>
      <c r="C18" s="717">
        <v>47297</v>
      </c>
      <c r="D18" s="717">
        <v>45089</v>
      </c>
      <c r="E18" s="717">
        <v>50000</v>
      </c>
    </row>
    <row r="19" spans="2:5" x14ac:dyDescent="0.25">
      <c r="B19" s="918" t="s">
        <v>34</v>
      </c>
      <c r="C19" s="717">
        <v>15143</v>
      </c>
      <c r="D19" s="717">
        <v>18000</v>
      </c>
      <c r="E19" s="717">
        <v>20000</v>
      </c>
    </row>
    <row r="20" spans="2:5" x14ac:dyDescent="0.25">
      <c r="B20" s="918" t="s">
        <v>35</v>
      </c>
      <c r="C20" s="717">
        <v>15793</v>
      </c>
      <c r="D20" s="717">
        <v>15000</v>
      </c>
      <c r="E20" s="717">
        <v>20000</v>
      </c>
    </row>
    <row r="21" spans="2:5" x14ac:dyDescent="0.25">
      <c r="B21" s="918" t="s">
        <v>36</v>
      </c>
      <c r="C21" s="717">
        <v>8270</v>
      </c>
      <c r="D21" s="717">
        <v>2500</v>
      </c>
      <c r="E21" s="717">
        <v>3214</v>
      </c>
    </row>
    <row r="22" spans="2:5" x14ac:dyDescent="0.25">
      <c r="B22" s="918" t="s">
        <v>1102</v>
      </c>
      <c r="C22" s="717">
        <v>25000</v>
      </c>
      <c r="D22" s="717">
        <v>40000</v>
      </c>
      <c r="E22" s="717">
        <v>60000</v>
      </c>
    </row>
    <row r="23" spans="2:5" x14ac:dyDescent="0.2">
      <c r="B23" s="721" t="str">
        <f>CONCATENATE("Cash Forward (",E1," column)")</f>
        <v>Cash Forward (2020 column)</v>
      </c>
      <c r="C23" s="717"/>
      <c r="D23" s="717"/>
      <c r="E23" s="717"/>
    </row>
    <row r="24" spans="2:5" x14ac:dyDescent="0.2">
      <c r="B24" s="721" t="s">
        <v>226</v>
      </c>
      <c r="C24" s="717"/>
      <c r="D24" s="723"/>
      <c r="E24" s="723"/>
    </row>
    <row r="25" spans="2:5" x14ac:dyDescent="0.2">
      <c r="B25" s="721" t="s">
        <v>729</v>
      </c>
      <c r="C25" s="798" t="str">
        <f>IF(C26*0.1&lt;C24,"Exceed 10% Rule","")</f>
        <v/>
      </c>
      <c r="D25" s="761" t="str">
        <f>IF(D26*0.1&lt;D24,"Exceed 10% Rule","")</f>
        <v/>
      </c>
      <c r="E25" s="761" t="str">
        <f>IF(E26*0.1&lt;E24,"Exceed 10% Rule","")</f>
        <v/>
      </c>
    </row>
    <row r="26" spans="2:5" x14ac:dyDescent="0.2">
      <c r="B26" s="727" t="s">
        <v>37</v>
      </c>
      <c r="C26" s="799">
        <f>SUM(C18:C24)</f>
        <v>111503</v>
      </c>
      <c r="D26" s="799">
        <f>SUM(D18:D24)</f>
        <v>120589</v>
      </c>
      <c r="E26" s="799">
        <f>SUM(E18:E24)</f>
        <v>153214</v>
      </c>
    </row>
    <row r="27" spans="2:5" x14ac:dyDescent="0.2">
      <c r="B27" s="559" t="s">
        <v>126</v>
      </c>
      <c r="C27" s="671">
        <f>C16-C26</f>
        <v>46853</v>
      </c>
      <c r="D27" s="671">
        <f>D16-D26</f>
        <v>48714</v>
      </c>
      <c r="E27" s="671">
        <f>E16-E26</f>
        <v>15000</v>
      </c>
    </row>
    <row r="28" spans="2:5" x14ac:dyDescent="0.2">
      <c r="B28" s="609" t="str">
        <f>CONCATENATE("",E1-2,"/",E1-1,"/",E1," Budget Authority Amount:")</f>
        <v>2018/2019/2020 Budget Authority Amount:</v>
      </c>
      <c r="C28" s="572">
        <f>inputOth!B67</f>
        <v>138356</v>
      </c>
      <c r="D28" s="572">
        <f>inputPrYr!D41</f>
        <v>139075</v>
      </c>
      <c r="E28" s="805">
        <f>E26</f>
        <v>153214</v>
      </c>
    </row>
    <row r="29" spans="2:5" x14ac:dyDescent="0.2">
      <c r="B29" s="543"/>
      <c r="C29" s="774" t="str">
        <f>IF(C26&gt;C28,"See Tab A","")</f>
        <v/>
      </c>
      <c r="D29" s="774" t="str">
        <f>IF(D26&gt;D28,"See Tab C","")</f>
        <v/>
      </c>
      <c r="E29" s="800" t="str">
        <f>IF(E27&lt;0,"See Tab E","")</f>
        <v/>
      </c>
    </row>
    <row r="30" spans="2:5" x14ac:dyDescent="0.2">
      <c r="B30" s="540"/>
      <c r="C30" s="801"/>
      <c r="D30" s="801"/>
      <c r="E30" s="801"/>
    </row>
    <row r="31" spans="2:5" x14ac:dyDescent="0.2">
      <c r="B31" s="552" t="s">
        <v>23</v>
      </c>
      <c r="C31" s="802"/>
      <c r="D31" s="802"/>
      <c r="E31" s="802"/>
    </row>
    <row r="32" spans="2:5" x14ac:dyDescent="0.2">
      <c r="B32" s="540"/>
      <c r="C32" s="803" t="str">
        <f t="shared" ref="C32:E33" si="0">C4</f>
        <v xml:space="preserve">Prior Year </v>
      </c>
      <c r="D32" s="551" t="str">
        <f t="shared" si="0"/>
        <v>Current Year</v>
      </c>
      <c r="E32" s="551" t="str">
        <f t="shared" si="0"/>
        <v>Proposed Budget</v>
      </c>
    </row>
    <row r="33" spans="2:5" x14ac:dyDescent="0.2">
      <c r="B33" s="804" t="str">
        <f>(inputPrYr!B42)</f>
        <v>Sewer</v>
      </c>
      <c r="C33" s="709" t="str">
        <f t="shared" si="0"/>
        <v>Actual for 2018</v>
      </c>
      <c r="D33" s="709" t="str">
        <f t="shared" si="0"/>
        <v>Estimate for 2019</v>
      </c>
      <c r="E33" s="709" t="str">
        <f t="shared" si="0"/>
        <v>Year for 2020</v>
      </c>
    </row>
    <row r="34" spans="2:5" x14ac:dyDescent="0.2">
      <c r="B34" s="710" t="s">
        <v>125</v>
      </c>
      <c r="C34" s="717">
        <v>33210</v>
      </c>
      <c r="D34" s="671">
        <f>C54</f>
        <v>33364</v>
      </c>
      <c r="E34" s="671">
        <f>D54</f>
        <v>29927</v>
      </c>
    </row>
    <row r="35" spans="2:5" x14ac:dyDescent="0.2">
      <c r="B35" s="710" t="s">
        <v>127</v>
      </c>
      <c r="C35" s="574"/>
      <c r="D35" s="574"/>
      <c r="E35" s="574"/>
    </row>
    <row r="36" spans="2:5" x14ac:dyDescent="0.2">
      <c r="B36" s="912" t="s">
        <v>1103</v>
      </c>
      <c r="C36" s="717">
        <f>43408-33</f>
        <v>43375</v>
      </c>
      <c r="D36" s="717">
        <v>45000</v>
      </c>
      <c r="E36" s="717">
        <v>48000</v>
      </c>
    </row>
    <row r="37" spans="2:5" x14ac:dyDescent="0.2">
      <c r="B37" s="732" t="s">
        <v>1099</v>
      </c>
      <c r="C37" s="717">
        <v>373</v>
      </c>
      <c r="D37" s="717">
        <v>500</v>
      </c>
      <c r="E37" s="717">
        <v>700</v>
      </c>
    </row>
    <row r="38" spans="2:5" x14ac:dyDescent="0.2">
      <c r="B38" s="732" t="s">
        <v>1101</v>
      </c>
      <c r="C38" s="717">
        <v>391</v>
      </c>
      <c r="D38" s="717">
        <v>500</v>
      </c>
      <c r="E38" s="717">
        <v>500</v>
      </c>
    </row>
    <row r="39" spans="2:5" x14ac:dyDescent="0.2">
      <c r="B39" s="732" t="s">
        <v>1094</v>
      </c>
      <c r="C39" s="717">
        <v>35</v>
      </c>
      <c r="D39" s="717">
        <v>250</v>
      </c>
      <c r="E39" s="717">
        <v>500</v>
      </c>
    </row>
    <row r="40" spans="2:5" x14ac:dyDescent="0.2">
      <c r="B40" s="575" t="s">
        <v>226</v>
      </c>
      <c r="C40" s="717"/>
      <c r="D40" s="723"/>
      <c r="E40" s="723"/>
    </row>
    <row r="41" spans="2:5" x14ac:dyDescent="0.2">
      <c r="B41" s="710" t="s">
        <v>728</v>
      </c>
      <c r="C41" s="798" t="str">
        <f>IF(C42*0.1&lt;C40,"Exceed 10% Rule","")</f>
        <v/>
      </c>
      <c r="D41" s="761" t="str">
        <f>IF(D42*0.1&lt;D40,"Exceed 10% Rule","")</f>
        <v/>
      </c>
      <c r="E41" s="761" t="str">
        <f>IF(E42*0.1&lt;E40,"Exceed 10% Rule","")</f>
        <v/>
      </c>
    </row>
    <row r="42" spans="2:5" x14ac:dyDescent="0.2">
      <c r="B42" s="727" t="s">
        <v>30</v>
      </c>
      <c r="C42" s="799">
        <f>SUM(C36:C40)</f>
        <v>44174</v>
      </c>
      <c r="D42" s="799">
        <f>SUM(D36:D40)</f>
        <v>46250</v>
      </c>
      <c r="E42" s="799">
        <f>SUM(E36:E40)</f>
        <v>49700</v>
      </c>
    </row>
    <row r="43" spans="2:5" x14ac:dyDescent="0.2">
      <c r="B43" s="727" t="s">
        <v>31</v>
      </c>
      <c r="C43" s="799">
        <f>C34+C42</f>
        <v>77384</v>
      </c>
      <c r="D43" s="799">
        <f>D34+D42</f>
        <v>79614</v>
      </c>
      <c r="E43" s="799">
        <f>E34+E42</f>
        <v>79627</v>
      </c>
    </row>
    <row r="44" spans="2:5" x14ac:dyDescent="0.2">
      <c r="B44" s="559" t="s">
        <v>33</v>
      </c>
      <c r="C44" s="671"/>
      <c r="D44" s="671"/>
      <c r="E44" s="671"/>
    </row>
    <row r="45" spans="2:5" x14ac:dyDescent="0.2">
      <c r="B45" s="914" t="s">
        <v>1092</v>
      </c>
      <c r="C45" s="717">
        <v>23857</v>
      </c>
      <c r="D45" s="717">
        <v>22187</v>
      </c>
      <c r="E45" s="717">
        <v>26000</v>
      </c>
    </row>
    <row r="46" spans="2:5" x14ac:dyDescent="0.2">
      <c r="B46" s="914" t="s">
        <v>34</v>
      </c>
      <c r="C46" s="717">
        <v>7548</v>
      </c>
      <c r="D46" s="717">
        <v>6500</v>
      </c>
      <c r="E46" s="717">
        <v>8000</v>
      </c>
    </row>
    <row r="47" spans="2:5" x14ac:dyDescent="0.2">
      <c r="B47" s="914" t="s">
        <v>35</v>
      </c>
      <c r="C47" s="717">
        <v>2615</v>
      </c>
      <c r="D47" s="717">
        <v>5000</v>
      </c>
      <c r="E47" s="717">
        <v>9000</v>
      </c>
    </row>
    <row r="48" spans="2:5" x14ac:dyDescent="0.2">
      <c r="B48" s="914" t="s">
        <v>36</v>
      </c>
      <c r="C48" s="717"/>
      <c r="D48" s="717">
        <v>1000</v>
      </c>
      <c r="E48" s="717">
        <v>1627</v>
      </c>
    </row>
    <row r="49" spans="2:5" x14ac:dyDescent="0.2">
      <c r="B49" s="914" t="s">
        <v>1102</v>
      </c>
      <c r="C49" s="717">
        <v>10000</v>
      </c>
      <c r="D49" s="717">
        <v>15000</v>
      </c>
      <c r="E49" s="717">
        <v>20000</v>
      </c>
    </row>
    <row r="50" spans="2:5" x14ac:dyDescent="0.2">
      <c r="B50" s="721" t="str">
        <f>CONCATENATE("Cash Forward (",E1," column)")</f>
        <v>Cash Forward (2020 column)</v>
      </c>
      <c r="C50" s="717"/>
      <c r="D50" s="717"/>
      <c r="E50" s="717"/>
    </row>
    <row r="51" spans="2:5" x14ac:dyDescent="0.2">
      <c r="B51" s="721" t="s">
        <v>226</v>
      </c>
      <c r="C51" s="717"/>
      <c r="D51" s="723"/>
      <c r="E51" s="723"/>
    </row>
    <row r="52" spans="2:5" x14ac:dyDescent="0.2">
      <c r="B52" s="721" t="s">
        <v>729</v>
      </c>
      <c r="C52" s="798" t="str">
        <f>IF(C53*0.1&lt;C51,"Exceed 10% Rule","")</f>
        <v/>
      </c>
      <c r="D52" s="761" t="str">
        <f>IF(D53*0.1&lt;D51,"Exceed 10% Rule","")</f>
        <v/>
      </c>
      <c r="E52" s="761" t="str">
        <f>IF(E53*0.1&lt;E51,"Exceed 10% Rule","")</f>
        <v/>
      </c>
    </row>
    <row r="53" spans="2:5" x14ac:dyDescent="0.2">
      <c r="B53" s="727" t="s">
        <v>37</v>
      </c>
      <c r="C53" s="799">
        <f>SUM(C45:C51)</f>
        <v>44020</v>
      </c>
      <c r="D53" s="799">
        <f>SUM(D45:D51)</f>
        <v>49687</v>
      </c>
      <c r="E53" s="799">
        <f>SUM(E45:E51)</f>
        <v>64627</v>
      </c>
    </row>
    <row r="54" spans="2:5" x14ac:dyDescent="0.2">
      <c r="B54" s="559" t="s">
        <v>126</v>
      </c>
      <c r="C54" s="671">
        <f>C43-C53</f>
        <v>33364</v>
      </c>
      <c r="D54" s="671">
        <f>D43-D53</f>
        <v>29927</v>
      </c>
      <c r="E54" s="671">
        <f>E43-E53</f>
        <v>15000</v>
      </c>
    </row>
    <row r="55" spans="2:5" x14ac:dyDescent="0.2">
      <c r="B55" s="609" t="str">
        <f>CONCATENATE("",E1-2,"/",E1-1,"/",E1," Budget Authority Amount:")</f>
        <v>2018/2019/2020 Budget Authority Amount:</v>
      </c>
      <c r="C55" s="572">
        <f>inputOth!B68</f>
        <v>58864</v>
      </c>
      <c r="D55" s="572">
        <f>inputPrYr!D42</f>
        <v>61253</v>
      </c>
      <c r="E55" s="805">
        <f>E53</f>
        <v>64627</v>
      </c>
    </row>
    <row r="56" spans="2:5" x14ac:dyDescent="0.2">
      <c r="B56" s="543"/>
      <c r="C56" s="774" t="str">
        <f>IF(C53&gt;C55,"See Tab A","")</f>
        <v/>
      </c>
      <c r="D56" s="774" t="str">
        <f>IF(D53&gt;D55,"See Tab C","")</f>
        <v/>
      </c>
      <c r="E56" s="800" t="str">
        <f>IF(E54&lt;0,"See Tab E","")</f>
        <v/>
      </c>
    </row>
    <row r="57" spans="2:5" x14ac:dyDescent="0.2">
      <c r="B57" s="806" t="s">
        <v>979</v>
      </c>
      <c r="C57" s="807" t="str">
        <f>IF(C54&lt;0,"See Tab B","")</f>
        <v/>
      </c>
      <c r="D57" s="807" t="str">
        <f>IF(D54&lt;0,"See Tab D","")</f>
        <v/>
      </c>
      <c r="E57" s="815"/>
    </row>
    <row r="58" spans="2:5" x14ac:dyDescent="0.2">
      <c r="B58" s="812"/>
      <c r="C58" s="813"/>
      <c r="D58" s="813"/>
      <c r="E58" s="816"/>
    </row>
    <row r="59" spans="2:5" x14ac:dyDescent="0.2">
      <c r="B59" s="540"/>
      <c r="C59" s="540"/>
      <c r="D59" s="540"/>
      <c r="E59" s="540"/>
    </row>
    <row r="60" spans="2:5" x14ac:dyDescent="0.2">
      <c r="B60" s="543" t="s">
        <v>40</v>
      </c>
      <c r="C60" s="814">
        <v>9</v>
      </c>
      <c r="D60" s="540"/>
      <c r="E60" s="540"/>
    </row>
  </sheetData>
  <phoneticPr fontId="0" type="noConversion"/>
  <conditionalFormatting sqref="C13">
    <cfRule type="cellIs" dxfId="31" priority="5" stopIfTrue="1" operator="greaterThan">
      <formula>$C$15*0.1</formula>
    </cfRule>
  </conditionalFormatting>
  <conditionalFormatting sqref="D13">
    <cfRule type="cellIs" dxfId="30" priority="6" stopIfTrue="1" operator="greaterThan">
      <formula>$D$15*0.1</formula>
    </cfRule>
  </conditionalFormatting>
  <conditionalFormatting sqref="E13">
    <cfRule type="cellIs" dxfId="29" priority="7" stopIfTrue="1" operator="greaterThan">
      <formula>$E$15*0.1</formula>
    </cfRule>
  </conditionalFormatting>
  <conditionalFormatting sqref="C24">
    <cfRule type="cellIs" dxfId="28" priority="8" stopIfTrue="1" operator="greaterThan">
      <formula>$C$26*0.1</formula>
    </cfRule>
  </conditionalFormatting>
  <conditionalFormatting sqref="D24">
    <cfRule type="cellIs" dxfId="27" priority="9" stopIfTrue="1" operator="greaterThan">
      <formula>$D$26*0.1</formula>
    </cfRule>
  </conditionalFormatting>
  <conditionalFormatting sqref="E24">
    <cfRule type="cellIs" dxfId="26" priority="10" stopIfTrue="1" operator="greaterThan">
      <formula>$E$26*0.1</formula>
    </cfRule>
  </conditionalFormatting>
  <conditionalFormatting sqref="C40">
    <cfRule type="cellIs" dxfId="25" priority="11" stopIfTrue="1" operator="greaterThan">
      <formula>$C$42*0.1</formula>
    </cfRule>
  </conditionalFormatting>
  <conditionalFormatting sqref="D40">
    <cfRule type="cellIs" dxfId="24" priority="12" stopIfTrue="1" operator="greaterThan">
      <formula>$D$42*0.1</formula>
    </cfRule>
  </conditionalFormatting>
  <conditionalFormatting sqref="E40">
    <cfRule type="cellIs" dxfId="23" priority="13" stopIfTrue="1" operator="greaterThan">
      <formula>$E$42*0.1</formula>
    </cfRule>
  </conditionalFormatting>
  <conditionalFormatting sqref="C51">
    <cfRule type="cellIs" dxfId="22" priority="14" stopIfTrue="1" operator="greaterThan">
      <formula>$C$53*0.1</formula>
    </cfRule>
  </conditionalFormatting>
  <conditionalFormatting sqref="D51">
    <cfRule type="cellIs" dxfId="21" priority="15" stopIfTrue="1" operator="greaterThan">
      <formula>$D$53*0.1</formula>
    </cfRule>
  </conditionalFormatting>
  <conditionalFormatting sqref="E51">
    <cfRule type="cellIs" dxfId="20" priority="16" stopIfTrue="1" operator="greaterThan">
      <formula>$E$53*0.1</formula>
    </cfRule>
  </conditionalFormatting>
  <conditionalFormatting sqref="E54 C54 E27 C27">
    <cfRule type="cellIs" dxfId="19" priority="17" stopIfTrue="1" operator="lessThan">
      <formula>0</formula>
    </cfRule>
  </conditionalFormatting>
  <conditionalFormatting sqref="D53">
    <cfRule type="cellIs" dxfId="18" priority="18" stopIfTrue="1" operator="greaterThan">
      <formula>$D$55</formula>
    </cfRule>
  </conditionalFormatting>
  <conditionalFormatting sqref="C53">
    <cfRule type="cellIs" dxfId="17" priority="19" stopIfTrue="1" operator="greaterThan">
      <formula>$C$55</formula>
    </cfRule>
  </conditionalFormatting>
  <conditionalFormatting sqref="D26">
    <cfRule type="cellIs" dxfId="16" priority="20" stopIfTrue="1" operator="greaterThan">
      <formula>$D$28</formula>
    </cfRule>
  </conditionalFormatting>
  <conditionalFormatting sqref="C26">
    <cfRule type="cellIs" dxfId="15" priority="21" stopIfTrue="1" operator="greaterThan">
      <formula>$C$28</formula>
    </cfRule>
  </conditionalFormatting>
  <conditionalFormatting sqref="D54">
    <cfRule type="cellIs" dxfId="14" priority="4" stopIfTrue="1" operator="lessThan">
      <formula>0</formula>
    </cfRule>
  </conditionalFormatting>
  <conditionalFormatting sqref="D27">
    <cfRule type="cellIs" dxfId="13" priority="3" stopIfTrue="1" operator="lessThan">
      <formula>0</formula>
    </cfRule>
  </conditionalFormatting>
  <conditionalFormatting sqref="E28">
    <cfRule type="cellIs" dxfId="12" priority="2" stopIfTrue="1" operator="lessThan">
      <formula>0</formula>
    </cfRule>
  </conditionalFormatting>
  <conditionalFormatting sqref="E55">
    <cfRule type="cellIs" dxfId="11" priority="1" stopIfTrue="1" operator="lessThan">
      <formula>0</formula>
    </cfRule>
  </conditionalFormatting>
  <pageMargins left="0.5" right="0.5" top="1" bottom="0.5" header="0.5" footer="0.5"/>
  <pageSetup scale="73" orientation="portrait" blackAndWhite="1"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pageSetUpPr fitToPage="1"/>
  </sheetPr>
  <dimension ref="B1:E49"/>
  <sheetViews>
    <sheetView topLeftCell="A25" workbookViewId="0">
      <selection activeCell="B21" sqref="B21"/>
    </sheetView>
  </sheetViews>
  <sheetFormatPr defaultColWidth="8.88671875" defaultRowHeight="15.75" x14ac:dyDescent="0.2"/>
  <cols>
    <col min="1" max="1" width="2.44140625" style="541" customWidth="1"/>
    <col min="2" max="2" width="31.109375" style="541" customWidth="1"/>
    <col min="3" max="4" width="15.77734375" style="541" customWidth="1"/>
    <col min="5" max="5" width="16.109375" style="541" customWidth="1"/>
    <col min="6" max="16384" width="8.88671875" style="541"/>
  </cols>
  <sheetData>
    <row r="1" spans="2:5" x14ac:dyDescent="0.2">
      <c r="B1" s="626" t="str">
        <f>inputPrYr!D3</f>
        <v>UNIFIED GREELEY COUNTY - MUNICIPAL SERVICE DISTRICT</v>
      </c>
      <c r="C1" s="540"/>
      <c r="D1" s="540"/>
      <c r="E1" s="662">
        <f>inputPrYr!$C$6</f>
        <v>2020</v>
      </c>
    </row>
    <row r="2" spans="2:5" x14ac:dyDescent="0.2">
      <c r="B2" s="540"/>
      <c r="C2" s="540"/>
      <c r="D2" s="540"/>
      <c r="E2" s="606"/>
    </row>
    <row r="3" spans="2:5" x14ac:dyDescent="0.2">
      <c r="B3" s="703" t="s">
        <v>87</v>
      </c>
      <c r="C3" s="817"/>
      <c r="D3" s="817"/>
      <c r="E3" s="818"/>
    </row>
    <row r="4" spans="2:5" x14ac:dyDescent="0.2">
      <c r="B4" s="552" t="s">
        <v>23</v>
      </c>
      <c r="C4" s="705" t="s">
        <v>740</v>
      </c>
      <c r="D4" s="706" t="s">
        <v>741</v>
      </c>
      <c r="E4" s="551" t="s">
        <v>742</v>
      </c>
    </row>
    <row r="5" spans="2:5" x14ac:dyDescent="0.2">
      <c r="B5" s="707" t="str">
        <f>inputPrYr!B49</f>
        <v>Waterworks</v>
      </c>
      <c r="C5" s="708" t="str">
        <f>CONCATENATE("Actual for ",E1-2,"")</f>
        <v>Actual for 2018</v>
      </c>
      <c r="D5" s="708" t="str">
        <f>CONCATENATE("Estimate for ",E1-1,"")</f>
        <v>Estimate for 2019</v>
      </c>
      <c r="E5" s="709" t="str">
        <f>CONCATENATE("Year for ",E1,"")</f>
        <v>Year for 2020</v>
      </c>
    </row>
    <row r="6" spans="2:5" x14ac:dyDescent="0.2">
      <c r="B6" s="559" t="s">
        <v>125</v>
      </c>
      <c r="C6" s="717">
        <v>112276</v>
      </c>
      <c r="D6" s="671">
        <f>C42</f>
        <v>180308.07</v>
      </c>
      <c r="E6" s="671">
        <f>D42</f>
        <v>182508.07</v>
      </c>
    </row>
    <row r="7" spans="2:5" x14ac:dyDescent="0.2">
      <c r="B7" s="559" t="s">
        <v>127</v>
      </c>
      <c r="C7" s="574"/>
      <c r="D7" s="574"/>
      <c r="E7" s="574"/>
    </row>
    <row r="8" spans="2:5" x14ac:dyDescent="0.2">
      <c r="B8" s="910" t="s">
        <v>1104</v>
      </c>
      <c r="C8" s="714">
        <f>236176+777.5+2508.25-442.37</f>
        <v>239019.38</v>
      </c>
      <c r="D8" s="714">
        <v>210000</v>
      </c>
      <c r="E8" s="714">
        <v>220000</v>
      </c>
    </row>
    <row r="9" spans="2:5" x14ac:dyDescent="0.2">
      <c r="B9" s="910" t="s">
        <v>1105</v>
      </c>
      <c r="C9" s="714">
        <v>1947</v>
      </c>
      <c r="D9" s="714">
        <v>2000</v>
      </c>
      <c r="E9" s="714">
        <v>2000</v>
      </c>
    </row>
    <row r="10" spans="2:5" x14ac:dyDescent="0.2">
      <c r="B10" s="910" t="s">
        <v>1100</v>
      </c>
      <c r="C10" s="714">
        <v>1651</v>
      </c>
      <c r="D10" s="714">
        <v>1000</v>
      </c>
      <c r="E10" s="714">
        <v>1500</v>
      </c>
    </row>
    <row r="11" spans="2:5" x14ac:dyDescent="0.2">
      <c r="B11" s="910" t="s">
        <v>1099</v>
      </c>
      <c r="C11" s="714">
        <v>13598</v>
      </c>
      <c r="D11" s="714">
        <v>18000</v>
      </c>
      <c r="E11" s="714">
        <v>21000</v>
      </c>
    </row>
    <row r="12" spans="2:5" x14ac:dyDescent="0.2">
      <c r="B12" s="910" t="s">
        <v>1106</v>
      </c>
      <c r="C12" s="714">
        <f>4257.5+1250+1047.19</f>
        <v>6554.6900000000005</v>
      </c>
      <c r="D12" s="714">
        <v>5000</v>
      </c>
      <c r="E12" s="714">
        <v>5000</v>
      </c>
    </row>
    <row r="13" spans="2:5" x14ac:dyDescent="0.2">
      <c r="B13" s="910" t="s">
        <v>1094</v>
      </c>
      <c r="C13" s="714">
        <v>2874</v>
      </c>
      <c r="D13" s="714">
        <v>2000</v>
      </c>
      <c r="E13" s="714">
        <v>2500</v>
      </c>
    </row>
    <row r="14" spans="2:5" x14ac:dyDescent="0.2">
      <c r="B14" s="575" t="s">
        <v>226</v>
      </c>
      <c r="C14" s="714"/>
      <c r="D14" s="820">
        <v>1200</v>
      </c>
      <c r="E14" s="820"/>
    </row>
    <row r="15" spans="2:5" x14ac:dyDescent="0.2">
      <c r="B15" s="710" t="s">
        <v>728</v>
      </c>
      <c r="C15" s="798" t="str">
        <f>IF(C16*0.1&lt;C14,"Exceed 10% Rule","")</f>
        <v/>
      </c>
      <c r="D15" s="761" t="str">
        <f>IF(D16*0.1&lt;D14,"Exceed 10% Rule","")</f>
        <v/>
      </c>
      <c r="E15" s="761" t="str">
        <f>IF(E16*0.1&lt;E14,"Exceed 10% Rule","")</f>
        <v/>
      </c>
    </row>
    <row r="16" spans="2:5" x14ac:dyDescent="0.2">
      <c r="B16" s="727" t="s">
        <v>30</v>
      </c>
      <c r="C16" s="799">
        <f>SUM(C8:C14)</f>
        <v>265644.07</v>
      </c>
      <c r="D16" s="799">
        <f>SUM(D8:D14)</f>
        <v>239200</v>
      </c>
      <c r="E16" s="799">
        <f>SUM(E8:E14)</f>
        <v>252000</v>
      </c>
    </row>
    <row r="17" spans="2:5" x14ac:dyDescent="0.2">
      <c r="B17" s="727" t="s">
        <v>31</v>
      </c>
      <c r="C17" s="799">
        <f>C6+C16</f>
        <v>377920.07</v>
      </c>
      <c r="D17" s="799">
        <f>D6+D16</f>
        <v>419508.07</v>
      </c>
      <c r="E17" s="799">
        <f>E6+E16</f>
        <v>434508.07</v>
      </c>
    </row>
    <row r="18" spans="2:5" x14ac:dyDescent="0.2">
      <c r="B18" s="559" t="s">
        <v>33</v>
      </c>
      <c r="C18" s="574"/>
      <c r="D18" s="574"/>
      <c r="E18" s="574"/>
    </row>
    <row r="19" spans="2:5" x14ac:dyDescent="0.2">
      <c r="B19" s="919" t="s">
        <v>1107</v>
      </c>
      <c r="C19" s="714"/>
      <c r="D19" s="714"/>
      <c r="E19" s="714"/>
    </row>
    <row r="20" spans="2:5" x14ac:dyDescent="0.2">
      <c r="B20" s="920" t="s">
        <v>1108</v>
      </c>
      <c r="C20" s="714">
        <v>17245</v>
      </c>
      <c r="D20" s="714">
        <v>22000</v>
      </c>
      <c r="E20" s="714">
        <v>26000</v>
      </c>
    </row>
    <row r="21" spans="2:5" x14ac:dyDescent="0.2">
      <c r="B21" s="920" t="s">
        <v>1109</v>
      </c>
      <c r="C21" s="819">
        <v>38570</v>
      </c>
      <c r="D21" s="819">
        <v>50000</v>
      </c>
      <c r="E21" s="819">
        <v>50000</v>
      </c>
    </row>
    <row r="22" spans="2:5" x14ac:dyDescent="0.2">
      <c r="B22" s="920" t="s">
        <v>1110</v>
      </c>
      <c r="C22" s="819">
        <v>10421</v>
      </c>
      <c r="D22" s="819">
        <v>14000</v>
      </c>
      <c r="E22" s="819">
        <v>17000</v>
      </c>
    </row>
    <row r="23" spans="2:5" x14ac:dyDescent="0.2">
      <c r="B23" s="920"/>
      <c r="C23" s="819"/>
      <c r="D23" s="819"/>
      <c r="E23" s="819"/>
    </row>
    <row r="24" spans="2:5" x14ac:dyDescent="0.2">
      <c r="B24" s="919" t="s">
        <v>1111</v>
      </c>
      <c r="C24" s="819"/>
      <c r="D24" s="819"/>
      <c r="E24" s="819"/>
    </row>
    <row r="25" spans="2:5" x14ac:dyDescent="0.2">
      <c r="B25" s="920" t="s">
        <v>1108</v>
      </c>
      <c r="C25" s="819">
        <v>21556</v>
      </c>
      <c r="D25" s="819">
        <v>25000</v>
      </c>
      <c r="E25" s="819">
        <v>28000</v>
      </c>
    </row>
    <row r="26" spans="2:5" x14ac:dyDescent="0.2">
      <c r="B26" s="920" t="s">
        <v>1109</v>
      </c>
      <c r="C26" s="819">
        <v>100</v>
      </c>
      <c r="D26" s="819">
        <v>3000</v>
      </c>
      <c r="E26" s="819">
        <v>5000</v>
      </c>
    </row>
    <row r="27" spans="2:5" x14ac:dyDescent="0.2">
      <c r="B27" s="920" t="s">
        <v>1110</v>
      </c>
      <c r="C27" s="819">
        <f>10593+253</f>
        <v>10846</v>
      </c>
      <c r="D27" s="819">
        <v>10000</v>
      </c>
      <c r="E27" s="819">
        <v>50000</v>
      </c>
    </row>
    <row r="28" spans="2:5" x14ac:dyDescent="0.2">
      <c r="B28" s="920" t="s">
        <v>1112</v>
      </c>
      <c r="C28" s="819">
        <f>4757-268</f>
        <v>4489</v>
      </c>
      <c r="D28" s="819">
        <v>5000</v>
      </c>
      <c r="E28" s="819">
        <v>6000</v>
      </c>
    </row>
    <row r="29" spans="2:5" x14ac:dyDescent="0.2">
      <c r="B29" s="920"/>
      <c r="C29" s="714"/>
      <c r="D29" s="714"/>
      <c r="E29" s="714"/>
    </row>
    <row r="30" spans="2:5" x14ac:dyDescent="0.2">
      <c r="B30" s="919" t="s">
        <v>1113</v>
      </c>
      <c r="C30" s="714"/>
      <c r="D30" s="714"/>
      <c r="E30" s="714"/>
    </row>
    <row r="31" spans="2:5" x14ac:dyDescent="0.2">
      <c r="B31" s="920" t="s">
        <v>1108</v>
      </c>
      <c r="C31" s="714">
        <v>41806</v>
      </c>
      <c r="D31" s="714">
        <v>46000</v>
      </c>
      <c r="E31" s="714">
        <v>55000</v>
      </c>
    </row>
    <row r="32" spans="2:5" x14ac:dyDescent="0.2">
      <c r="B32" s="920" t="s">
        <v>1109</v>
      </c>
      <c r="C32" s="714">
        <f>18292+360-156</f>
        <v>18496</v>
      </c>
      <c r="D32" s="714">
        <v>22000</v>
      </c>
      <c r="E32" s="714">
        <v>24000</v>
      </c>
    </row>
    <row r="33" spans="2:5" x14ac:dyDescent="0.2">
      <c r="B33" s="920" t="s">
        <v>1110</v>
      </c>
      <c r="C33" s="714">
        <f>6679+17</f>
        <v>6696</v>
      </c>
      <c r="D33" s="714">
        <v>7500</v>
      </c>
      <c r="E33" s="714">
        <v>8000</v>
      </c>
    </row>
    <row r="34" spans="2:5" x14ac:dyDescent="0.2">
      <c r="B34" s="920"/>
      <c r="C34" s="714"/>
      <c r="D34" s="714"/>
      <c r="E34" s="714"/>
    </row>
    <row r="35" spans="2:5" x14ac:dyDescent="0.2">
      <c r="B35" s="919" t="s">
        <v>1114</v>
      </c>
      <c r="C35" s="714"/>
      <c r="D35" s="714"/>
      <c r="E35" s="714"/>
    </row>
    <row r="36" spans="2:5" x14ac:dyDescent="0.2">
      <c r="B36" s="920" t="s">
        <v>1115</v>
      </c>
      <c r="C36" s="714">
        <v>1823</v>
      </c>
      <c r="D36" s="714">
        <v>2500</v>
      </c>
      <c r="E36" s="714">
        <v>5508</v>
      </c>
    </row>
    <row r="37" spans="2:5" x14ac:dyDescent="0.2">
      <c r="B37" s="920" t="s">
        <v>1116</v>
      </c>
      <c r="C37" s="714">
        <v>25000</v>
      </c>
      <c r="D37" s="714">
        <v>30000</v>
      </c>
      <c r="E37" s="714">
        <v>60000</v>
      </c>
    </row>
    <row r="38" spans="2:5" x14ac:dyDescent="0.2">
      <c r="B38" s="721" t="str">
        <f>CONCATENATE("Cash Forward (",E1," column)")</f>
        <v>Cash Forward (2020 column)</v>
      </c>
      <c r="C38" s="714"/>
      <c r="D38" s="714"/>
      <c r="E38" s="714"/>
    </row>
    <row r="39" spans="2:5" x14ac:dyDescent="0.2">
      <c r="B39" s="721" t="s">
        <v>226</v>
      </c>
      <c r="C39" s="714">
        <v>564</v>
      </c>
      <c r="D39" s="820"/>
      <c r="E39" s="820"/>
    </row>
    <row r="40" spans="2:5" x14ac:dyDescent="0.2">
      <c r="B40" s="721" t="s">
        <v>729</v>
      </c>
      <c r="C40" s="798" t="str">
        <f>IF(C41*0.1&lt;C39,"Exceed 10% Rule","")</f>
        <v/>
      </c>
      <c r="D40" s="761" t="str">
        <f>IF(D41*0.1&lt;D39,"Exceed 10% Rule","")</f>
        <v/>
      </c>
      <c r="E40" s="761" t="str">
        <f>IF(E41*0.1&lt;E39,"Exceed 10% Rule","")</f>
        <v/>
      </c>
    </row>
    <row r="41" spans="2:5" x14ac:dyDescent="0.2">
      <c r="B41" s="727" t="s">
        <v>37</v>
      </c>
      <c r="C41" s="799">
        <f>SUM(C19:C39)</f>
        <v>197612</v>
      </c>
      <c r="D41" s="799">
        <f>SUM(D19:D39)</f>
        <v>237000</v>
      </c>
      <c r="E41" s="799">
        <f>SUM(E19:E39)</f>
        <v>334508</v>
      </c>
    </row>
    <row r="42" spans="2:5" x14ac:dyDescent="0.2">
      <c r="B42" s="559" t="s">
        <v>126</v>
      </c>
      <c r="C42" s="671">
        <f>C17-C41</f>
        <v>180308.07</v>
      </c>
      <c r="D42" s="671">
        <f>D17-D41</f>
        <v>182508.07</v>
      </c>
      <c r="E42" s="671">
        <f>E17-E41</f>
        <v>100000.07</v>
      </c>
    </row>
    <row r="43" spans="2:5" x14ac:dyDescent="0.2">
      <c r="B43" s="609" t="str">
        <f>CONCATENATE("",E1-2,"/",E1-1,"/",E1," Budget Authority Amount:")</f>
        <v>2018/2019/2020 Budget Authority Amount:</v>
      </c>
      <c r="C43" s="572">
        <f>inputOth!B69</f>
        <v>254874</v>
      </c>
      <c r="D43" s="572">
        <f>inputPrYr!D49</f>
        <v>291452</v>
      </c>
      <c r="E43" s="805">
        <f>E41</f>
        <v>334508</v>
      </c>
    </row>
    <row r="44" spans="2:5" x14ac:dyDescent="0.2">
      <c r="B44" s="543"/>
      <c r="C44" s="774" t="str">
        <f>IF(C41&gt;C43,"See Tab A","")</f>
        <v/>
      </c>
      <c r="D44" s="774" t="str">
        <f>IF(D41&gt;D43,"See Tab C","")</f>
        <v/>
      </c>
      <c r="E44" s="800" t="str">
        <f>IF(E42&lt;0,"See Tab E","")</f>
        <v/>
      </c>
    </row>
    <row r="45" spans="2:5" x14ac:dyDescent="0.2">
      <c r="B45" s="806" t="s">
        <v>979</v>
      </c>
      <c r="C45" s="807" t="str">
        <f>IF(C42&lt;0,"See Tab B","")</f>
        <v/>
      </c>
      <c r="D45" s="807" t="str">
        <f>IF(D42&lt;0,"See Tab D","")</f>
        <v/>
      </c>
      <c r="E45" s="821"/>
    </row>
    <row r="46" spans="2:5" x14ac:dyDescent="0.2">
      <c r="B46" s="809"/>
      <c r="C46" s="810"/>
      <c r="D46" s="810"/>
      <c r="E46" s="822"/>
    </row>
    <row r="47" spans="2:5" x14ac:dyDescent="0.2">
      <c r="B47" s="812"/>
      <c r="C47" s="813"/>
      <c r="D47" s="813"/>
      <c r="E47" s="823"/>
    </row>
    <row r="48" spans="2:5" x14ac:dyDescent="0.2">
      <c r="B48" s="647"/>
      <c r="C48" s="647"/>
      <c r="D48" s="647"/>
      <c r="E48" s="647"/>
    </row>
    <row r="49" spans="2:5" x14ac:dyDescent="0.2">
      <c r="B49" s="543" t="s">
        <v>40</v>
      </c>
      <c r="C49" s="814">
        <v>10</v>
      </c>
      <c r="D49" s="647"/>
      <c r="E49" s="647"/>
    </row>
  </sheetData>
  <phoneticPr fontId="9" type="noConversion"/>
  <conditionalFormatting sqref="C14">
    <cfRule type="cellIs" dxfId="10" priority="3" stopIfTrue="1" operator="greaterThan">
      <formula>$C$16*0.1</formula>
    </cfRule>
  </conditionalFormatting>
  <conditionalFormatting sqref="D14">
    <cfRule type="cellIs" dxfId="9" priority="4" stopIfTrue="1" operator="greaterThan">
      <formula>$D$16*0.1</formula>
    </cfRule>
  </conditionalFormatting>
  <conditionalFormatting sqref="E14">
    <cfRule type="cellIs" dxfId="8" priority="5" stopIfTrue="1" operator="greaterThan">
      <formula>$E$16*0.1</formula>
    </cfRule>
  </conditionalFormatting>
  <conditionalFormatting sqref="C39">
    <cfRule type="cellIs" dxfId="7" priority="6" stopIfTrue="1" operator="greaterThan">
      <formula>$C$41*0.1</formula>
    </cfRule>
  </conditionalFormatting>
  <conditionalFormatting sqref="D39">
    <cfRule type="cellIs" dxfId="6" priority="7" stopIfTrue="1" operator="greaterThan">
      <formula>$D$41*0.1</formula>
    </cfRule>
  </conditionalFormatting>
  <conditionalFormatting sqref="E39">
    <cfRule type="cellIs" dxfId="5" priority="8" stopIfTrue="1" operator="greaterThan">
      <formula>$E$41*0.1</formula>
    </cfRule>
  </conditionalFormatting>
  <conditionalFormatting sqref="D41">
    <cfRule type="cellIs" dxfId="4" priority="9" stopIfTrue="1" operator="greaterThan">
      <formula>$D$43</formula>
    </cfRule>
  </conditionalFormatting>
  <conditionalFormatting sqref="C41">
    <cfRule type="cellIs" dxfId="3" priority="10" stopIfTrue="1" operator="greaterThan">
      <formula>$C$43</formula>
    </cfRule>
  </conditionalFormatting>
  <conditionalFormatting sqref="C42 E42">
    <cfRule type="cellIs" dxfId="2" priority="11" stopIfTrue="1" operator="lessThan">
      <formula>0</formula>
    </cfRule>
  </conditionalFormatting>
  <conditionalFormatting sqref="D42">
    <cfRule type="cellIs" dxfId="1" priority="2" stopIfTrue="1" operator="lessThan">
      <formula>0</formula>
    </cfRule>
  </conditionalFormatting>
  <conditionalFormatting sqref="E43">
    <cfRule type="cellIs" dxfId="0" priority="1" stopIfTrue="1" operator="lessThan">
      <formula>0</formula>
    </cfRule>
  </conditionalFormatting>
  <pageMargins left="0.75" right="0.75" top="1" bottom="1" header="0.5" footer="0.5"/>
  <pageSetup scale="86" orientation="portrait" blackAndWhite="1"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pageSetUpPr fitToPage="1"/>
  </sheetPr>
  <dimension ref="A1:L41"/>
  <sheetViews>
    <sheetView workbookViewId="0">
      <selection activeCell="A2" sqref="A2"/>
    </sheetView>
  </sheetViews>
  <sheetFormatPr defaultColWidth="8.88671875" defaultRowHeight="15.75" x14ac:dyDescent="0.2"/>
  <cols>
    <col min="1" max="1" width="11.5546875" style="541" customWidth="1"/>
    <col min="2" max="2" width="7.44140625" style="541" customWidth="1"/>
    <col min="3" max="3" width="11.5546875" style="541" customWidth="1"/>
    <col min="4" max="4" width="11.6640625" style="541" customWidth="1"/>
    <col min="5" max="5" width="11.5546875" style="541" customWidth="1"/>
    <col min="6" max="6" width="7.44140625" style="541" customWidth="1"/>
    <col min="7" max="7" width="11.5546875" style="541" customWidth="1"/>
    <col min="8" max="8" width="7.44140625" style="541" customWidth="1"/>
    <col min="9" max="9" width="11.5546875" style="541" customWidth="1"/>
    <col min="10" max="16384" width="8.88671875" style="541"/>
  </cols>
  <sheetData>
    <row r="1" spans="1:11" x14ac:dyDescent="0.2">
      <c r="A1" s="646" t="str">
        <f>inputPrYr!$D$3</f>
        <v>UNIFIED GREELEY COUNTY - MUNICIPAL SERVICE DISTRICT</v>
      </c>
      <c r="B1" s="824"/>
      <c r="C1" s="647"/>
      <c r="D1" s="647"/>
      <c r="E1" s="647"/>
      <c r="F1" s="825" t="s">
        <v>153</v>
      </c>
      <c r="G1" s="647"/>
      <c r="H1" s="647"/>
      <c r="I1" s="647"/>
      <c r="J1" s="647"/>
      <c r="K1" s="647">
        <f>inputPrYr!$C$6</f>
        <v>2020</v>
      </c>
    </row>
    <row r="2" spans="1:11" x14ac:dyDescent="0.2">
      <c r="A2" s="647"/>
      <c r="B2" s="647"/>
      <c r="C2" s="647"/>
      <c r="D2" s="647"/>
      <c r="E2" s="647"/>
      <c r="F2" s="826" t="str">
        <f>CONCATENATE("(Only the actual budget year for ",K1-2," is to be shown)")</f>
        <v>(Only the actual budget year for 2018 is to be shown)</v>
      </c>
      <c r="G2" s="647"/>
      <c r="H2" s="647"/>
      <c r="I2" s="647"/>
      <c r="J2" s="647"/>
      <c r="K2" s="647"/>
    </row>
    <row r="3" spans="1:11" x14ac:dyDescent="0.2">
      <c r="A3" s="647" t="s">
        <v>181</v>
      </c>
      <c r="B3" s="647"/>
      <c r="C3" s="647"/>
      <c r="D3" s="647"/>
      <c r="E3" s="647"/>
      <c r="F3" s="824"/>
      <c r="G3" s="647"/>
      <c r="H3" s="647"/>
      <c r="I3" s="647"/>
      <c r="J3" s="647"/>
      <c r="K3" s="647"/>
    </row>
    <row r="4" spans="1:11" x14ac:dyDescent="0.2">
      <c r="A4" s="647" t="s">
        <v>161</v>
      </c>
      <c r="B4" s="647"/>
      <c r="C4" s="647" t="s">
        <v>162</v>
      </c>
      <c r="D4" s="647"/>
      <c r="E4" s="647" t="s">
        <v>163</v>
      </c>
      <c r="F4" s="824"/>
      <c r="G4" s="647" t="s">
        <v>164</v>
      </c>
      <c r="H4" s="647"/>
      <c r="I4" s="647" t="s">
        <v>165</v>
      </c>
      <c r="J4" s="647"/>
      <c r="K4" s="647"/>
    </row>
    <row r="5" spans="1:11" x14ac:dyDescent="0.2">
      <c r="A5" s="1112" t="str">
        <f>inputPrYr!$B56</f>
        <v>Capital Improvements</v>
      </c>
      <c r="B5" s="1113"/>
      <c r="C5" s="1112" t="str">
        <f>inputPrYr!$B57</f>
        <v>Municipal Equipment Reserve</v>
      </c>
      <c r="D5" s="1113"/>
      <c r="E5" s="1112" t="str">
        <f>inputPrYr!$B58</f>
        <v>Special Street Machinery</v>
      </c>
      <c r="F5" s="1113"/>
      <c r="G5" s="1112" t="str">
        <f>inputPrYr!$B59</f>
        <v>Waterworks Reserve</v>
      </c>
      <c r="H5" s="1113"/>
      <c r="I5" s="1112" t="str">
        <f>inputPrYr!$B60</f>
        <v>Sanitation Reserve</v>
      </c>
      <c r="J5" s="1113"/>
      <c r="K5" s="827"/>
    </row>
    <row r="6" spans="1:11" x14ac:dyDescent="0.2">
      <c r="A6" s="828" t="s">
        <v>150</v>
      </c>
      <c r="B6" s="829"/>
      <c r="C6" s="830" t="s">
        <v>150</v>
      </c>
      <c r="D6" s="831"/>
      <c r="E6" s="830" t="s">
        <v>150</v>
      </c>
      <c r="F6" s="832"/>
      <c r="G6" s="830" t="s">
        <v>150</v>
      </c>
      <c r="H6" s="833"/>
      <c r="I6" s="830" t="s">
        <v>150</v>
      </c>
      <c r="J6" s="647"/>
      <c r="K6" s="834" t="s">
        <v>288</v>
      </c>
    </row>
    <row r="7" spans="1:11" x14ac:dyDescent="0.2">
      <c r="A7" s="835" t="s">
        <v>234</v>
      </c>
      <c r="B7" s="836">
        <v>453272</v>
      </c>
      <c r="C7" s="837" t="s">
        <v>234</v>
      </c>
      <c r="D7" s="836">
        <v>242719</v>
      </c>
      <c r="E7" s="837" t="s">
        <v>234</v>
      </c>
      <c r="F7" s="836">
        <v>0</v>
      </c>
      <c r="G7" s="837" t="s">
        <v>234</v>
      </c>
      <c r="H7" s="836">
        <v>416623</v>
      </c>
      <c r="I7" s="837" t="s">
        <v>234</v>
      </c>
      <c r="J7" s="836">
        <v>305515</v>
      </c>
      <c r="K7" s="838">
        <f>SUM(B7+D7+F7+H7+J7)</f>
        <v>1418129</v>
      </c>
    </row>
    <row r="8" spans="1:11" x14ac:dyDescent="0.2">
      <c r="A8" s="839" t="s">
        <v>127</v>
      </c>
      <c r="B8" s="840"/>
      <c r="C8" s="839" t="s">
        <v>127</v>
      </c>
      <c r="D8" s="841"/>
      <c r="E8" s="839" t="s">
        <v>127</v>
      </c>
      <c r="F8" s="824"/>
      <c r="G8" s="839" t="s">
        <v>127</v>
      </c>
      <c r="H8" s="647"/>
      <c r="I8" s="839" t="s">
        <v>127</v>
      </c>
      <c r="J8" s="647"/>
      <c r="K8" s="824"/>
    </row>
    <row r="9" spans="1:11" x14ac:dyDescent="0.2">
      <c r="A9" s="842" t="s">
        <v>1127</v>
      </c>
      <c r="B9" s="836">
        <v>15000</v>
      </c>
      <c r="C9" s="842" t="s">
        <v>1127</v>
      </c>
      <c r="D9" s="836">
        <v>50000</v>
      </c>
      <c r="E9" s="842" t="s">
        <v>1127</v>
      </c>
      <c r="F9" s="836">
        <v>0</v>
      </c>
      <c r="G9" s="842" t="s">
        <v>1126</v>
      </c>
      <c r="H9" s="836">
        <v>25000</v>
      </c>
      <c r="I9" s="842" t="s">
        <v>1125</v>
      </c>
      <c r="J9" s="836">
        <v>25000</v>
      </c>
      <c r="K9" s="824"/>
    </row>
    <row r="10" spans="1:11" x14ac:dyDescent="0.2">
      <c r="A10" s="842"/>
      <c r="B10" s="836"/>
      <c r="C10" s="842"/>
      <c r="D10" s="836"/>
      <c r="E10" s="842"/>
      <c r="F10" s="836"/>
      <c r="G10" s="842"/>
      <c r="H10" s="836"/>
      <c r="I10" s="842"/>
      <c r="J10" s="836"/>
      <c r="K10" s="824"/>
    </row>
    <row r="11" spans="1:11" x14ac:dyDescent="0.2">
      <c r="A11" s="849"/>
      <c r="B11" s="850"/>
      <c r="C11" s="851"/>
      <c r="D11" s="850"/>
      <c r="E11" s="851"/>
      <c r="F11" s="850"/>
      <c r="G11" s="851"/>
      <c r="H11" s="850"/>
      <c r="I11" s="845"/>
      <c r="J11" s="836"/>
      <c r="K11" s="824"/>
    </row>
    <row r="12" spans="1:11" x14ac:dyDescent="0.2">
      <c r="A12" s="842"/>
      <c r="B12" s="836"/>
      <c r="C12" s="848"/>
      <c r="D12" s="847"/>
      <c r="E12" s="848"/>
      <c r="F12" s="847"/>
      <c r="G12" s="848"/>
      <c r="H12" s="847"/>
      <c r="I12" s="848"/>
      <c r="J12" s="836"/>
      <c r="K12" s="824"/>
    </row>
    <row r="13" spans="1:11" x14ac:dyDescent="0.2">
      <c r="A13" s="842"/>
      <c r="B13" s="836"/>
      <c r="C13" s="848"/>
      <c r="D13" s="847"/>
      <c r="E13" s="848"/>
      <c r="F13" s="847"/>
      <c r="G13" s="848"/>
      <c r="H13" s="847"/>
      <c r="I13" s="848"/>
      <c r="J13" s="836"/>
      <c r="K13" s="824"/>
    </row>
    <row r="14" spans="1:11" x14ac:dyDescent="0.2">
      <c r="A14" s="842"/>
      <c r="B14" s="850"/>
      <c r="C14" s="842"/>
      <c r="D14" s="850"/>
      <c r="E14" s="842"/>
      <c r="F14" s="836"/>
      <c r="G14" s="848"/>
      <c r="H14" s="850"/>
      <c r="I14" s="842"/>
      <c r="J14" s="847"/>
      <c r="K14" s="824"/>
    </row>
    <row r="15" spans="1:11" x14ac:dyDescent="0.2">
      <c r="A15" s="839" t="s">
        <v>30</v>
      </c>
      <c r="B15" s="838">
        <f>SUM(B9:B14)</f>
        <v>15000</v>
      </c>
      <c r="C15" s="839" t="s">
        <v>30</v>
      </c>
      <c r="D15" s="852">
        <f>SUM(D9:D14)</f>
        <v>50000</v>
      </c>
      <c r="E15" s="839" t="s">
        <v>30</v>
      </c>
      <c r="F15" s="853">
        <f>SUM(F9:F14)</f>
        <v>0</v>
      </c>
      <c r="G15" s="839" t="s">
        <v>30</v>
      </c>
      <c r="H15" s="852">
        <f>SUM(H9:H14)</f>
        <v>25000</v>
      </c>
      <c r="I15" s="839" t="s">
        <v>30</v>
      </c>
      <c r="J15" s="852">
        <f>SUM(J9:J14)</f>
        <v>25000</v>
      </c>
      <c r="K15" s="838">
        <f>SUM(B15+D15+F15+H15+J15)</f>
        <v>115000</v>
      </c>
    </row>
    <row r="16" spans="1:11" x14ac:dyDescent="0.2">
      <c r="A16" s="839" t="s">
        <v>31</v>
      </c>
      <c r="B16" s="838">
        <f>SUM(B7+B15)</f>
        <v>468272</v>
      </c>
      <c r="C16" s="839" t="s">
        <v>31</v>
      </c>
      <c r="D16" s="838">
        <f>SUM(D7+D15)</f>
        <v>292719</v>
      </c>
      <c r="E16" s="839" t="s">
        <v>31</v>
      </c>
      <c r="F16" s="838">
        <f>SUM(F7+F15)</f>
        <v>0</v>
      </c>
      <c r="G16" s="839" t="s">
        <v>31</v>
      </c>
      <c r="H16" s="838">
        <f>SUM(H7+H15)</f>
        <v>441623</v>
      </c>
      <c r="I16" s="839" t="s">
        <v>31</v>
      </c>
      <c r="J16" s="838">
        <f>SUM(J7+J15)</f>
        <v>330515</v>
      </c>
      <c r="K16" s="838">
        <f>SUM(B16+D16+F16+H16+J16)</f>
        <v>1533129</v>
      </c>
    </row>
    <row r="17" spans="1:12" x14ac:dyDescent="0.2">
      <c r="A17" s="839" t="s">
        <v>33</v>
      </c>
      <c r="B17" s="840"/>
      <c r="C17" s="839" t="s">
        <v>33</v>
      </c>
      <c r="D17" s="841"/>
      <c r="E17" s="839" t="s">
        <v>33</v>
      </c>
      <c r="F17" s="824"/>
      <c r="G17" s="839" t="s">
        <v>33</v>
      </c>
      <c r="H17" s="647"/>
      <c r="I17" s="839" t="s">
        <v>33</v>
      </c>
      <c r="J17" s="647"/>
      <c r="K17" s="824"/>
    </row>
    <row r="18" spans="1:12" x14ac:dyDescent="0.2">
      <c r="A18" s="842" t="s">
        <v>1082</v>
      </c>
      <c r="B18" s="836">
        <v>150000</v>
      </c>
      <c r="C18" s="848" t="s">
        <v>1082</v>
      </c>
      <c r="D18" s="836">
        <v>64684</v>
      </c>
      <c r="E18" s="848" t="s">
        <v>1082</v>
      </c>
      <c r="F18" s="836">
        <v>0</v>
      </c>
      <c r="G18" s="848" t="s">
        <v>1082</v>
      </c>
      <c r="H18" s="836">
        <v>98600</v>
      </c>
      <c r="I18" s="848" t="s">
        <v>1082</v>
      </c>
      <c r="J18" s="836">
        <v>49575</v>
      </c>
      <c r="K18" s="824"/>
    </row>
    <row r="19" spans="1:12" x14ac:dyDescent="0.2">
      <c r="A19" s="842"/>
      <c r="B19" s="836"/>
      <c r="C19" s="848"/>
      <c r="D19" s="847"/>
      <c r="E19" s="848"/>
      <c r="F19" s="847"/>
      <c r="G19" s="848"/>
      <c r="H19" s="847"/>
      <c r="I19" s="848"/>
      <c r="J19" s="854"/>
      <c r="K19" s="824"/>
    </row>
    <row r="20" spans="1:12" x14ac:dyDescent="0.2">
      <c r="A20" s="842"/>
      <c r="B20" s="855"/>
      <c r="C20" s="851"/>
      <c r="D20" s="850"/>
      <c r="E20" s="851"/>
      <c r="F20" s="850"/>
      <c r="G20" s="851"/>
      <c r="H20" s="850"/>
      <c r="I20" s="845"/>
      <c r="J20" s="836"/>
      <c r="K20" s="824"/>
    </row>
    <row r="21" spans="1:12" x14ac:dyDescent="0.2">
      <c r="A21" s="842"/>
      <c r="B21" s="836"/>
      <c r="C21" s="848"/>
      <c r="D21" s="847"/>
      <c r="E21" s="848"/>
      <c r="F21" s="847"/>
      <c r="G21" s="848"/>
      <c r="H21" s="847"/>
      <c r="I21" s="848"/>
      <c r="J21" s="836"/>
      <c r="K21" s="824"/>
    </row>
    <row r="22" spans="1:12" x14ac:dyDescent="0.2">
      <c r="A22" s="842"/>
      <c r="B22" s="836"/>
      <c r="C22" s="848"/>
      <c r="D22" s="847"/>
      <c r="E22" s="848"/>
      <c r="F22" s="847"/>
      <c r="G22" s="848"/>
      <c r="H22" s="847"/>
      <c r="I22" s="848"/>
      <c r="J22" s="836"/>
      <c r="K22" s="824"/>
    </row>
    <row r="23" spans="1:12" x14ac:dyDescent="0.2">
      <c r="A23" s="842"/>
      <c r="B23" s="854"/>
      <c r="C23" s="842"/>
      <c r="D23" s="846"/>
      <c r="E23" s="842"/>
      <c r="F23" s="847"/>
      <c r="G23" s="848"/>
      <c r="H23" s="847"/>
      <c r="I23" s="848"/>
      <c r="J23" s="836"/>
      <c r="K23" s="824"/>
    </row>
    <row r="24" spans="1:12" x14ac:dyDescent="0.2">
      <c r="A24" s="839" t="s">
        <v>37</v>
      </c>
      <c r="B24" s="838">
        <f>SUM(B18:B23)</f>
        <v>150000</v>
      </c>
      <c r="C24" s="839" t="s">
        <v>37</v>
      </c>
      <c r="D24" s="838">
        <f>SUM(D18:D23)</f>
        <v>64684</v>
      </c>
      <c r="E24" s="839" t="s">
        <v>37</v>
      </c>
      <c r="F24" s="856">
        <f>SUM(F18:F23)</f>
        <v>0</v>
      </c>
      <c r="G24" s="839" t="s">
        <v>37</v>
      </c>
      <c r="H24" s="856">
        <f>SUM(H18:H23)</f>
        <v>98600</v>
      </c>
      <c r="I24" s="839" t="s">
        <v>37</v>
      </c>
      <c r="J24" s="838">
        <f>SUM(J18:J23)</f>
        <v>49575</v>
      </c>
      <c r="K24" s="838">
        <f>SUM(B24+D24+F24+H24+J24)</f>
        <v>362859</v>
      </c>
    </row>
    <row r="25" spans="1:12" x14ac:dyDescent="0.2">
      <c r="A25" s="839" t="s">
        <v>149</v>
      </c>
      <c r="B25" s="838">
        <f>SUM(B16-B24)</f>
        <v>318272</v>
      </c>
      <c r="C25" s="839" t="s">
        <v>149</v>
      </c>
      <c r="D25" s="838">
        <f>SUM(D16-D24)</f>
        <v>228035</v>
      </c>
      <c r="E25" s="839" t="s">
        <v>149</v>
      </c>
      <c r="F25" s="838">
        <f>SUM(F16-F24)</f>
        <v>0</v>
      </c>
      <c r="G25" s="839" t="s">
        <v>149</v>
      </c>
      <c r="H25" s="838">
        <f>SUM(H16-H24)</f>
        <v>343023</v>
      </c>
      <c r="I25" s="839" t="s">
        <v>149</v>
      </c>
      <c r="J25" s="838">
        <f>SUM(J16-J24)</f>
        <v>280940</v>
      </c>
      <c r="K25" s="857">
        <f>SUM(B25+D25+F25+H25+J25)</f>
        <v>1170270</v>
      </c>
      <c r="L25" s="858" t="s">
        <v>209</v>
      </c>
    </row>
    <row r="26" spans="1:12" x14ac:dyDescent="0.2">
      <c r="A26" s="839"/>
      <c r="B26" s="859" t="str">
        <f>IF(B25&lt;0,"See Tab B","")</f>
        <v/>
      </c>
      <c r="C26" s="839"/>
      <c r="D26" s="859" t="str">
        <f>IF(D25&lt;0,"See Tab B","")</f>
        <v/>
      </c>
      <c r="E26" s="839"/>
      <c r="F26" s="859" t="str">
        <f>IF(F25&lt;0,"See Tab B","")</f>
        <v/>
      </c>
      <c r="G26" s="647"/>
      <c r="H26" s="859" t="str">
        <f>IF(H25&lt;0,"See Tab B","")</f>
        <v/>
      </c>
      <c r="I26" s="647"/>
      <c r="J26" s="859" t="str">
        <f>IF(J25&lt;0,"See Tab B","")</f>
        <v/>
      </c>
      <c r="K26" s="857">
        <f>SUM(K7+K15-K24)</f>
        <v>1170270</v>
      </c>
      <c r="L26" s="858" t="s">
        <v>209</v>
      </c>
    </row>
    <row r="27" spans="1:12" x14ac:dyDescent="0.2">
      <c r="A27" s="647"/>
      <c r="B27" s="860"/>
      <c r="C27" s="647"/>
      <c r="D27" s="824"/>
      <c r="E27" s="647"/>
      <c r="F27" s="647"/>
      <c r="G27" s="861" t="s">
        <v>210</v>
      </c>
      <c r="H27" s="861"/>
      <c r="I27" s="861"/>
      <c r="J27" s="861"/>
      <c r="K27" s="647"/>
    </row>
    <row r="28" spans="1:12" x14ac:dyDescent="0.2">
      <c r="A28" s="647"/>
      <c r="B28" s="860"/>
      <c r="C28" s="647"/>
      <c r="D28" s="824"/>
      <c r="E28" s="647"/>
      <c r="F28" s="647"/>
      <c r="G28" s="647"/>
      <c r="H28" s="647"/>
      <c r="I28" s="647"/>
      <c r="J28" s="647"/>
      <c r="K28" s="647"/>
    </row>
    <row r="29" spans="1:12" x14ac:dyDescent="0.2">
      <c r="A29" s="862" t="s">
        <v>981</v>
      </c>
      <c r="B29" s="863"/>
      <c r="C29" s="864"/>
      <c r="D29" s="865"/>
      <c r="E29" s="864"/>
      <c r="F29" s="864"/>
      <c r="G29" s="864"/>
      <c r="H29" s="864"/>
      <c r="I29" s="864"/>
      <c r="J29" s="864"/>
      <c r="K29" s="866"/>
    </row>
    <row r="30" spans="1:12" x14ac:dyDescent="0.2">
      <c r="A30" s="867"/>
      <c r="B30" s="868"/>
      <c r="C30" s="869"/>
      <c r="D30" s="870"/>
      <c r="E30" s="869"/>
      <c r="F30" s="869"/>
      <c r="G30" s="869"/>
      <c r="H30" s="869"/>
      <c r="I30" s="869"/>
      <c r="J30" s="869"/>
      <c r="K30" s="871"/>
    </row>
    <row r="31" spans="1:12" x14ac:dyDescent="0.2">
      <c r="A31" s="872"/>
      <c r="B31" s="873"/>
      <c r="C31" s="827"/>
      <c r="D31" s="874"/>
      <c r="E31" s="827"/>
      <c r="F31" s="827"/>
      <c r="G31" s="827"/>
      <c r="H31" s="827"/>
      <c r="I31" s="827"/>
      <c r="J31" s="827"/>
      <c r="K31" s="875"/>
    </row>
    <row r="32" spans="1:12" x14ac:dyDescent="0.2">
      <c r="A32" s="647"/>
      <c r="B32" s="860"/>
      <c r="C32" s="647"/>
      <c r="D32" s="647"/>
      <c r="E32" s="647"/>
      <c r="F32" s="647"/>
      <c r="G32" s="647"/>
      <c r="H32" s="647"/>
      <c r="I32" s="647"/>
      <c r="J32" s="647"/>
      <c r="K32" s="647"/>
    </row>
    <row r="33" spans="1:11" x14ac:dyDescent="0.2">
      <c r="A33" s="647"/>
      <c r="B33" s="860"/>
      <c r="C33" s="647"/>
      <c r="D33" s="647"/>
      <c r="E33" s="876" t="s">
        <v>40</v>
      </c>
      <c r="F33" s="814">
        <v>11</v>
      </c>
      <c r="G33" s="647"/>
      <c r="H33" s="647"/>
      <c r="I33" s="647"/>
      <c r="J33" s="647"/>
      <c r="K33" s="647"/>
    </row>
    <row r="34" spans="1:11" x14ac:dyDescent="0.2">
      <c r="B34" s="877"/>
    </row>
    <row r="35" spans="1:11" x14ac:dyDescent="0.2">
      <c r="B35" s="877"/>
    </row>
    <row r="36" spans="1:11" x14ac:dyDescent="0.2">
      <c r="B36" s="877"/>
    </row>
    <row r="37" spans="1:11" x14ac:dyDescent="0.2">
      <c r="B37" s="877"/>
    </row>
    <row r="38" spans="1:11" x14ac:dyDescent="0.2">
      <c r="B38" s="877"/>
    </row>
    <row r="39" spans="1:11" x14ac:dyDescent="0.2">
      <c r="B39" s="877"/>
    </row>
    <row r="40" spans="1:11" x14ac:dyDescent="0.2">
      <c r="B40" s="877"/>
    </row>
    <row r="41" spans="1:11" x14ac:dyDescent="0.2">
      <c r="B41" s="877"/>
    </row>
  </sheetData>
  <mergeCells count="5">
    <mergeCell ref="I5:J5"/>
    <mergeCell ref="A5:B5"/>
    <mergeCell ref="C5:D5"/>
    <mergeCell ref="E5:F5"/>
    <mergeCell ref="G5:H5"/>
  </mergeCells>
  <phoneticPr fontId="9" type="noConversion"/>
  <printOptions horizontalCentered="1"/>
  <pageMargins left="0" right="0" top="1" bottom="1" header="0.5" footer="0.5"/>
  <pageSetup scale="91" orientation="landscape" blackAndWhite="1"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pageSetUpPr fitToPage="1"/>
  </sheetPr>
  <dimension ref="A1:L41"/>
  <sheetViews>
    <sheetView workbookViewId="0">
      <selection activeCell="A2" sqref="A2"/>
    </sheetView>
  </sheetViews>
  <sheetFormatPr defaultColWidth="8.88671875" defaultRowHeight="15.75" x14ac:dyDescent="0.2"/>
  <cols>
    <col min="1" max="1" width="11.5546875" style="541" customWidth="1"/>
    <col min="2" max="2" width="7.44140625" style="541" customWidth="1"/>
    <col min="3" max="3" width="11.5546875" style="541" customWidth="1"/>
    <col min="4" max="4" width="7.44140625" style="541" customWidth="1"/>
    <col min="5" max="5" width="11.5546875" style="541" customWidth="1"/>
    <col min="6" max="6" width="7.44140625" style="541" customWidth="1"/>
    <col min="7" max="7" width="11.5546875" style="541" customWidth="1"/>
    <col min="8" max="8" width="7.44140625" style="541" customWidth="1"/>
    <col min="9" max="9" width="11.5546875" style="541" customWidth="1"/>
    <col min="10" max="16384" width="8.88671875" style="541"/>
  </cols>
  <sheetData>
    <row r="1" spans="1:11" x14ac:dyDescent="0.2">
      <c r="A1" s="646" t="str">
        <f>inputPrYr!$D$3</f>
        <v>UNIFIED GREELEY COUNTY - MUNICIPAL SERVICE DISTRICT</v>
      </c>
      <c r="B1" s="824"/>
      <c r="C1" s="647"/>
      <c r="D1" s="647"/>
      <c r="E1" s="647"/>
      <c r="F1" s="825" t="s">
        <v>154</v>
      </c>
      <c r="G1" s="647"/>
      <c r="H1" s="647"/>
      <c r="I1" s="647"/>
      <c r="J1" s="647"/>
      <c r="K1" s="647">
        <f>inputPrYr!$C$6</f>
        <v>2020</v>
      </c>
    </row>
    <row r="2" spans="1:11" x14ac:dyDescent="0.2">
      <c r="A2" s="647"/>
      <c r="B2" s="647"/>
      <c r="C2" s="647"/>
      <c r="D2" s="647"/>
      <c r="E2" s="647"/>
      <c r="F2" s="826" t="str">
        <f>CONCATENATE("(Only the actual budget year for ",K1-2," is to be shown)")</f>
        <v>(Only the actual budget year for 2018 is to be shown)</v>
      </c>
      <c r="G2" s="647"/>
      <c r="H2" s="647"/>
      <c r="I2" s="647"/>
      <c r="J2" s="647"/>
      <c r="K2" s="647"/>
    </row>
    <row r="3" spans="1:11" x14ac:dyDescent="0.2">
      <c r="A3" s="647" t="s">
        <v>182</v>
      </c>
      <c r="B3" s="647"/>
      <c r="C3" s="647"/>
      <c r="D3" s="647"/>
      <c r="E3" s="647"/>
      <c r="F3" s="824"/>
      <c r="G3" s="647"/>
      <c r="H3" s="647"/>
      <c r="I3" s="647"/>
      <c r="J3" s="647"/>
      <c r="K3" s="647"/>
    </row>
    <row r="4" spans="1:11" x14ac:dyDescent="0.2">
      <c r="A4" s="647" t="s">
        <v>161</v>
      </c>
      <c r="B4" s="647"/>
      <c r="C4" s="647" t="s">
        <v>162</v>
      </c>
      <c r="D4" s="647"/>
      <c r="E4" s="647" t="s">
        <v>163</v>
      </c>
      <c r="F4" s="824"/>
      <c r="G4" s="647" t="s">
        <v>164</v>
      </c>
      <c r="H4" s="647"/>
      <c r="I4" s="647" t="s">
        <v>165</v>
      </c>
      <c r="J4" s="647"/>
      <c r="K4" s="647"/>
    </row>
    <row r="5" spans="1:11" x14ac:dyDescent="0.2">
      <c r="A5" s="1112" t="str">
        <f>inputPrYr!$B62</f>
        <v>Sewer Reserve</v>
      </c>
      <c r="B5" s="1113"/>
      <c r="C5" s="1112">
        <f>inputPrYr!$B63</f>
        <v>0</v>
      </c>
      <c r="D5" s="1113"/>
      <c r="E5" s="1112">
        <f>inputPrYr!$B64</f>
        <v>0</v>
      </c>
      <c r="F5" s="1113"/>
      <c r="G5" s="1112">
        <f>inputPrYr!$B65</f>
        <v>0</v>
      </c>
      <c r="H5" s="1113"/>
      <c r="I5" s="1112">
        <f>inputPrYr!$B66</f>
        <v>0</v>
      </c>
      <c r="J5" s="1113"/>
      <c r="K5" s="827"/>
    </row>
    <row r="6" spans="1:11" x14ac:dyDescent="0.2">
      <c r="A6" s="828" t="s">
        <v>150</v>
      </c>
      <c r="B6" s="829"/>
      <c r="C6" s="830" t="s">
        <v>150</v>
      </c>
      <c r="D6" s="831"/>
      <c r="E6" s="830" t="s">
        <v>150</v>
      </c>
      <c r="F6" s="832"/>
      <c r="G6" s="830" t="s">
        <v>150</v>
      </c>
      <c r="H6" s="833"/>
      <c r="I6" s="830" t="s">
        <v>150</v>
      </c>
      <c r="J6" s="647"/>
      <c r="K6" s="834" t="s">
        <v>288</v>
      </c>
    </row>
    <row r="7" spans="1:11" x14ac:dyDescent="0.2">
      <c r="A7" s="835" t="s">
        <v>149</v>
      </c>
      <c r="B7" s="836">
        <v>171439</v>
      </c>
      <c r="C7" s="837" t="s">
        <v>149</v>
      </c>
      <c r="D7" s="836"/>
      <c r="E7" s="837" t="s">
        <v>149</v>
      </c>
      <c r="F7" s="836"/>
      <c r="G7" s="837" t="s">
        <v>149</v>
      </c>
      <c r="H7" s="836"/>
      <c r="I7" s="837" t="s">
        <v>149</v>
      </c>
      <c r="J7" s="836"/>
      <c r="K7" s="838">
        <f>SUM(B7+D7+F7+H7+J7)</f>
        <v>171439</v>
      </c>
    </row>
    <row r="8" spans="1:11" x14ac:dyDescent="0.2">
      <c r="A8" s="839" t="s">
        <v>127</v>
      </c>
      <c r="B8" s="840"/>
      <c r="C8" s="839" t="s">
        <v>127</v>
      </c>
      <c r="D8" s="841"/>
      <c r="E8" s="839" t="s">
        <v>127</v>
      </c>
      <c r="F8" s="824"/>
      <c r="G8" s="839" t="s">
        <v>127</v>
      </c>
      <c r="H8" s="647"/>
      <c r="I8" s="839" t="s">
        <v>127</v>
      </c>
      <c r="J8" s="647"/>
      <c r="K8" s="824"/>
    </row>
    <row r="9" spans="1:11" x14ac:dyDescent="0.2">
      <c r="A9" s="842" t="s">
        <v>1124</v>
      </c>
      <c r="B9" s="836">
        <v>10000</v>
      </c>
      <c r="C9" s="842"/>
      <c r="D9" s="836"/>
      <c r="E9" s="842"/>
      <c r="F9" s="836"/>
      <c r="G9" s="842"/>
      <c r="H9" s="836"/>
      <c r="I9" s="842"/>
      <c r="J9" s="836"/>
      <c r="K9" s="824"/>
    </row>
    <row r="10" spans="1:11" x14ac:dyDescent="0.2">
      <c r="A10" s="842"/>
      <c r="B10" s="836"/>
      <c r="C10" s="842"/>
      <c r="D10" s="836"/>
      <c r="E10" s="842"/>
      <c r="F10" s="836"/>
      <c r="G10" s="842"/>
      <c r="H10" s="836"/>
      <c r="I10" s="842"/>
      <c r="J10" s="836"/>
      <c r="K10" s="824"/>
    </row>
    <row r="11" spans="1:11" x14ac:dyDescent="0.2">
      <c r="A11" s="842"/>
      <c r="B11" s="836"/>
      <c r="C11" s="843"/>
      <c r="D11" s="844"/>
      <c r="E11" s="843"/>
      <c r="F11" s="844"/>
      <c r="G11" s="843"/>
      <c r="H11" s="844"/>
      <c r="I11" s="845"/>
      <c r="J11" s="836"/>
      <c r="K11" s="824"/>
    </row>
    <row r="12" spans="1:11" x14ac:dyDescent="0.2">
      <c r="A12" s="842"/>
      <c r="B12" s="846"/>
      <c r="C12" s="842"/>
      <c r="D12" s="847"/>
      <c r="E12" s="848"/>
      <c r="F12" s="847"/>
      <c r="G12" s="848"/>
      <c r="H12" s="847"/>
      <c r="I12" s="848"/>
      <c r="J12" s="836"/>
      <c r="K12" s="824"/>
    </row>
    <row r="13" spans="1:11" x14ac:dyDescent="0.2">
      <c r="A13" s="849"/>
      <c r="B13" s="850"/>
      <c r="C13" s="851"/>
      <c r="D13" s="850"/>
      <c r="E13" s="851"/>
      <c r="F13" s="850"/>
      <c r="G13" s="851"/>
      <c r="H13" s="850"/>
      <c r="I13" s="845"/>
      <c r="J13" s="836"/>
      <c r="K13" s="824"/>
    </row>
    <row r="14" spans="1:11" x14ac:dyDescent="0.2">
      <c r="A14" s="842"/>
      <c r="B14" s="850"/>
      <c r="C14" s="842"/>
      <c r="D14" s="850"/>
      <c r="E14" s="842"/>
      <c r="F14" s="836"/>
      <c r="G14" s="848"/>
      <c r="H14" s="850"/>
      <c r="I14" s="842"/>
      <c r="J14" s="847"/>
      <c r="K14" s="824"/>
    </row>
    <row r="15" spans="1:11" x14ac:dyDescent="0.2">
      <c r="A15" s="839" t="s">
        <v>30</v>
      </c>
      <c r="B15" s="838">
        <f>SUM(B9:B14)</f>
        <v>10000</v>
      </c>
      <c r="C15" s="839" t="s">
        <v>30</v>
      </c>
      <c r="D15" s="852">
        <f>SUM(D9:D14)</f>
        <v>0</v>
      </c>
      <c r="E15" s="839" t="s">
        <v>30</v>
      </c>
      <c r="F15" s="853">
        <f>SUM(F9:F14)</f>
        <v>0</v>
      </c>
      <c r="G15" s="839" t="s">
        <v>30</v>
      </c>
      <c r="H15" s="852">
        <f>SUM(H9:H14)</f>
        <v>0</v>
      </c>
      <c r="I15" s="839" t="s">
        <v>30</v>
      </c>
      <c r="J15" s="852">
        <f>SUM(J9:J14)</f>
        <v>0</v>
      </c>
      <c r="K15" s="838">
        <f>SUM(B15+D15+F15+H15+J15)</f>
        <v>10000</v>
      </c>
    </row>
    <row r="16" spans="1:11" x14ac:dyDescent="0.2">
      <c r="A16" s="839" t="s">
        <v>31</v>
      </c>
      <c r="B16" s="838">
        <f>SUM(B7+B15)</f>
        <v>181439</v>
      </c>
      <c r="C16" s="839" t="s">
        <v>31</v>
      </c>
      <c r="D16" s="838">
        <f>SUM(D7+D15)</f>
        <v>0</v>
      </c>
      <c r="E16" s="839" t="s">
        <v>31</v>
      </c>
      <c r="F16" s="838">
        <f>SUM(F7+F15)</f>
        <v>0</v>
      </c>
      <c r="G16" s="839" t="s">
        <v>31</v>
      </c>
      <c r="H16" s="838">
        <f>SUM(H7+H15)</f>
        <v>0</v>
      </c>
      <c r="I16" s="839" t="s">
        <v>31</v>
      </c>
      <c r="J16" s="838">
        <f>SUM(J7+J15)</f>
        <v>0</v>
      </c>
      <c r="K16" s="838">
        <f>SUM(B16+D16+F16+H16+J16)</f>
        <v>181439</v>
      </c>
    </row>
    <row r="17" spans="1:12" x14ac:dyDescent="0.2">
      <c r="A17" s="839" t="s">
        <v>33</v>
      </c>
      <c r="B17" s="840"/>
      <c r="C17" s="839" t="s">
        <v>33</v>
      </c>
      <c r="D17" s="841"/>
      <c r="E17" s="839" t="s">
        <v>33</v>
      </c>
      <c r="F17" s="824"/>
      <c r="G17" s="839" t="s">
        <v>33</v>
      </c>
      <c r="H17" s="647"/>
      <c r="I17" s="839" t="s">
        <v>33</v>
      </c>
      <c r="J17" s="647"/>
      <c r="K17" s="824"/>
    </row>
    <row r="18" spans="1:12" x14ac:dyDescent="0.2">
      <c r="A18" s="842" t="s">
        <v>1082</v>
      </c>
      <c r="B18" s="836">
        <v>0</v>
      </c>
      <c r="C18" s="848"/>
      <c r="D18" s="836"/>
      <c r="E18" s="848"/>
      <c r="F18" s="836"/>
      <c r="G18" s="848"/>
      <c r="H18" s="836"/>
      <c r="I18" s="848"/>
      <c r="J18" s="836"/>
      <c r="K18" s="824"/>
    </row>
    <row r="19" spans="1:12" x14ac:dyDescent="0.2">
      <c r="A19" s="842"/>
      <c r="B19" s="836"/>
      <c r="C19" s="848"/>
      <c r="D19" s="847"/>
      <c r="E19" s="848"/>
      <c r="F19" s="847"/>
      <c r="G19" s="848"/>
      <c r="H19" s="847"/>
      <c r="I19" s="848"/>
      <c r="J19" s="854"/>
      <c r="K19" s="824"/>
    </row>
    <row r="20" spans="1:12" x14ac:dyDescent="0.2">
      <c r="A20" s="842"/>
      <c r="B20" s="855"/>
      <c r="C20" s="851"/>
      <c r="D20" s="850"/>
      <c r="E20" s="851"/>
      <c r="F20" s="850"/>
      <c r="G20" s="851"/>
      <c r="H20" s="850"/>
      <c r="I20" s="845"/>
      <c r="J20" s="836"/>
      <c r="K20" s="824"/>
    </row>
    <row r="21" spans="1:12" x14ac:dyDescent="0.2">
      <c r="A21" s="842"/>
      <c r="B21" s="836"/>
      <c r="C21" s="848"/>
      <c r="D21" s="847"/>
      <c r="E21" s="848"/>
      <c r="F21" s="847"/>
      <c r="G21" s="848"/>
      <c r="H21" s="847"/>
      <c r="I21" s="848"/>
      <c r="J21" s="836"/>
      <c r="K21" s="824"/>
    </row>
    <row r="22" spans="1:12" x14ac:dyDescent="0.2">
      <c r="A22" s="842"/>
      <c r="B22" s="836"/>
      <c r="C22" s="848"/>
      <c r="D22" s="847"/>
      <c r="E22" s="848"/>
      <c r="F22" s="847"/>
      <c r="G22" s="848"/>
      <c r="H22" s="847"/>
      <c r="I22" s="848"/>
      <c r="J22" s="836"/>
      <c r="K22" s="824"/>
    </row>
    <row r="23" spans="1:12" x14ac:dyDescent="0.2">
      <c r="A23" s="842"/>
      <c r="B23" s="854"/>
      <c r="C23" s="842"/>
      <c r="D23" s="846"/>
      <c r="E23" s="842"/>
      <c r="F23" s="847"/>
      <c r="G23" s="848"/>
      <c r="H23" s="847"/>
      <c r="I23" s="848"/>
      <c r="J23" s="836"/>
      <c r="K23" s="824"/>
    </row>
    <row r="24" spans="1:12" x14ac:dyDescent="0.2">
      <c r="A24" s="839" t="s">
        <v>37</v>
      </c>
      <c r="B24" s="838">
        <f>SUM(B18:B23)</f>
        <v>0</v>
      </c>
      <c r="C24" s="839" t="s">
        <v>37</v>
      </c>
      <c r="D24" s="838">
        <f>SUM(D18:D23)</f>
        <v>0</v>
      </c>
      <c r="E24" s="839" t="s">
        <v>37</v>
      </c>
      <c r="F24" s="856">
        <f>SUM(F18:F23)</f>
        <v>0</v>
      </c>
      <c r="G24" s="839" t="s">
        <v>37</v>
      </c>
      <c r="H24" s="856">
        <f>SUM(H18:H23)</f>
        <v>0</v>
      </c>
      <c r="I24" s="839" t="s">
        <v>37</v>
      </c>
      <c r="J24" s="838">
        <f>SUM(J18:J23)</f>
        <v>0</v>
      </c>
      <c r="K24" s="838">
        <f>SUM(B24+D24+F24+H24+J24)</f>
        <v>0</v>
      </c>
    </row>
    <row r="25" spans="1:12" x14ac:dyDescent="0.2">
      <c r="A25" s="839" t="s">
        <v>149</v>
      </c>
      <c r="B25" s="838">
        <f>SUM(B16-B24)</f>
        <v>181439</v>
      </c>
      <c r="C25" s="839" t="s">
        <v>149</v>
      </c>
      <c r="D25" s="838">
        <f>SUM(D16-D24)</f>
        <v>0</v>
      </c>
      <c r="E25" s="839" t="s">
        <v>149</v>
      </c>
      <c r="F25" s="838">
        <f>SUM(F16-F24)</f>
        <v>0</v>
      </c>
      <c r="G25" s="839" t="s">
        <v>149</v>
      </c>
      <c r="H25" s="838">
        <f>SUM(H16-H24)</f>
        <v>0</v>
      </c>
      <c r="I25" s="839" t="s">
        <v>149</v>
      </c>
      <c r="J25" s="838">
        <f>SUM(J16-J24)</f>
        <v>0</v>
      </c>
      <c r="K25" s="857">
        <f>SUM(B25+D25+F25+H25+J25)</f>
        <v>181439</v>
      </c>
      <c r="L25" s="858" t="s">
        <v>209</v>
      </c>
    </row>
    <row r="26" spans="1:12" x14ac:dyDescent="0.2">
      <c r="A26" s="839"/>
      <c r="B26" s="859" t="str">
        <f>IF(B25&lt;0,"See Tab B","")</f>
        <v/>
      </c>
      <c r="C26" s="839"/>
      <c r="D26" s="859" t="str">
        <f>IF(D25&lt;0,"See Tab B","")</f>
        <v/>
      </c>
      <c r="E26" s="839"/>
      <c r="F26" s="859" t="str">
        <f>IF(F25&lt;0,"See Tab B","")</f>
        <v/>
      </c>
      <c r="G26" s="647"/>
      <c r="H26" s="859" t="str">
        <f>IF(H25&lt;0,"See Tab B","")</f>
        <v/>
      </c>
      <c r="I26" s="647"/>
      <c r="J26" s="859" t="str">
        <f>IF(J25&lt;0,"See Tab B","")</f>
        <v/>
      </c>
      <c r="K26" s="857">
        <f>SUM(K7+K15-K24)</f>
        <v>181439</v>
      </c>
      <c r="L26" s="858" t="s">
        <v>209</v>
      </c>
    </row>
    <row r="27" spans="1:12" x14ac:dyDescent="0.2">
      <c r="A27" s="647"/>
      <c r="B27" s="860"/>
      <c r="C27" s="647"/>
      <c r="D27" s="824"/>
      <c r="E27" s="647"/>
      <c r="F27" s="647"/>
      <c r="G27" s="861" t="s">
        <v>210</v>
      </c>
      <c r="H27" s="861"/>
      <c r="I27" s="861"/>
      <c r="J27" s="861"/>
      <c r="K27" s="647"/>
    </row>
    <row r="28" spans="1:12" x14ac:dyDescent="0.2">
      <c r="A28" s="647"/>
      <c r="B28" s="860"/>
      <c r="C28" s="647"/>
      <c r="D28" s="824"/>
      <c r="E28" s="647"/>
      <c r="F28" s="647"/>
      <c r="G28" s="647"/>
      <c r="H28" s="647"/>
      <c r="I28" s="647"/>
      <c r="J28" s="647"/>
      <c r="K28" s="647"/>
    </row>
    <row r="29" spans="1:12" x14ac:dyDescent="0.2">
      <c r="A29" s="862" t="s">
        <v>981</v>
      </c>
      <c r="B29" s="863"/>
      <c r="C29" s="864"/>
      <c r="D29" s="865"/>
      <c r="E29" s="864"/>
      <c r="F29" s="864"/>
      <c r="G29" s="864"/>
      <c r="H29" s="864"/>
      <c r="I29" s="864"/>
      <c r="J29" s="864"/>
      <c r="K29" s="866"/>
    </row>
    <row r="30" spans="1:12" x14ac:dyDescent="0.2">
      <c r="A30" s="867"/>
      <c r="B30" s="868"/>
      <c r="C30" s="869"/>
      <c r="D30" s="870"/>
      <c r="E30" s="869"/>
      <c r="F30" s="869"/>
      <c r="G30" s="869"/>
      <c r="H30" s="869"/>
      <c r="I30" s="869"/>
      <c r="J30" s="869"/>
      <c r="K30" s="871"/>
    </row>
    <row r="31" spans="1:12" x14ac:dyDescent="0.2">
      <c r="A31" s="872"/>
      <c r="B31" s="873"/>
      <c r="C31" s="827"/>
      <c r="D31" s="874"/>
      <c r="E31" s="827"/>
      <c r="F31" s="827"/>
      <c r="G31" s="827"/>
      <c r="H31" s="827"/>
      <c r="I31" s="827"/>
      <c r="J31" s="827"/>
      <c r="K31" s="875"/>
    </row>
    <row r="32" spans="1:12" x14ac:dyDescent="0.2">
      <c r="A32" s="647"/>
      <c r="B32" s="860"/>
      <c r="C32" s="647"/>
      <c r="D32" s="647"/>
      <c r="E32" s="647"/>
      <c r="F32" s="647"/>
      <c r="G32" s="647"/>
      <c r="H32" s="647"/>
      <c r="I32" s="647"/>
      <c r="J32" s="647"/>
      <c r="K32" s="647"/>
    </row>
    <row r="33" spans="1:11" x14ac:dyDescent="0.2">
      <c r="A33" s="647"/>
      <c r="B33" s="860"/>
      <c r="C33" s="647"/>
      <c r="D33" s="647"/>
      <c r="E33" s="876" t="s">
        <v>40</v>
      </c>
      <c r="F33" s="814">
        <v>12</v>
      </c>
      <c r="G33" s="647"/>
      <c r="H33" s="647"/>
      <c r="I33" s="647"/>
      <c r="J33" s="647"/>
      <c r="K33" s="647"/>
    </row>
    <row r="34" spans="1:11" x14ac:dyDescent="0.2">
      <c r="B34" s="877"/>
    </row>
    <row r="35" spans="1:11" x14ac:dyDescent="0.2">
      <c r="B35" s="877"/>
    </row>
    <row r="36" spans="1:11" x14ac:dyDescent="0.2">
      <c r="B36" s="877"/>
    </row>
    <row r="37" spans="1:11" x14ac:dyDescent="0.2">
      <c r="B37" s="877"/>
    </row>
    <row r="38" spans="1:11" x14ac:dyDescent="0.2">
      <c r="B38" s="877"/>
    </row>
    <row r="39" spans="1:11" x14ac:dyDescent="0.2">
      <c r="B39" s="877"/>
    </row>
    <row r="40" spans="1:11" x14ac:dyDescent="0.2">
      <c r="B40" s="877"/>
    </row>
    <row r="41" spans="1:11" x14ac:dyDescent="0.2">
      <c r="B41" s="877"/>
    </row>
  </sheetData>
  <mergeCells count="5">
    <mergeCell ref="I5:J5"/>
    <mergeCell ref="A5:B5"/>
    <mergeCell ref="C5:D5"/>
    <mergeCell ref="E5:F5"/>
    <mergeCell ref="G5:H5"/>
  </mergeCells>
  <phoneticPr fontId="9" type="noConversion"/>
  <printOptions horizontalCentered="1"/>
  <pageMargins left="0.75" right="0.75" top="1" bottom="1" header="0.5" footer="0.5"/>
  <pageSetup scale="88" orientation="landscape" blackAndWhite="1"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66"/>
  <sheetViews>
    <sheetView topLeftCell="A10" workbookViewId="0">
      <selection activeCell="N108" sqref="N108"/>
    </sheetView>
  </sheetViews>
  <sheetFormatPr defaultColWidth="8.88671875" defaultRowHeight="15" x14ac:dyDescent="0.2"/>
  <cols>
    <col min="1" max="1" width="70.5546875" style="62" customWidth="1"/>
    <col min="2" max="16384" width="8.88671875" style="62"/>
  </cols>
  <sheetData>
    <row r="1" spans="1:1" ht="18.75" x14ac:dyDescent="0.3">
      <c r="A1" s="230" t="s">
        <v>321</v>
      </c>
    </row>
    <row r="2" spans="1:1" ht="15.75" x14ac:dyDescent="0.25">
      <c r="A2" s="1"/>
    </row>
    <row r="3" spans="1:1" ht="57" customHeight="1" x14ac:dyDescent="0.25">
      <c r="A3" s="231" t="s">
        <v>659</v>
      </c>
    </row>
    <row r="4" spans="1:1" ht="15.75" x14ac:dyDescent="0.25">
      <c r="A4" s="232"/>
    </row>
    <row r="5" spans="1:1" ht="15.75" x14ac:dyDescent="0.25">
      <c r="A5" s="1"/>
    </row>
    <row r="6" spans="1:1" ht="44.25" customHeight="1" x14ac:dyDescent="0.25">
      <c r="A6" s="231" t="s">
        <v>660</v>
      </c>
    </row>
    <row r="7" spans="1:1" ht="15.75" x14ac:dyDescent="0.25">
      <c r="A7" s="1"/>
    </row>
    <row r="8" spans="1:1" ht="15.75" x14ac:dyDescent="0.25">
      <c r="A8" s="232"/>
    </row>
    <row r="9" spans="1:1" ht="46.5" customHeight="1" x14ac:dyDescent="0.25">
      <c r="A9" s="231" t="s">
        <v>661</v>
      </c>
    </row>
    <row r="10" spans="1:1" ht="15.75" x14ac:dyDescent="0.25">
      <c r="A10" s="1"/>
    </row>
    <row r="11" spans="1:1" ht="15.75" x14ac:dyDescent="0.25">
      <c r="A11" s="232"/>
    </row>
    <row r="12" spans="1:1" ht="60" customHeight="1" x14ac:dyDescent="0.25">
      <c r="A12" s="231" t="s">
        <v>662</v>
      </c>
    </row>
    <row r="13" spans="1:1" ht="15.75" x14ac:dyDescent="0.25">
      <c r="A13" s="1"/>
    </row>
    <row r="14" spans="1:1" ht="15.75" x14ac:dyDescent="0.25">
      <c r="A14" s="1"/>
    </row>
    <row r="15" spans="1:1" ht="61.5" customHeight="1" x14ac:dyDescent="0.25">
      <c r="A15" s="231" t="s">
        <v>663</v>
      </c>
    </row>
    <row r="16" spans="1:1" ht="15.75" x14ac:dyDescent="0.25">
      <c r="A16" s="1"/>
    </row>
    <row r="17" spans="1:1" ht="15.75" x14ac:dyDescent="0.25">
      <c r="A17" s="1"/>
    </row>
    <row r="18" spans="1:1" ht="59.25" customHeight="1" x14ac:dyDescent="0.25">
      <c r="A18" s="231" t="s">
        <v>664</v>
      </c>
    </row>
    <row r="19" spans="1:1" ht="15.75" x14ac:dyDescent="0.25">
      <c r="A19" s="1"/>
    </row>
    <row r="20" spans="1:1" ht="15.75" x14ac:dyDescent="0.25">
      <c r="A20" s="1"/>
    </row>
    <row r="21" spans="1:1" ht="61.5" customHeight="1" x14ac:dyDescent="0.25">
      <c r="A21" s="231" t="s">
        <v>665</v>
      </c>
    </row>
    <row r="22" spans="1:1" ht="15.75" x14ac:dyDescent="0.25">
      <c r="A22" s="232"/>
    </row>
    <row r="23" spans="1:1" ht="15.75" x14ac:dyDescent="0.25">
      <c r="A23" s="232"/>
    </row>
    <row r="24" spans="1:1" ht="63" customHeight="1" x14ac:dyDescent="0.25">
      <c r="A24" s="231" t="s">
        <v>666</v>
      </c>
    </row>
    <row r="25" spans="1:1" ht="15.75" x14ac:dyDescent="0.25">
      <c r="A25" s="1"/>
    </row>
    <row r="26" spans="1:1" ht="15.75" x14ac:dyDescent="0.25">
      <c r="A26" s="1"/>
    </row>
    <row r="27" spans="1:1" ht="52.5" customHeight="1" x14ac:dyDescent="0.25">
      <c r="A27" s="233" t="s">
        <v>667</v>
      </c>
    </row>
    <row r="28" spans="1:1" ht="15.75" x14ac:dyDescent="0.25">
      <c r="A28" s="1"/>
    </row>
    <row r="29" spans="1:1" ht="15.75" x14ac:dyDescent="0.25">
      <c r="A29" s="1"/>
    </row>
    <row r="30" spans="1:1" ht="44.25" customHeight="1" x14ac:dyDescent="0.25">
      <c r="A30" s="231" t="s">
        <v>668</v>
      </c>
    </row>
    <row r="31" spans="1:1" ht="15.75" x14ac:dyDescent="0.25">
      <c r="A31" s="1"/>
    </row>
    <row r="32" spans="1:1" ht="15.75" x14ac:dyDescent="0.25">
      <c r="A32" s="1"/>
    </row>
    <row r="33" spans="1:1" ht="42.75" customHeight="1" x14ac:dyDescent="0.25">
      <c r="A33" s="231" t="s">
        <v>669</v>
      </c>
    </row>
    <row r="34" spans="1:1" ht="15.75" x14ac:dyDescent="0.25">
      <c r="A34" s="232"/>
    </row>
    <row r="35" spans="1:1" ht="15.75" x14ac:dyDescent="0.25">
      <c r="A35" s="232"/>
    </row>
    <row r="36" spans="1:1" ht="38.25" customHeight="1" x14ac:dyDescent="0.25">
      <c r="A36" s="231" t="s">
        <v>670</v>
      </c>
    </row>
    <row r="37" spans="1:1" ht="15.75" x14ac:dyDescent="0.25">
      <c r="A37" s="232"/>
    </row>
    <row r="38" spans="1:1" ht="15.75" x14ac:dyDescent="0.25">
      <c r="A38" s="1"/>
    </row>
    <row r="39" spans="1:1" ht="75.75" customHeight="1" x14ac:dyDescent="0.25">
      <c r="A39" s="231" t="s">
        <v>671</v>
      </c>
    </row>
    <row r="40" spans="1:1" ht="15.75" x14ac:dyDescent="0.25">
      <c r="A40" s="1"/>
    </row>
    <row r="41" spans="1:1" ht="15.75" x14ac:dyDescent="0.25">
      <c r="A41" s="1"/>
    </row>
    <row r="42" spans="1:1" ht="57.75" customHeight="1" x14ac:dyDescent="0.25">
      <c r="A42" s="231" t="s">
        <v>672</v>
      </c>
    </row>
    <row r="43" spans="1:1" ht="15.75" x14ac:dyDescent="0.25">
      <c r="A43" s="232"/>
    </row>
    <row r="44" spans="1:1" ht="15.75" x14ac:dyDescent="0.25">
      <c r="A44" s="1"/>
    </row>
    <row r="45" spans="1:1" ht="57.75" customHeight="1" x14ac:dyDescent="0.25">
      <c r="A45" s="231" t="s">
        <v>673</v>
      </c>
    </row>
    <row r="46" spans="1:1" ht="15.75" x14ac:dyDescent="0.25">
      <c r="A46" s="1"/>
    </row>
    <row r="47" spans="1:1" ht="15.75" x14ac:dyDescent="0.25">
      <c r="A47" s="1"/>
    </row>
    <row r="48" spans="1:1" ht="41.25" customHeight="1" x14ac:dyDescent="0.25">
      <c r="A48" s="231" t="s">
        <v>674</v>
      </c>
    </row>
    <row r="49" spans="1:1" ht="15.75" x14ac:dyDescent="0.25">
      <c r="A49" s="1"/>
    </row>
    <row r="50" spans="1:1" ht="15.75" x14ac:dyDescent="0.25">
      <c r="A50" s="1"/>
    </row>
    <row r="51" spans="1:1" ht="75" customHeight="1" x14ac:dyDescent="0.25">
      <c r="A51" s="231" t="s">
        <v>675</v>
      </c>
    </row>
    <row r="52" spans="1:1" ht="15.75" x14ac:dyDescent="0.25">
      <c r="A52" s="232"/>
    </row>
    <row r="53" spans="1:1" ht="15.75" x14ac:dyDescent="0.25">
      <c r="A53" s="232"/>
    </row>
    <row r="54" spans="1:1" ht="57.75" customHeight="1" x14ac:dyDescent="0.25">
      <c r="A54" s="231" t="s">
        <v>676</v>
      </c>
    </row>
    <row r="55" spans="1:1" ht="15.75" x14ac:dyDescent="0.25">
      <c r="A55" s="1"/>
    </row>
    <row r="56" spans="1:1" ht="15.75" x14ac:dyDescent="0.25">
      <c r="A56" s="1"/>
    </row>
    <row r="57" spans="1:1" ht="44.25" customHeight="1" x14ac:dyDescent="0.25">
      <c r="A57" s="231" t="s">
        <v>677</v>
      </c>
    </row>
    <row r="58" spans="1:1" ht="15.75" x14ac:dyDescent="0.25">
      <c r="A58" s="1"/>
    </row>
    <row r="59" spans="1:1" ht="15.75" x14ac:dyDescent="0.25">
      <c r="A59" s="1"/>
    </row>
    <row r="60" spans="1:1" ht="60" customHeight="1" x14ac:dyDescent="0.25">
      <c r="A60" s="231" t="s">
        <v>678</v>
      </c>
    </row>
    <row r="61" spans="1:1" ht="15.75" x14ac:dyDescent="0.25">
      <c r="A61" s="232"/>
    </row>
    <row r="62" spans="1:1" ht="15.75" x14ac:dyDescent="0.25">
      <c r="A62" s="232"/>
    </row>
    <row r="63" spans="1:1" ht="57.75" customHeight="1" x14ac:dyDescent="0.25">
      <c r="A63" s="231" t="s">
        <v>679</v>
      </c>
    </row>
    <row r="64" spans="1:1" ht="15.75" x14ac:dyDescent="0.25">
      <c r="A64" s="1"/>
    </row>
    <row r="65" spans="1:1" ht="15.75" x14ac:dyDescent="0.25">
      <c r="A65" s="1"/>
    </row>
    <row r="66" spans="1:1" ht="60" customHeight="1" x14ac:dyDescent="0.25">
      <c r="A66" s="231" t="s">
        <v>680</v>
      </c>
    </row>
  </sheetData>
  <sheetProtection sheet="1" objects="1" scenarios="1"/>
  <pageMargins left="0.7" right="0.7" top="0.75" bottom="0.75" header="0.3" footer="0.3"/>
  <pageSetup orientation="portrait" r:id="rId1"/>
  <headerFooter>
    <oddFooter>&amp;Lrevised 10/2/09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pageSetUpPr fitToPage="1"/>
  </sheetPr>
  <dimension ref="A1:M45"/>
  <sheetViews>
    <sheetView topLeftCell="A13" zoomScale="75" workbookViewId="0">
      <selection activeCell="F32" sqref="F32"/>
    </sheetView>
  </sheetViews>
  <sheetFormatPr defaultColWidth="8.88671875" defaultRowHeight="15.75" x14ac:dyDescent="0.2"/>
  <cols>
    <col min="1" max="1" width="20.77734375" style="541" customWidth="1"/>
    <col min="2" max="2" width="15.77734375" style="541" customWidth="1"/>
    <col min="3" max="3" width="10.77734375" style="541" customWidth="1"/>
    <col min="4" max="4" width="15.77734375" style="541" customWidth="1"/>
    <col min="5" max="5" width="10.77734375" style="541" customWidth="1"/>
    <col min="6" max="6" width="15.77734375" style="541" customWidth="1"/>
    <col min="7" max="7" width="12.77734375" style="541" customWidth="1"/>
    <col min="8" max="8" width="10.77734375" style="541" customWidth="1"/>
    <col min="9" max="9" width="8.88671875" style="541" customWidth="1"/>
    <col min="10" max="10" width="12.44140625" style="541" customWidth="1"/>
    <col min="11" max="11" width="12.33203125" style="541" customWidth="1"/>
    <col min="12" max="12" width="10.5546875" style="541" customWidth="1"/>
    <col min="13" max="13" width="12.109375" style="541" customWidth="1"/>
    <col min="14" max="16384" width="8.88671875" style="541"/>
  </cols>
  <sheetData>
    <row r="1" spans="1:9" x14ac:dyDescent="0.2">
      <c r="A1" s="647"/>
      <c r="B1" s="647"/>
      <c r="C1" s="647"/>
      <c r="D1" s="647"/>
      <c r="E1" s="647"/>
      <c r="F1" s="647"/>
      <c r="G1" s="647"/>
      <c r="H1" s="647">
        <f>inputPrYr!$C$6</f>
        <v>2020</v>
      </c>
    </row>
    <row r="2" spans="1:9" x14ac:dyDescent="0.2">
      <c r="A2" s="1123" t="s">
        <v>84</v>
      </c>
      <c r="B2" s="1123"/>
      <c r="C2" s="1123"/>
      <c r="D2" s="1123"/>
      <c r="E2" s="1123"/>
      <c r="F2" s="1123"/>
      <c r="G2" s="1123"/>
      <c r="H2" s="1123"/>
      <c r="I2" s="878"/>
    </row>
    <row r="3" spans="1:9" x14ac:dyDescent="0.2">
      <c r="A3" s="540"/>
      <c r="B3" s="540"/>
      <c r="C3" s="540"/>
      <c r="D3" s="540"/>
      <c r="E3" s="540"/>
      <c r="F3" s="540"/>
      <c r="G3" s="540"/>
      <c r="H3" s="540"/>
    </row>
    <row r="4" spans="1:9" x14ac:dyDescent="0.2">
      <c r="A4" s="1044" t="s">
        <v>41</v>
      </c>
      <c r="B4" s="1044"/>
      <c r="C4" s="1044"/>
      <c r="D4" s="1044"/>
      <c r="E4" s="1044"/>
      <c r="F4" s="1044"/>
      <c r="G4" s="1044"/>
      <c r="H4" s="1044"/>
    </row>
    <row r="5" spans="1:9" x14ac:dyDescent="0.2">
      <c r="A5" s="1042" t="str">
        <f>inputPrYr!D3</f>
        <v>UNIFIED GREELEY COUNTY - MUNICIPAL SERVICE DISTRICT</v>
      </c>
      <c r="B5" s="1042"/>
      <c r="C5" s="1042"/>
      <c r="D5" s="1042"/>
      <c r="E5" s="1042"/>
      <c r="F5" s="1042"/>
      <c r="G5" s="1042"/>
      <c r="H5" s="1042"/>
    </row>
    <row r="6" spans="1:9" x14ac:dyDescent="0.25">
      <c r="A6" s="1125" t="str">
        <f>CONCATENATE("will meet on ",inputBudSum!B7," at ",inputBudSum!B9," at ",inputBudSum!B11," for the purpose of")</f>
        <v>will meet on  at  at GREELEY COUNTY COURTHOUSE for the purpose of</v>
      </c>
      <c r="B6" s="1125"/>
      <c r="C6" s="1125"/>
      <c r="D6" s="1125"/>
      <c r="E6" s="1125"/>
      <c r="F6" s="1125"/>
      <c r="G6" s="1125"/>
      <c r="H6" s="1125"/>
    </row>
    <row r="7" spans="1:9" x14ac:dyDescent="0.2">
      <c r="A7" s="1044" t="s">
        <v>556</v>
      </c>
      <c r="B7" s="1044"/>
      <c r="C7" s="1044"/>
      <c r="D7" s="1044"/>
      <c r="E7" s="1044"/>
      <c r="F7" s="1044"/>
      <c r="G7" s="1044"/>
      <c r="H7" s="1044"/>
    </row>
    <row r="8" spans="1:9" x14ac:dyDescent="0.2">
      <c r="A8" s="1124" t="str">
        <f>CONCATENATE("Detailed budget information is available at ",inputBudSum!B14," and will be available at this hearing.")</f>
        <v>Detailed budget information is available at CITY HALL and will be available at this hearing.</v>
      </c>
      <c r="B8" s="1124"/>
      <c r="C8" s="1124"/>
      <c r="D8" s="1124"/>
      <c r="E8" s="1124"/>
      <c r="F8" s="1124"/>
      <c r="G8" s="1124"/>
      <c r="H8" s="1124"/>
    </row>
    <row r="9" spans="1:9" x14ac:dyDescent="0.2">
      <c r="A9" s="879" t="s">
        <v>85</v>
      </c>
      <c r="B9" s="545"/>
      <c r="C9" s="545"/>
      <c r="D9" s="545"/>
      <c r="E9" s="545"/>
      <c r="F9" s="545"/>
      <c r="G9" s="545"/>
      <c r="H9" s="545"/>
    </row>
    <row r="10" spans="1:9" x14ac:dyDescent="0.2">
      <c r="A10" s="544" t="str">
        <f>CONCATENATE("Proposed Budget ",H1," Expenditures and Amount of  ",H1-1," Ad Valorem Tax establish the maximum limits of the ",H1," budget.")</f>
        <v>Proposed Budget 2020 Expenditures and Amount of  2019 Ad Valorem Tax establish the maximum limits of the 2020 budget.</v>
      </c>
      <c r="B10" s="545"/>
      <c r="C10" s="545"/>
      <c r="D10" s="545"/>
      <c r="E10" s="545"/>
      <c r="F10" s="545"/>
      <c r="G10" s="545"/>
      <c r="H10" s="545"/>
    </row>
    <row r="11" spans="1:9" x14ac:dyDescent="0.2">
      <c r="A11" s="544" t="s">
        <v>131</v>
      </c>
      <c r="B11" s="545"/>
      <c r="C11" s="545"/>
      <c r="D11" s="545"/>
      <c r="E11" s="545"/>
      <c r="F11" s="545"/>
      <c r="G11" s="545"/>
      <c r="H11" s="545"/>
    </row>
    <row r="12" spans="1:9" x14ac:dyDescent="0.2">
      <c r="A12" s="540"/>
      <c r="B12" s="605"/>
      <c r="C12" s="605"/>
      <c r="D12" s="605"/>
      <c r="E12" s="605"/>
      <c r="F12" s="605"/>
      <c r="G12" s="605"/>
      <c r="H12" s="605"/>
    </row>
    <row r="13" spans="1:9" x14ac:dyDescent="0.2">
      <c r="A13" s="540"/>
      <c r="B13" s="880" t="str">
        <f>CONCATENATE("Prior Year Actual for ",H1-2,"")</f>
        <v>Prior Year Actual for 2018</v>
      </c>
      <c r="C13" s="548"/>
      <c r="D13" s="880" t="str">
        <f>CONCATENATE("Current Year Estimate for ",H1-1,"")</f>
        <v>Current Year Estimate for 2019</v>
      </c>
      <c r="E13" s="548"/>
      <c r="F13" s="546" t="str">
        <f>CONCATENATE("Proposed Budget for ",H1,"")</f>
        <v>Proposed Budget for 2020</v>
      </c>
      <c r="G13" s="547"/>
      <c r="H13" s="548"/>
    </row>
    <row r="14" spans="1:9" ht="21" customHeight="1" x14ac:dyDescent="0.25">
      <c r="A14" s="540"/>
      <c r="B14" s="803"/>
      <c r="C14" s="551" t="s">
        <v>42</v>
      </c>
      <c r="D14" s="551"/>
      <c r="E14" s="551" t="s">
        <v>42</v>
      </c>
      <c r="F14" s="881" t="s">
        <v>223</v>
      </c>
      <c r="G14" s="551" t="str">
        <f>CONCATENATE("Amount of ",H1-1,"")</f>
        <v>Amount of 2019</v>
      </c>
      <c r="H14" s="551" t="s">
        <v>180</v>
      </c>
    </row>
    <row r="15" spans="1:9" x14ac:dyDescent="0.25">
      <c r="A15" s="570" t="s">
        <v>43</v>
      </c>
      <c r="B15" s="557" t="s">
        <v>44</v>
      </c>
      <c r="C15" s="557" t="s">
        <v>45</v>
      </c>
      <c r="D15" s="557" t="s">
        <v>44</v>
      </c>
      <c r="E15" s="557" t="s">
        <v>45</v>
      </c>
      <c r="F15" s="882" t="s">
        <v>576</v>
      </c>
      <c r="G15" s="558" t="s">
        <v>24</v>
      </c>
      <c r="H15" s="557" t="s">
        <v>45</v>
      </c>
    </row>
    <row r="16" spans="1:9" x14ac:dyDescent="0.2">
      <c r="A16" s="574" t="str">
        <f>inputPrYr!B22</f>
        <v>General</v>
      </c>
      <c r="B16" s="686">
        <f>IF(GEN!$C$52&lt;&gt;0,GEN!$C$52,"  ")</f>
        <v>465718</v>
      </c>
      <c r="C16" s="930">
        <f>IF(inputPrYr!D69&gt;0,inputPrYr!D69,"  ")</f>
        <v>64.308000000000007</v>
      </c>
      <c r="D16" s="686">
        <f>IF(GEN!$D$52&lt;&gt;0,GEN!$D$52,"  ")</f>
        <v>564500</v>
      </c>
      <c r="E16" s="930">
        <f>IF(inputOth!D22&gt;0,inputOth!D22,"  ")</f>
        <v>63.877000000000002</v>
      </c>
      <c r="F16" s="686">
        <f>IF(GEN!$E$52&lt;&gt;0,GEN!$E$52,"  ")</f>
        <v>881100</v>
      </c>
      <c r="G16" s="686">
        <f>IF(GEN!$E$59&lt;&gt;0,GEN!$E$59,"  ")</f>
        <v>309256</v>
      </c>
      <c r="H16" s="930">
        <f>IF(GEN!E59&gt;0,ROUND(G16/$F$32*1000,3),"  ")</f>
        <v>63.456000000000003</v>
      </c>
    </row>
    <row r="17" spans="1:13" x14ac:dyDescent="0.2">
      <c r="A17" s="574" t="str">
        <f>IF(inputPrYr!$B39&gt;"  ",(inputPrYr!$B39),"  ")</f>
        <v>Special Street Construction</v>
      </c>
      <c r="B17" s="686">
        <f>IF('SP-SS'!$C$23&gt;0,'SP-SS'!$C$23,"  ")</f>
        <v>19511</v>
      </c>
      <c r="C17" s="568"/>
      <c r="D17" s="686">
        <f>IF('SP-SS'!$D$23&gt;0,'SP-SS'!$D$23,"  ")</f>
        <v>26313</v>
      </c>
      <c r="E17" s="568"/>
      <c r="F17" s="686">
        <f>IF('SP-SS'!$E$23&gt;0,'SP-SS'!$E$23,"  ")</f>
        <v>79833</v>
      </c>
      <c r="G17" s="686"/>
      <c r="H17" s="568"/>
    </row>
    <row r="18" spans="1:13" x14ac:dyDescent="0.2">
      <c r="A18" s="574" t="str">
        <f>IF(inputPrYr!$B40&gt;"  ",(inputPrYr!$B40),"  ")</f>
        <v>Special Parks &amp; Recreation</v>
      </c>
      <c r="B18" s="686" t="str">
        <f>IF('SP-SS'!$C$49&gt;0,'SP-SS'!$C$49,"  ")</f>
        <v xml:space="preserve">  </v>
      </c>
      <c r="C18" s="568"/>
      <c r="D18" s="686">
        <f>IF('SP-SS'!$D$49&gt;0,'SP-SS'!$D$49,"  ")</f>
        <v>4000</v>
      </c>
      <c r="E18" s="568"/>
      <c r="F18" s="686">
        <f>IF('SP-SS'!$E$49&gt;0,'SP-SS'!$E$49,"  ")</f>
        <v>7422</v>
      </c>
      <c r="G18" s="686"/>
      <c r="H18" s="568"/>
    </row>
    <row r="19" spans="1:13" x14ac:dyDescent="0.2">
      <c r="A19" s="574" t="str">
        <f>IF(inputPrYr!$B41&gt;"  ",(inputPrYr!$B41),"  ")</f>
        <v>Sanitation</v>
      </c>
      <c r="B19" s="686">
        <f>IF('SAN-SEW'!$C$26&gt;0,'SAN-SEW'!$C$26,"  ")</f>
        <v>111503</v>
      </c>
      <c r="C19" s="568"/>
      <c r="D19" s="686">
        <f>IF('SAN-SEW'!$D$26&gt;0,'SAN-SEW'!$D$26,"  ")</f>
        <v>120589</v>
      </c>
      <c r="E19" s="568"/>
      <c r="F19" s="686">
        <f>IF('SAN-SEW'!$E$26&gt;0,'SAN-SEW'!$E$26,"  ")</f>
        <v>153214</v>
      </c>
      <c r="G19" s="686"/>
      <c r="H19" s="568"/>
    </row>
    <row r="20" spans="1:13" x14ac:dyDescent="0.25">
      <c r="A20" s="574" t="str">
        <f>IF(inputPrYr!$B42&gt;"  ",(inputPrYr!$B42),"  ")</f>
        <v>Sewer</v>
      </c>
      <c r="B20" s="686">
        <f>IF('SAN-SEW'!$C$53&gt;0,'SAN-SEW'!$C$53,"  ")</f>
        <v>44020</v>
      </c>
      <c r="C20" s="568"/>
      <c r="D20" s="686">
        <f>IF('SAN-SEW'!$D$53&gt;0,'SAN-SEW'!$D$53,"  ")</f>
        <v>49687</v>
      </c>
      <c r="E20" s="568"/>
      <c r="F20" s="686">
        <f>IF('SAN-SEW'!$E$53&gt;0,'SAN-SEW'!$E$53,"  ")</f>
        <v>64627</v>
      </c>
      <c r="G20" s="686"/>
      <c r="H20" s="568"/>
      <c r="J20" s="1114" t="str">
        <f>CONCATENATE("Estimated Value Of One Mill For ",H1,"")</f>
        <v>Estimated Value Of One Mill For 2020</v>
      </c>
      <c r="K20" s="1115"/>
      <c r="L20" s="1115"/>
      <c r="M20" s="1116"/>
    </row>
    <row r="21" spans="1:13" x14ac:dyDescent="0.25">
      <c r="A21" s="574" t="str">
        <f>IF(inputPrYr!$B49&gt;"  ",(inputPrYr!$B49),"  ")</f>
        <v>Waterworks</v>
      </c>
      <c r="B21" s="686">
        <f>IF(WW!$C$41&gt;0,WW!$C$41,"  ")</f>
        <v>197612</v>
      </c>
      <c r="C21" s="568"/>
      <c r="D21" s="686">
        <f>IF(WW!$D$41&gt;0,WW!$D$41,"  ")</f>
        <v>237000</v>
      </c>
      <c r="E21" s="568"/>
      <c r="F21" s="686">
        <f>IF(WW!$E$41&gt;0,WW!$E$41,"  ")</f>
        <v>334508</v>
      </c>
      <c r="G21" s="686"/>
      <c r="H21" s="568"/>
      <c r="J21" s="885"/>
      <c r="K21" s="883"/>
      <c r="L21" s="883"/>
      <c r="M21" s="886"/>
    </row>
    <row r="22" spans="1:13" x14ac:dyDescent="0.25">
      <c r="A22" s="574" t="str">
        <f>IF(inputPrYr!$B50&gt;"  ",(inputPrYr!$B50),"  ")</f>
        <v xml:space="preserve">  </v>
      </c>
      <c r="B22" s="686"/>
      <c r="C22" s="568"/>
      <c r="D22" s="686"/>
      <c r="E22" s="568"/>
      <c r="F22" s="686"/>
      <c r="G22" s="686"/>
      <c r="H22" s="568"/>
      <c r="J22" s="885" t="str">
        <f>CONCATENATE("",H1-1," Mill Rate Was:")</f>
        <v>2019 Mill Rate Was:</v>
      </c>
      <c r="K22" s="883"/>
      <c r="L22" s="883"/>
      <c r="M22" s="887">
        <f>E27</f>
        <v>63.877000000000002</v>
      </c>
    </row>
    <row r="23" spans="1:13" x14ac:dyDescent="0.25">
      <c r="A23" s="574" t="str">
        <f>IF(inputPrYr!$B51&gt;"  ",(inputPrYr!$B51),"  ")</f>
        <v xml:space="preserve">  </v>
      </c>
      <c r="B23" s="686"/>
      <c r="C23" s="568"/>
      <c r="D23" s="686"/>
      <c r="E23" s="568"/>
      <c r="F23" s="686"/>
      <c r="G23" s="686"/>
      <c r="H23" s="568"/>
      <c r="J23" s="888" t="str">
        <f>CONCATENATE("",H1," Tax Levy Fund Expenditures Must Be")</f>
        <v>2020 Tax Levy Fund Expenditures Must Be</v>
      </c>
      <c r="K23" s="889"/>
      <c r="L23" s="889"/>
      <c r="M23" s="886"/>
    </row>
    <row r="24" spans="1:13" x14ac:dyDescent="0.25">
      <c r="A24" s="574" t="str">
        <f>IF(inputPrYr!$B52&gt;"  ",(inputPrYr!$B52),"  ")</f>
        <v xml:space="preserve">  </v>
      </c>
      <c r="B24" s="686"/>
      <c r="C24" s="568"/>
      <c r="D24" s="686"/>
      <c r="E24" s="568"/>
      <c r="F24" s="686"/>
      <c r="G24" s="686"/>
      <c r="H24" s="568"/>
      <c r="J24" s="888" t="str">
        <f>IF(M24&gt;0,"Increased By:","")</f>
        <v>Increased By:</v>
      </c>
      <c r="K24" s="889"/>
      <c r="L24" s="889"/>
      <c r="M24" s="890">
        <f>IF(M31&lt;0,M31*-1,0)</f>
        <v>2051</v>
      </c>
    </row>
    <row r="25" spans="1:13" x14ac:dyDescent="0.2">
      <c r="A25" s="574" t="str">
        <f>IF(inputPrYr!$B56&gt;" ",(NONBUDA!$A3),"  ")</f>
        <v>Non-Budgeted Funds-A</v>
      </c>
      <c r="B25" s="686">
        <f>IF(NONBUDA!K24&gt;0,NONBUDA!K24,"  ")</f>
        <v>362859</v>
      </c>
      <c r="C25" s="568"/>
      <c r="D25" s="686"/>
      <c r="E25" s="568"/>
      <c r="F25" s="686"/>
      <c r="G25" s="686"/>
      <c r="H25" s="568"/>
      <c r="J25" s="891" t="str">
        <f>IF(M25&lt;0,"Reduced By:","")</f>
        <v/>
      </c>
      <c r="K25" s="892"/>
      <c r="L25" s="892"/>
      <c r="M25" s="893">
        <f>IF(M31&gt;0,M31*-1,0)</f>
        <v>0</v>
      </c>
    </row>
    <row r="26" spans="1:13" x14ac:dyDescent="0.25">
      <c r="A26" s="574" t="str">
        <f>IF(inputPrYr!$B62&gt;" ",(NONBUDB!$A3),"  ")</f>
        <v>Non-Budgeted Funds-B</v>
      </c>
      <c r="B26" s="686" t="str">
        <f>IF(NONBUDB!K24&gt;0,NONBUDB!K24,"  ")</f>
        <v xml:space="preserve">  </v>
      </c>
      <c r="C26" s="629"/>
      <c r="D26" s="931"/>
      <c r="E26" s="629"/>
      <c r="F26" s="931"/>
      <c r="G26" s="931"/>
      <c r="H26" s="629"/>
      <c r="J26" s="894"/>
      <c r="K26" s="894"/>
      <c r="L26" s="894"/>
      <c r="M26" s="894"/>
    </row>
    <row r="27" spans="1:13" x14ac:dyDescent="0.25">
      <c r="A27" s="550" t="s">
        <v>693</v>
      </c>
      <c r="B27" s="932">
        <f>SUM(B16:B26)</f>
        <v>1201223</v>
      </c>
      <c r="C27" s="933">
        <f>SUM(C16:C16)</f>
        <v>64.308000000000007</v>
      </c>
      <c r="D27" s="932">
        <f>SUM(D16:D26)</f>
        <v>1002089</v>
      </c>
      <c r="E27" s="933">
        <f>SUM(E16:E16)</f>
        <v>63.877000000000002</v>
      </c>
      <c r="F27" s="932">
        <f>SUM(F16:F26)</f>
        <v>1520704</v>
      </c>
      <c r="G27" s="932">
        <f>SUM(G16:G26)</f>
        <v>309256</v>
      </c>
      <c r="H27" s="934">
        <f>SUM(H16:H16)</f>
        <v>63.456000000000003</v>
      </c>
      <c r="J27" s="1114" t="str">
        <f>CONCATENATE("Impact On Keeping The Same Mill Rate As For ",H1-1,"")</f>
        <v>Impact On Keeping The Same Mill Rate As For 2019</v>
      </c>
      <c r="K27" s="1119"/>
      <c r="L27" s="1119"/>
      <c r="M27" s="1120"/>
    </row>
    <row r="28" spans="1:13" x14ac:dyDescent="0.25">
      <c r="A28" s="552" t="s">
        <v>46</v>
      </c>
      <c r="B28" s="935">
        <f>TRANSFERS!C28</f>
        <v>125000</v>
      </c>
      <c r="C28" s="936"/>
      <c r="D28" s="935">
        <f>TRANSFERS!D28</f>
        <v>175000</v>
      </c>
      <c r="E28" s="936"/>
      <c r="F28" s="935">
        <f>TRANSFERS!E28</f>
        <v>245000</v>
      </c>
      <c r="G28" s="937"/>
      <c r="H28" s="938"/>
      <c r="I28" s="895"/>
      <c r="J28" s="885"/>
      <c r="K28" s="883"/>
      <c r="L28" s="883"/>
      <c r="M28" s="886"/>
    </row>
    <row r="29" spans="1:13" ht="16.5" thickBot="1" x14ac:dyDescent="0.3">
      <c r="A29" s="552" t="s">
        <v>47</v>
      </c>
      <c r="B29" s="903">
        <f>B27-B28</f>
        <v>1076223</v>
      </c>
      <c r="C29" s="925"/>
      <c r="D29" s="903">
        <f>D27-D28</f>
        <v>827089</v>
      </c>
      <c r="E29" s="925"/>
      <c r="F29" s="903">
        <f>F27-F28</f>
        <v>1275704</v>
      </c>
      <c r="G29" s="925"/>
      <c r="H29" s="925"/>
      <c r="J29" s="885" t="str">
        <f>CONCATENATE("",H1," Ad Valorem Tax Revenue:")</f>
        <v>2020 Ad Valorem Tax Revenue:</v>
      </c>
      <c r="K29" s="883"/>
      <c r="L29" s="883"/>
      <c r="M29" s="884">
        <f>G27</f>
        <v>309256</v>
      </c>
    </row>
    <row r="30" spans="1:13" ht="16.5" thickTop="1" x14ac:dyDescent="0.25">
      <c r="A30" s="552" t="s">
        <v>48</v>
      </c>
      <c r="B30" s="935">
        <f>inputPrYr!E84</f>
        <v>289791</v>
      </c>
      <c r="C30" s="924"/>
      <c r="D30" s="935">
        <f>inputPrYr!E36</f>
        <v>303620</v>
      </c>
      <c r="E30" s="924"/>
      <c r="F30" s="557" t="s">
        <v>1128</v>
      </c>
      <c r="G30" s="925"/>
      <c r="H30" s="925"/>
      <c r="J30" s="885" t="str">
        <f>CONCATENATE("",H1-1," Ad Valorem Tax Revenue:")</f>
        <v>2019 Ad Valorem Tax Revenue:</v>
      </c>
      <c r="K30" s="883"/>
      <c r="L30" s="883"/>
      <c r="M30" s="896">
        <f>ROUND(F32*M22/1000,0)</f>
        <v>311307</v>
      </c>
    </row>
    <row r="31" spans="1:13" x14ac:dyDescent="0.25">
      <c r="A31" s="552" t="s">
        <v>49</v>
      </c>
      <c r="B31" s="931"/>
      <c r="C31" s="925"/>
      <c r="D31" s="931"/>
      <c r="E31" s="939"/>
      <c r="F31" s="629"/>
      <c r="G31" s="925"/>
      <c r="H31" s="925"/>
      <c r="J31" s="897" t="s">
        <v>688</v>
      </c>
      <c r="K31" s="898"/>
      <c r="L31" s="898"/>
      <c r="M31" s="899">
        <f>SUM(M29-M30)</f>
        <v>-2051</v>
      </c>
    </row>
    <row r="32" spans="1:13" x14ac:dyDescent="0.25">
      <c r="A32" s="552" t="s">
        <v>50</v>
      </c>
      <c r="B32" s="935">
        <f>inputPrYr!E85</f>
        <v>4506289</v>
      </c>
      <c r="C32" s="634"/>
      <c r="D32" s="935">
        <f>inputOth!E37</f>
        <v>4753243</v>
      </c>
      <c r="E32" s="634"/>
      <c r="F32" s="935">
        <f>inputOth!E7</f>
        <v>4873537</v>
      </c>
      <c r="G32" s="925"/>
      <c r="H32" s="925"/>
      <c r="J32" s="900"/>
      <c r="K32" s="900"/>
      <c r="L32" s="900"/>
      <c r="M32" s="894"/>
    </row>
    <row r="33" spans="1:13" x14ac:dyDescent="0.25">
      <c r="A33" s="552" t="s">
        <v>51</v>
      </c>
      <c r="B33" s="540"/>
      <c r="C33" s="540"/>
      <c r="D33" s="540"/>
      <c r="E33" s="540"/>
      <c r="F33" s="540"/>
      <c r="G33" s="540"/>
      <c r="H33" s="540"/>
      <c r="J33" s="1114" t="s">
        <v>689</v>
      </c>
      <c r="K33" s="1117"/>
      <c r="L33" s="1117"/>
      <c r="M33" s="1118"/>
    </row>
    <row r="34" spans="1:13" x14ac:dyDescent="0.25">
      <c r="A34" s="552" t="s">
        <v>52</v>
      </c>
      <c r="B34" s="901">
        <f>$H$1-3</f>
        <v>2017</v>
      </c>
      <c r="C34" s="540"/>
      <c r="D34" s="901">
        <f>$H$1-2</f>
        <v>2018</v>
      </c>
      <c r="E34" s="540"/>
      <c r="F34" s="901">
        <f>$H$1-1</f>
        <v>2019</v>
      </c>
      <c r="G34" s="540"/>
      <c r="H34" s="540"/>
      <c r="J34" s="885"/>
      <c r="K34" s="883"/>
      <c r="L34" s="883"/>
      <c r="M34" s="886"/>
    </row>
    <row r="35" spans="1:13" x14ac:dyDescent="0.25">
      <c r="A35" s="552" t="s">
        <v>53</v>
      </c>
      <c r="B35" s="686">
        <f>inputPrYr!D88</f>
        <v>0</v>
      </c>
      <c r="C35" s="540"/>
      <c r="D35" s="686">
        <f>inputPrYr!E88</f>
        <v>0</v>
      </c>
      <c r="E35" s="540"/>
      <c r="F35" s="686">
        <f>DEBT!G20</f>
        <v>0</v>
      </c>
      <c r="G35" s="540"/>
      <c r="H35" s="540"/>
      <c r="J35" s="885" t="str">
        <f>CONCATENATE("Current ",H1," Estimated Mill Rate:")</f>
        <v>Current 2020 Estimated Mill Rate:</v>
      </c>
      <c r="K35" s="883"/>
      <c r="L35" s="883"/>
      <c r="M35" s="887">
        <f>H27</f>
        <v>63.456000000000003</v>
      </c>
    </row>
    <row r="36" spans="1:13" x14ac:dyDescent="0.25">
      <c r="A36" s="552" t="s">
        <v>54</v>
      </c>
      <c r="B36" s="686">
        <f>inputPrYr!D89</f>
        <v>0</v>
      </c>
      <c r="C36" s="540"/>
      <c r="D36" s="686">
        <f>inputPrYr!E89</f>
        <v>0</v>
      </c>
      <c r="E36" s="540"/>
      <c r="F36" s="686">
        <f>DEBT!G32</f>
        <v>0</v>
      </c>
      <c r="G36" s="540"/>
      <c r="H36" s="540"/>
      <c r="J36" s="885" t="str">
        <f>CONCATENATE("Desired ",H1," Mill Rate:")</f>
        <v>Desired 2020 Mill Rate:</v>
      </c>
      <c r="K36" s="883"/>
      <c r="L36" s="883"/>
      <c r="M36" s="902">
        <v>0</v>
      </c>
    </row>
    <row r="37" spans="1:13" x14ac:dyDescent="0.25">
      <c r="A37" s="540" t="s">
        <v>72</v>
      </c>
      <c r="B37" s="686">
        <f>inputPrYr!D90</f>
        <v>0</v>
      </c>
      <c r="C37" s="540"/>
      <c r="D37" s="686">
        <f>inputPrYr!E90</f>
        <v>0</v>
      </c>
      <c r="E37" s="540"/>
      <c r="F37" s="686">
        <f>DEBT!G42</f>
        <v>0</v>
      </c>
      <c r="G37" s="540"/>
      <c r="H37" s="540"/>
      <c r="J37" s="885" t="s">
        <v>690</v>
      </c>
      <c r="K37" s="883"/>
      <c r="L37" s="883"/>
      <c r="M37" s="896">
        <f>ROUND(F32*M36/1000,0)</f>
        <v>0</v>
      </c>
    </row>
    <row r="38" spans="1:13" x14ac:dyDescent="0.25">
      <c r="A38" s="552" t="s">
        <v>132</v>
      </c>
      <c r="B38" s="686">
        <f>inputPrYr!D91</f>
        <v>80976</v>
      </c>
      <c r="C38" s="540"/>
      <c r="D38" s="686">
        <f>inputPrYr!E91</f>
        <v>50291</v>
      </c>
      <c r="E38" s="540"/>
      <c r="F38" s="686">
        <f>'LP FORM'!G28</f>
        <v>158771</v>
      </c>
      <c r="G38" s="540"/>
      <c r="H38" s="540"/>
      <c r="J38" s="897" t="str">
        <f>CONCATENATE("",H1," Tax Levy Fund Exp. Changed By:")</f>
        <v>2020 Tax Levy Fund Exp. Changed By:</v>
      </c>
      <c r="K38" s="898"/>
      <c r="L38" s="898"/>
      <c r="M38" s="899">
        <f>IF(M36=0,0,(M37-G27))</f>
        <v>0</v>
      </c>
    </row>
    <row r="39" spans="1:13" ht="16.5" thickBot="1" x14ac:dyDescent="0.25">
      <c r="A39" s="552" t="s">
        <v>55</v>
      </c>
      <c r="B39" s="903">
        <f>SUM(B35:B38)</f>
        <v>80976</v>
      </c>
      <c r="C39" s="540"/>
      <c r="D39" s="903">
        <f>SUM(D35:D38)</f>
        <v>50291</v>
      </c>
      <c r="E39" s="540"/>
      <c r="F39" s="903">
        <f>SUM(F35:F38)</f>
        <v>158771</v>
      </c>
      <c r="G39" s="540"/>
      <c r="H39" s="540"/>
    </row>
    <row r="40" spans="1:13" ht="16.5" thickTop="1" x14ac:dyDescent="0.2">
      <c r="A40" s="552" t="s">
        <v>56</v>
      </c>
      <c r="B40" s="540"/>
      <c r="C40" s="540"/>
      <c r="D40" s="540"/>
      <c r="E40" s="540"/>
      <c r="F40" s="540"/>
      <c r="G40" s="540"/>
      <c r="H40" s="540"/>
    </row>
    <row r="41" spans="1:13" x14ac:dyDescent="0.2">
      <c r="A41" s="540"/>
      <c r="B41" s="540"/>
      <c r="C41" s="540"/>
      <c r="D41" s="540"/>
      <c r="E41" s="540"/>
      <c r="F41" s="540"/>
      <c r="G41" s="540"/>
      <c r="H41" s="540"/>
    </row>
    <row r="42" spans="1:13" x14ac:dyDescent="0.2">
      <c r="A42" s="1121" t="str">
        <f>inputBudSum!B3</f>
        <v>GINA B. BOND</v>
      </c>
      <c r="B42" s="1122"/>
      <c r="C42" s="540"/>
      <c r="D42" s="540"/>
      <c r="E42" s="540"/>
      <c r="F42" s="540"/>
      <c r="G42" s="540"/>
      <c r="H42" s="540"/>
    </row>
    <row r="43" spans="1:13" x14ac:dyDescent="0.2">
      <c r="A43" s="606" t="s">
        <v>179</v>
      </c>
      <c r="B43" s="904" t="str">
        <f>inputBudSum!B5</f>
        <v>CITY CLERK</v>
      </c>
      <c r="C43" s="625"/>
      <c r="D43" s="540"/>
      <c r="E43" s="540"/>
      <c r="F43" s="540"/>
      <c r="G43" s="540"/>
      <c r="H43" s="540"/>
    </row>
    <row r="44" spans="1:13" x14ac:dyDescent="0.2">
      <c r="A44" s="540"/>
      <c r="B44" s="540"/>
      <c r="C44" s="540"/>
      <c r="D44" s="540"/>
      <c r="E44" s="540"/>
      <c r="F44" s="540"/>
      <c r="G44" s="540"/>
      <c r="H44" s="540"/>
    </row>
    <row r="45" spans="1:13" x14ac:dyDescent="0.2">
      <c r="A45" s="540"/>
      <c r="B45" s="540"/>
      <c r="C45" s="543" t="s">
        <v>32</v>
      </c>
      <c r="D45" s="814">
        <v>13</v>
      </c>
      <c r="E45" s="540"/>
      <c r="F45" s="540"/>
      <c r="G45" s="540"/>
      <c r="H45" s="540"/>
    </row>
  </sheetData>
  <mergeCells count="10">
    <mergeCell ref="J20:M20"/>
    <mergeCell ref="J33:M33"/>
    <mergeCell ref="J27:M27"/>
    <mergeCell ref="A42:B42"/>
    <mergeCell ref="A2:H2"/>
    <mergeCell ref="A5:H5"/>
    <mergeCell ref="A7:H7"/>
    <mergeCell ref="A8:H8"/>
    <mergeCell ref="A4:H4"/>
    <mergeCell ref="A6:H6"/>
  </mergeCells>
  <phoneticPr fontId="0" type="noConversion"/>
  <pageMargins left="0.5" right="0.5" top="1" bottom="0.5" header="0.5" footer="0.5"/>
  <pageSetup scale="71" orientation="portrait" blackAndWhite="1" r:id="rId1"/>
  <headerFooter alignWithMargins="0">
    <oddHeader xml:space="preserve">&amp;RState of Kansas
City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55482-2B16-4E78-9240-44631F27C160}">
  <sheetPr>
    <tabColor rgb="FF7030A0"/>
  </sheetPr>
  <dimension ref="A1"/>
  <sheetViews>
    <sheetView workbookViewId="0">
      <selection activeCell="L22" sqref="L22"/>
    </sheetView>
  </sheetViews>
  <sheetFormatPr defaultRowHeight="15" x14ac:dyDescent="0.2"/>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41"/>
  <sheetViews>
    <sheetView topLeftCell="A16" workbookViewId="0">
      <selection activeCell="C41" sqref="C41"/>
    </sheetView>
  </sheetViews>
  <sheetFormatPr defaultColWidth="8.88671875" defaultRowHeight="15" x14ac:dyDescent="0.2"/>
  <cols>
    <col min="1" max="1" width="10.77734375" style="62" customWidth="1"/>
    <col min="2" max="2" width="15.5546875" style="62" customWidth="1"/>
    <col min="3" max="4" width="12.77734375" style="62" customWidth="1"/>
    <col min="5" max="5" width="11.77734375" style="62" customWidth="1"/>
    <col min="6" max="16384" width="8.88671875" style="62"/>
  </cols>
  <sheetData>
    <row r="1" spans="1:6" ht="15.75" x14ac:dyDescent="0.2">
      <c r="A1" s="98" t="str">
        <f>inputPrYr!D3</f>
        <v>UNIFIED GREELEY COUNTY - MUNICIPAL SERVICE DISTRICT</v>
      </c>
      <c r="B1" s="16"/>
      <c r="C1" s="16"/>
      <c r="D1" s="16"/>
      <c r="E1" s="16"/>
      <c r="F1" s="16">
        <f>inputPrYr!C6</f>
        <v>2020</v>
      </c>
    </row>
    <row r="2" spans="1:6" ht="15.75" x14ac:dyDescent="0.2">
      <c r="A2" s="16"/>
      <c r="B2" s="16"/>
      <c r="C2" s="16"/>
      <c r="D2" s="16"/>
      <c r="E2" s="16"/>
      <c r="F2" s="16"/>
    </row>
    <row r="3" spans="1:6" ht="15.75" x14ac:dyDescent="0.2">
      <c r="A3" s="16"/>
      <c r="B3" s="1054" t="str">
        <f>CONCATENATE("",F1," Neighborhood Revitalization Rebate")</f>
        <v>2020 Neighborhood Revitalization Rebate</v>
      </c>
      <c r="C3" s="1129"/>
      <c r="D3" s="1129"/>
      <c r="E3" s="1129"/>
      <c r="F3" s="16"/>
    </row>
    <row r="4" spans="1:6" ht="15.75" x14ac:dyDescent="0.2">
      <c r="A4" s="16"/>
      <c r="B4" s="16"/>
      <c r="C4" s="16"/>
      <c r="D4" s="16"/>
      <c r="E4" s="16"/>
      <c r="F4" s="57"/>
    </row>
    <row r="5" spans="1:6" ht="51.75" customHeight="1" x14ac:dyDescent="0.2">
      <c r="A5" s="16"/>
      <c r="B5" s="118" t="str">
        <f>CONCATENATE("Budgeted Funds          for ",F1,"")</f>
        <v>Budgeted Funds          for 2020</v>
      </c>
      <c r="C5" s="118" t="str">
        <f>CONCATENATE("",F1-1," Ad Valorem before Rebate**")</f>
        <v>2019 Ad Valorem before Rebate**</v>
      </c>
      <c r="D5" s="119" t="str">
        <f>CONCATENATE("",F1-1," Mil Rate before Rebate")</f>
        <v>2019 Mil Rate before Rebate</v>
      </c>
      <c r="E5" s="120" t="str">
        <f>CONCATENATE("Estimate ",F1," NR Rebate")</f>
        <v>Estimate 2020 NR Rebate</v>
      </c>
      <c r="F5" s="57"/>
    </row>
    <row r="6" spans="1:6" ht="18" customHeight="1" x14ac:dyDescent="0.2">
      <c r="A6" s="16"/>
      <c r="B6" s="31" t="s">
        <v>287</v>
      </c>
      <c r="C6" s="121"/>
      <c r="D6" s="122" t="str">
        <f>IF(C6&gt;0,C6/$D$24,"")</f>
        <v/>
      </c>
      <c r="E6" s="100">
        <f t="shared" ref="E6:E18" si="0">IF(C6&gt;0,ROUND(D6*$D$28,0),0)</f>
        <v>0</v>
      </c>
      <c r="F6" s="57"/>
    </row>
    <row r="7" spans="1:6" ht="15.75" x14ac:dyDescent="0.2">
      <c r="A7" s="16"/>
      <c r="B7" s="31" t="str">
        <f>inputPrYr!B23</f>
        <v>Debt Service</v>
      </c>
      <c r="C7" s="121"/>
      <c r="D7" s="122" t="str">
        <f t="shared" ref="D7:D17" si="1">IF(C7&gt;0,C7/$D$24,"")</f>
        <v/>
      </c>
      <c r="E7" s="100">
        <f t="shared" si="0"/>
        <v>0</v>
      </c>
      <c r="F7" s="57"/>
    </row>
    <row r="8" spans="1:6" ht="15.75" x14ac:dyDescent="0.2">
      <c r="A8" s="16"/>
      <c r="B8" s="49" t="str">
        <f>IF((inputPrYr!$B24&gt;"  "),(inputPrYr!$B24),"  ")</f>
        <v>Library</v>
      </c>
      <c r="C8" s="121"/>
      <c r="D8" s="122" t="str">
        <f t="shared" si="1"/>
        <v/>
      </c>
      <c r="E8" s="100">
        <f t="shared" si="0"/>
        <v>0</v>
      </c>
      <c r="F8" s="57"/>
    </row>
    <row r="9" spans="1:6" ht="15.75" x14ac:dyDescent="0.2">
      <c r="A9" s="16"/>
      <c r="B9" s="49" t="str">
        <f>IF((inputPrYr!$B26&gt;"  "),(inputPrYr!$B26),"  ")</f>
        <v xml:space="preserve">  </v>
      </c>
      <c r="C9" s="121"/>
      <c r="D9" s="122" t="str">
        <f t="shared" si="1"/>
        <v/>
      </c>
      <c r="E9" s="100">
        <f t="shared" si="0"/>
        <v>0</v>
      </c>
      <c r="F9" s="57"/>
    </row>
    <row r="10" spans="1:6" ht="15.75" x14ac:dyDescent="0.2">
      <c r="A10" s="16"/>
      <c r="B10" s="49" t="str">
        <f>IF((inputPrYr!$B27&gt;"  "),(inputPrYr!$B27),"  ")</f>
        <v xml:space="preserve">  </v>
      </c>
      <c r="C10" s="121"/>
      <c r="D10" s="122" t="str">
        <f t="shared" si="1"/>
        <v/>
      </c>
      <c r="E10" s="100">
        <f t="shared" si="0"/>
        <v>0</v>
      </c>
      <c r="F10" s="57"/>
    </row>
    <row r="11" spans="1:6" ht="15.75" x14ac:dyDescent="0.2">
      <c r="A11" s="16"/>
      <c r="B11" s="49" t="str">
        <f>IF((inputPrYr!$B28&gt;"  "),(inputPrYr!$B28),"  ")</f>
        <v xml:space="preserve">  </v>
      </c>
      <c r="C11" s="121"/>
      <c r="D11" s="122" t="str">
        <f t="shared" si="1"/>
        <v/>
      </c>
      <c r="E11" s="100">
        <f t="shared" si="0"/>
        <v>0</v>
      </c>
      <c r="F11" s="57"/>
    </row>
    <row r="12" spans="1:6" ht="15.75" x14ac:dyDescent="0.2">
      <c r="A12" s="16"/>
      <c r="B12" s="49" t="str">
        <f>IF((inputPrYr!$B29&gt;"  "),(inputPrYr!$B29),"  ")</f>
        <v xml:space="preserve">  </v>
      </c>
      <c r="C12" s="123"/>
      <c r="D12" s="122" t="str">
        <f t="shared" si="1"/>
        <v/>
      </c>
      <c r="E12" s="100">
        <f t="shared" si="0"/>
        <v>0</v>
      </c>
      <c r="F12" s="57"/>
    </row>
    <row r="13" spans="1:6" ht="15.75" x14ac:dyDescent="0.2">
      <c r="A13" s="16"/>
      <c r="B13" s="49" t="str">
        <f>IF((inputPrYr!$B30&gt;"  "),(inputPrYr!$B30),"  ")</f>
        <v xml:space="preserve">  </v>
      </c>
      <c r="C13" s="123"/>
      <c r="D13" s="122" t="str">
        <f t="shared" si="1"/>
        <v/>
      </c>
      <c r="E13" s="100">
        <f t="shared" si="0"/>
        <v>0</v>
      </c>
      <c r="F13" s="57"/>
    </row>
    <row r="14" spans="1:6" ht="15.75" x14ac:dyDescent="0.2">
      <c r="A14" s="16"/>
      <c r="B14" s="49" t="str">
        <f>IF((inputPrYr!$B31&gt;"  "),(inputPrYr!$B31),"  ")</f>
        <v xml:space="preserve">  </v>
      </c>
      <c r="C14" s="123"/>
      <c r="D14" s="122" t="str">
        <f t="shared" si="1"/>
        <v/>
      </c>
      <c r="E14" s="100">
        <f t="shared" si="0"/>
        <v>0</v>
      </c>
      <c r="F14" s="57"/>
    </row>
    <row r="15" spans="1:6" ht="15.75" x14ac:dyDescent="0.2">
      <c r="A15" s="16"/>
      <c r="B15" s="49" t="str">
        <f>IF((inputPrYr!$B32&gt;"  "),(inputPrYr!$B32),"  ")</f>
        <v xml:space="preserve">  </v>
      </c>
      <c r="C15" s="123"/>
      <c r="D15" s="122" t="str">
        <f t="shared" si="1"/>
        <v/>
      </c>
      <c r="E15" s="100">
        <f t="shared" si="0"/>
        <v>0</v>
      </c>
      <c r="F15" s="57"/>
    </row>
    <row r="16" spans="1:6" ht="15.75" x14ac:dyDescent="0.2">
      <c r="A16" s="16"/>
      <c r="B16" s="49" t="str">
        <f>IF((inputPrYr!$B33&gt;"  "),(inputPrYr!$B33),"  ")</f>
        <v xml:space="preserve">  </v>
      </c>
      <c r="C16" s="123"/>
      <c r="D16" s="122" t="str">
        <f t="shared" si="1"/>
        <v/>
      </c>
      <c r="E16" s="100">
        <f t="shared" si="0"/>
        <v>0</v>
      </c>
      <c r="F16" s="57"/>
    </row>
    <row r="17" spans="1:6" ht="15.75" x14ac:dyDescent="0.2">
      <c r="A17" s="16"/>
      <c r="B17" s="49" t="str">
        <f>IF((inputPrYr!$B34&gt;"  "),(inputPrYr!$B34),"  ")</f>
        <v xml:space="preserve">  </v>
      </c>
      <c r="C17" s="123"/>
      <c r="D17" s="122" t="str">
        <f t="shared" si="1"/>
        <v/>
      </c>
      <c r="E17" s="100">
        <f t="shared" si="0"/>
        <v>0</v>
      </c>
      <c r="F17" s="57"/>
    </row>
    <row r="18" spans="1:6" ht="15.75" x14ac:dyDescent="0.2">
      <c r="A18" s="16"/>
      <c r="B18" s="49" t="str">
        <f>IF((inputPrYr!$B35&gt;"  "),(inputPrYr!$B35),"  ")</f>
        <v xml:space="preserve">  </v>
      </c>
      <c r="C18" s="123"/>
      <c r="D18" s="122" t="str">
        <f>IF(C18&gt;0,C18/$D$24,"")</f>
        <v/>
      </c>
      <c r="E18" s="100">
        <f t="shared" si="0"/>
        <v>0</v>
      </c>
      <c r="F18" s="57"/>
    </row>
    <row r="19" spans="1:6" ht="17.25" customHeight="1" thickBot="1" x14ac:dyDescent="0.25">
      <c r="A19" s="16"/>
      <c r="B19" s="32" t="s">
        <v>19</v>
      </c>
      <c r="C19" s="124">
        <f>SUM(C6:C18)</f>
        <v>0</v>
      </c>
      <c r="D19" s="125">
        <f>SUM(D6:D18)</f>
        <v>0</v>
      </c>
      <c r="E19" s="124">
        <f>SUM(E6:E18)</f>
        <v>0</v>
      </c>
      <c r="F19" s="57"/>
    </row>
    <row r="20" spans="1:6" ht="16.5" thickTop="1" x14ac:dyDescent="0.2">
      <c r="A20" s="16"/>
      <c r="B20" s="16"/>
      <c r="C20" s="16"/>
      <c r="D20" s="16"/>
      <c r="E20" s="16"/>
      <c r="F20" s="57"/>
    </row>
    <row r="21" spans="1:6" ht="15.75" x14ac:dyDescent="0.2">
      <c r="A21" s="16"/>
      <c r="B21" s="16"/>
      <c r="C21" s="16"/>
      <c r="D21" s="16"/>
      <c r="E21" s="16"/>
      <c r="F21" s="57"/>
    </row>
    <row r="22" spans="1:6" ht="18.75" customHeight="1" x14ac:dyDescent="0.2">
      <c r="A22" s="1130" t="str">
        <f>CONCATENATE("",F1-1," July 1 Valuation:")</f>
        <v>2019 July 1 Valuation:</v>
      </c>
      <c r="B22" s="1128"/>
      <c r="C22" s="1130"/>
      <c r="D22" s="117">
        <f>inputOth!E7</f>
        <v>4873537</v>
      </c>
      <c r="E22" s="16"/>
      <c r="F22" s="57"/>
    </row>
    <row r="23" spans="1:6" ht="15.75" x14ac:dyDescent="0.2">
      <c r="A23" s="16"/>
      <c r="B23" s="16"/>
      <c r="C23" s="16"/>
      <c r="D23" s="16"/>
      <c r="E23" s="16"/>
      <c r="F23" s="57"/>
    </row>
    <row r="24" spans="1:6" ht="15.75" x14ac:dyDescent="0.2">
      <c r="A24" s="16"/>
      <c r="B24" s="1130" t="s">
        <v>318</v>
      </c>
      <c r="C24" s="1130"/>
      <c r="D24" s="126">
        <f>IF(D22&gt;0,(D22*0.001),"")</f>
        <v>4873.5370000000003</v>
      </c>
      <c r="E24" s="16"/>
      <c r="F24" s="57"/>
    </row>
    <row r="25" spans="1:6" ht="15.75" x14ac:dyDescent="0.2">
      <c r="A25" s="16"/>
      <c r="B25" s="91"/>
      <c r="C25" s="91"/>
      <c r="D25" s="127"/>
      <c r="E25" s="16"/>
      <c r="F25" s="57"/>
    </row>
    <row r="26" spans="1:6" ht="15.75" x14ac:dyDescent="0.2">
      <c r="A26" s="1126" t="s">
        <v>319</v>
      </c>
      <c r="B26" s="1127"/>
      <c r="C26" s="1127"/>
      <c r="D26" s="128">
        <f>inputOth!E18</f>
        <v>191086</v>
      </c>
      <c r="E26" s="64"/>
      <c r="F26" s="64"/>
    </row>
    <row r="27" spans="1:6" x14ac:dyDescent="0.2">
      <c r="A27" s="64"/>
      <c r="B27" s="64"/>
      <c r="C27" s="64"/>
      <c r="D27" s="129"/>
      <c r="E27" s="64"/>
      <c r="F27" s="64"/>
    </row>
    <row r="28" spans="1:6" ht="15.75" x14ac:dyDescent="0.2">
      <c r="A28" s="64"/>
      <c r="B28" s="1126" t="s">
        <v>320</v>
      </c>
      <c r="C28" s="1128"/>
      <c r="D28" s="130">
        <f>IF(D26&gt;0,(D26*0.001),"")</f>
        <v>191.08600000000001</v>
      </c>
      <c r="E28" s="64"/>
      <c r="F28" s="64"/>
    </row>
    <row r="29" spans="1:6" x14ac:dyDescent="0.2">
      <c r="A29" s="64"/>
      <c r="B29" s="64"/>
      <c r="C29" s="64"/>
      <c r="D29" s="64"/>
      <c r="E29" s="64"/>
      <c r="F29" s="64"/>
    </row>
    <row r="30" spans="1:6" x14ac:dyDescent="0.2">
      <c r="A30" s="64"/>
      <c r="B30" s="64"/>
      <c r="C30" s="64"/>
      <c r="D30" s="64"/>
      <c r="E30" s="64"/>
      <c r="F30" s="64"/>
    </row>
    <row r="31" spans="1:6" x14ac:dyDescent="0.2">
      <c r="A31" s="64"/>
      <c r="B31" s="64"/>
      <c r="C31" s="64"/>
      <c r="D31" s="64"/>
      <c r="E31" s="64"/>
      <c r="F31" s="64"/>
    </row>
    <row r="32" spans="1:6" ht="15.75" x14ac:dyDescent="0.25">
      <c r="A32" s="152" t="str">
        <f>CONCATENATE("**This information comes from the ",F1," Budget Summary page.  See instructions tab #13 for completing")</f>
        <v>**This information comes from the 2020 Budget Summary page.  See instructions tab #13 for completing</v>
      </c>
      <c r="B32" s="64"/>
      <c r="C32" s="64"/>
      <c r="D32" s="64"/>
      <c r="E32" s="64"/>
      <c r="F32" s="64"/>
    </row>
    <row r="33" spans="1:6" ht="15.75" x14ac:dyDescent="0.25">
      <c r="A33" s="152" t="s">
        <v>557</v>
      </c>
      <c r="B33" s="64"/>
      <c r="C33" s="64"/>
      <c r="D33" s="64"/>
      <c r="E33" s="64"/>
      <c r="F33" s="64"/>
    </row>
    <row r="34" spans="1:6" ht="15.75" x14ac:dyDescent="0.25">
      <c r="A34" s="152"/>
      <c r="B34" s="64"/>
      <c r="C34" s="64"/>
      <c r="D34" s="64"/>
      <c r="E34" s="64"/>
      <c r="F34" s="64"/>
    </row>
    <row r="35" spans="1:6" ht="15.75" x14ac:dyDescent="0.25">
      <c r="A35" s="152"/>
      <c r="B35" s="64"/>
      <c r="C35" s="64"/>
      <c r="D35" s="64"/>
      <c r="E35" s="64"/>
      <c r="F35" s="64"/>
    </row>
    <row r="36" spans="1:6" ht="15.75" x14ac:dyDescent="0.25">
      <c r="A36" s="152"/>
      <c r="B36" s="64"/>
      <c r="C36" s="64"/>
      <c r="D36" s="64"/>
      <c r="E36" s="64"/>
      <c r="F36" s="64"/>
    </row>
    <row r="37" spans="1:6" ht="15.75" x14ac:dyDescent="0.25">
      <c r="A37" s="152"/>
      <c r="B37" s="64"/>
      <c r="C37" s="64"/>
      <c r="D37" s="64"/>
      <c r="E37" s="64"/>
      <c r="F37" s="64"/>
    </row>
    <row r="38" spans="1:6" ht="15.75" x14ac:dyDescent="0.25">
      <c r="A38" s="152"/>
      <c r="B38" s="64"/>
      <c r="C38" s="64"/>
      <c r="D38" s="64"/>
      <c r="E38" s="64"/>
      <c r="F38" s="64"/>
    </row>
    <row r="39" spans="1:6" x14ac:dyDescent="0.2">
      <c r="A39" s="64"/>
      <c r="B39" s="64"/>
      <c r="C39" s="64"/>
      <c r="D39" s="64"/>
      <c r="E39" s="64"/>
      <c r="F39" s="64"/>
    </row>
    <row r="40" spans="1:6" ht="15.75" x14ac:dyDescent="0.2">
      <c r="A40" s="64"/>
      <c r="B40" s="111" t="s">
        <v>40</v>
      </c>
      <c r="C40" s="405">
        <v>14</v>
      </c>
      <c r="D40" s="64"/>
      <c r="E40" s="64"/>
      <c r="F40" s="64"/>
    </row>
    <row r="41" spans="1:6" ht="15.75" x14ac:dyDescent="0.2">
      <c r="A41" s="57"/>
      <c r="B41" s="16"/>
      <c r="C41" s="16"/>
      <c r="D41" s="36"/>
      <c r="E41" s="57"/>
      <c r="F41" s="57"/>
    </row>
  </sheetData>
  <sheetProtection sheet="1"/>
  <mergeCells count="5">
    <mergeCell ref="A26:C26"/>
    <mergeCell ref="B28:C28"/>
    <mergeCell ref="B3:E3"/>
    <mergeCell ref="A22:C22"/>
    <mergeCell ref="B24:C24"/>
  </mergeCells>
  <phoneticPr fontId="9" type="noConversion"/>
  <pageMargins left="0.75" right="0.75" top="1" bottom="1" header="0.5" footer="0.5"/>
  <pageSetup scale="91"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3:L85"/>
  <sheetViews>
    <sheetView workbookViewId="0">
      <selection activeCell="N130" sqref="N130"/>
    </sheetView>
  </sheetViews>
  <sheetFormatPr defaultRowHeight="15" x14ac:dyDescent="0.2"/>
  <cols>
    <col min="1" max="1" width="71.33203125" customWidth="1"/>
  </cols>
  <sheetData>
    <row r="3" spans="1:12" x14ac:dyDescent="0.2">
      <c r="A3" s="139" t="s">
        <v>340</v>
      </c>
      <c r="B3" s="139"/>
      <c r="C3" s="139"/>
      <c r="D3" s="139"/>
      <c r="E3" s="139"/>
      <c r="F3" s="139"/>
      <c r="G3" s="139"/>
      <c r="H3" s="139"/>
      <c r="I3" s="139"/>
      <c r="J3" s="139"/>
      <c r="K3" s="139"/>
      <c r="L3" s="139"/>
    </row>
    <row r="5" spans="1:12" x14ac:dyDescent="0.2">
      <c r="A5" s="140" t="s">
        <v>341</v>
      </c>
    </row>
    <row r="6" spans="1:12" x14ac:dyDescent="0.2">
      <c r="A6" s="140" t="str">
        <f>CONCATENATE(inputPrYr!C6-2," 'total expenditures' exceed your ",inputPrYr!C6-2," 'budget authority.'")</f>
        <v>2018 'total expenditures' exceed your 2018 'budget authority.'</v>
      </c>
    </row>
    <row r="7" spans="1:12" x14ac:dyDescent="0.2">
      <c r="A7" s="140"/>
    </row>
    <row r="8" spans="1:12" x14ac:dyDescent="0.2">
      <c r="A8" s="140" t="s">
        <v>342</v>
      </c>
    </row>
    <row r="9" spans="1:12" x14ac:dyDescent="0.2">
      <c r="A9" s="140" t="s">
        <v>343</v>
      </c>
    </row>
    <row r="10" spans="1:12" x14ac:dyDescent="0.2">
      <c r="A10" s="140" t="s">
        <v>344</v>
      </c>
    </row>
    <row r="11" spans="1:12" x14ac:dyDescent="0.2">
      <c r="A11" s="140"/>
    </row>
    <row r="12" spans="1:12" x14ac:dyDescent="0.2">
      <c r="A12" s="140"/>
    </row>
    <row r="13" spans="1:12" x14ac:dyDescent="0.2">
      <c r="A13" s="141" t="s">
        <v>345</v>
      </c>
    </row>
    <row r="15" spans="1:12" x14ac:dyDescent="0.2">
      <c r="A15" s="140" t="s">
        <v>346</v>
      </c>
    </row>
    <row r="16" spans="1:12" x14ac:dyDescent="0.2">
      <c r="A16" s="140" t="str">
        <f>CONCATENATE("(i.e. an audit has not been completed, or the ",inputPrYr!C6," adopted")</f>
        <v>(i.e. an audit has not been completed, or the 2020 adopted</v>
      </c>
    </row>
    <row r="17" spans="1:1" x14ac:dyDescent="0.2">
      <c r="A17" s="140" t="s">
        <v>347</v>
      </c>
    </row>
    <row r="18" spans="1:1" x14ac:dyDescent="0.2">
      <c r="A18" s="140" t="s">
        <v>348</v>
      </c>
    </row>
    <row r="19" spans="1:1" x14ac:dyDescent="0.2">
      <c r="A19" s="140" t="s">
        <v>349</v>
      </c>
    </row>
    <row r="21" spans="1:1" x14ac:dyDescent="0.2">
      <c r="A21" s="141" t="s">
        <v>350</v>
      </c>
    </row>
    <row r="22" spans="1:1" x14ac:dyDescent="0.2">
      <c r="A22" s="141"/>
    </row>
    <row r="23" spans="1:1" x14ac:dyDescent="0.2">
      <c r="A23" s="140" t="s">
        <v>351</v>
      </c>
    </row>
    <row r="24" spans="1:1" x14ac:dyDescent="0.2">
      <c r="A24" s="140" t="s">
        <v>352</v>
      </c>
    </row>
    <row r="25" spans="1:1" x14ac:dyDescent="0.2">
      <c r="A25" s="140" t="str">
        <f>CONCATENATE("particular fund.  If your ",inputPrYr!C6-2," budget was amended, did you")</f>
        <v>particular fund.  If your 2018 budget was amended, did you</v>
      </c>
    </row>
    <row r="26" spans="1:1" x14ac:dyDescent="0.2">
      <c r="A26" s="140" t="s">
        <v>353</v>
      </c>
    </row>
    <row r="27" spans="1:1" x14ac:dyDescent="0.2">
      <c r="A27" s="140"/>
    </row>
    <row r="28" spans="1:1" x14ac:dyDescent="0.2">
      <c r="A28" s="140" t="str">
        <f>CONCATENATE("Next, look to see if any of your ",inputPrYr!C6-2," expenditures can be")</f>
        <v>Next, look to see if any of your 2018 expenditures can be</v>
      </c>
    </row>
    <row r="29" spans="1:1" x14ac:dyDescent="0.2">
      <c r="A29" s="140" t="s">
        <v>354</v>
      </c>
    </row>
    <row r="30" spans="1:1" x14ac:dyDescent="0.2">
      <c r="A30" s="140" t="s">
        <v>355</v>
      </c>
    </row>
    <row r="31" spans="1:1" x14ac:dyDescent="0.2">
      <c r="A31" s="140" t="s">
        <v>356</v>
      </c>
    </row>
    <row r="32" spans="1:1" x14ac:dyDescent="0.2">
      <c r="A32" s="140"/>
    </row>
    <row r="33" spans="1:1" x14ac:dyDescent="0.2">
      <c r="A33" s="140" t="str">
        <f>CONCATENATE("Additionally, do your ",inputPrYr!C6-2," receipts contain a reimbursement")</f>
        <v>Additionally, do your 2018 receipts contain a reimbursement</v>
      </c>
    </row>
    <row r="34" spans="1:1" x14ac:dyDescent="0.2">
      <c r="A34" s="140" t="s">
        <v>357</v>
      </c>
    </row>
    <row r="35" spans="1:1" x14ac:dyDescent="0.2">
      <c r="A35" s="140" t="s">
        <v>358</v>
      </c>
    </row>
    <row r="36" spans="1:1" x14ac:dyDescent="0.2">
      <c r="A36" s="140"/>
    </row>
    <row r="37" spans="1:1" x14ac:dyDescent="0.2">
      <c r="A37" s="140" t="s">
        <v>359</v>
      </c>
    </row>
    <row r="38" spans="1:1" x14ac:dyDescent="0.2">
      <c r="A38" s="140" t="s">
        <v>360</v>
      </c>
    </row>
    <row r="39" spans="1:1" x14ac:dyDescent="0.2">
      <c r="A39" s="140" t="s">
        <v>361</v>
      </c>
    </row>
    <row r="40" spans="1:1" x14ac:dyDescent="0.2">
      <c r="A40" s="140" t="s">
        <v>362</v>
      </c>
    </row>
    <row r="41" spans="1:1" x14ac:dyDescent="0.2">
      <c r="A41" s="140" t="s">
        <v>363</v>
      </c>
    </row>
    <row r="42" spans="1:1" x14ac:dyDescent="0.2">
      <c r="A42" s="140" t="s">
        <v>364</v>
      </c>
    </row>
    <row r="43" spans="1:1" x14ac:dyDescent="0.2">
      <c r="A43" s="140" t="s">
        <v>365</v>
      </c>
    </row>
    <row r="44" spans="1:1" x14ac:dyDescent="0.2">
      <c r="A44" s="140" t="s">
        <v>366</v>
      </c>
    </row>
    <row r="45" spans="1:1" x14ac:dyDescent="0.2">
      <c r="A45" s="140"/>
    </row>
    <row r="46" spans="1:1" x14ac:dyDescent="0.2">
      <c r="A46" s="140" t="s">
        <v>367</v>
      </c>
    </row>
    <row r="47" spans="1:1" x14ac:dyDescent="0.2">
      <c r="A47" s="140" t="s">
        <v>368</v>
      </c>
    </row>
    <row r="48" spans="1:1" x14ac:dyDescent="0.2">
      <c r="A48" s="140" t="s">
        <v>369</v>
      </c>
    </row>
    <row r="49" spans="1:1" x14ac:dyDescent="0.2">
      <c r="A49" s="140"/>
    </row>
    <row r="50" spans="1:1" x14ac:dyDescent="0.2">
      <c r="A50" s="140" t="s">
        <v>370</v>
      </c>
    </row>
    <row r="51" spans="1:1" x14ac:dyDescent="0.2">
      <c r="A51" s="140" t="s">
        <v>371</v>
      </c>
    </row>
    <row r="52" spans="1:1" x14ac:dyDescent="0.2">
      <c r="A52" s="140" t="s">
        <v>372</v>
      </c>
    </row>
    <row r="53" spans="1:1" x14ac:dyDescent="0.2">
      <c r="A53" s="140"/>
    </row>
    <row r="54" spans="1:1" x14ac:dyDescent="0.2">
      <c r="A54" s="141" t="s">
        <v>373</v>
      </c>
    </row>
    <row r="55" spans="1:1" x14ac:dyDescent="0.2">
      <c r="A55" s="140"/>
    </row>
    <row r="56" spans="1:1" x14ac:dyDescent="0.2">
      <c r="A56" s="140" t="s">
        <v>374</v>
      </c>
    </row>
    <row r="57" spans="1:1" x14ac:dyDescent="0.2">
      <c r="A57" s="140" t="s">
        <v>375</v>
      </c>
    </row>
    <row r="58" spans="1:1" x14ac:dyDescent="0.2">
      <c r="A58" s="140" t="s">
        <v>376</v>
      </c>
    </row>
    <row r="59" spans="1:1" x14ac:dyDescent="0.2">
      <c r="A59" s="140" t="s">
        <v>377</v>
      </c>
    </row>
    <row r="60" spans="1:1" x14ac:dyDescent="0.2">
      <c r="A60" s="140" t="s">
        <v>378</v>
      </c>
    </row>
    <row r="61" spans="1:1" x14ac:dyDescent="0.2">
      <c r="A61" s="140" t="s">
        <v>379</v>
      </c>
    </row>
    <row r="62" spans="1:1" x14ac:dyDescent="0.2">
      <c r="A62" s="140" t="s">
        <v>380</v>
      </c>
    </row>
    <row r="63" spans="1:1" x14ac:dyDescent="0.2">
      <c r="A63" s="140" t="s">
        <v>381</v>
      </c>
    </row>
    <row r="64" spans="1:1" x14ac:dyDescent="0.2">
      <c r="A64" s="140" t="s">
        <v>382</v>
      </c>
    </row>
    <row r="65" spans="1:1" x14ac:dyDescent="0.2">
      <c r="A65" s="140" t="s">
        <v>383</v>
      </c>
    </row>
    <row r="66" spans="1:1" x14ac:dyDescent="0.2">
      <c r="A66" s="140" t="s">
        <v>384</v>
      </c>
    </row>
    <row r="67" spans="1:1" x14ac:dyDescent="0.2">
      <c r="A67" s="140" t="s">
        <v>385</v>
      </c>
    </row>
    <row r="68" spans="1:1" x14ac:dyDescent="0.2">
      <c r="A68" s="140" t="s">
        <v>386</v>
      </c>
    </row>
    <row r="69" spans="1:1" x14ac:dyDescent="0.2">
      <c r="A69" s="140"/>
    </row>
    <row r="70" spans="1:1" x14ac:dyDescent="0.2">
      <c r="A70" s="140" t="s">
        <v>387</v>
      </c>
    </row>
    <row r="71" spans="1:1" x14ac:dyDescent="0.2">
      <c r="A71" s="140" t="s">
        <v>388</v>
      </c>
    </row>
    <row r="72" spans="1:1" x14ac:dyDescent="0.2">
      <c r="A72" s="140" t="s">
        <v>389</v>
      </c>
    </row>
    <row r="73" spans="1:1" x14ac:dyDescent="0.2">
      <c r="A73" s="140"/>
    </row>
    <row r="74" spans="1:1" x14ac:dyDescent="0.2">
      <c r="A74" s="141" t="str">
        <f>CONCATENATE("What if the ",inputPrYr!C6-2," financial records have been closed?")</f>
        <v>What if the 2018 financial records have been closed?</v>
      </c>
    </row>
    <row r="76" spans="1:1" x14ac:dyDescent="0.2">
      <c r="A76" s="140" t="s">
        <v>390</v>
      </c>
    </row>
    <row r="77" spans="1:1" x14ac:dyDescent="0.2">
      <c r="A77" s="140" t="str">
        <f>CONCATENATE("(i.e. an audit for ",inputPrYr!C6-2," has been completed, or the ",inputPrYr!C6)</f>
        <v>(i.e. an audit for 2018 has been completed, or the 2020</v>
      </c>
    </row>
    <row r="78" spans="1:1" x14ac:dyDescent="0.2">
      <c r="A78" s="140" t="s">
        <v>391</v>
      </c>
    </row>
    <row r="79" spans="1:1" x14ac:dyDescent="0.2">
      <c r="A79" s="140" t="s">
        <v>392</v>
      </c>
    </row>
    <row r="80" spans="1:1" x14ac:dyDescent="0.2">
      <c r="A80" s="140"/>
    </row>
    <row r="81" spans="1:1" x14ac:dyDescent="0.2">
      <c r="A81" s="140" t="s">
        <v>393</v>
      </c>
    </row>
    <row r="82" spans="1:1" x14ac:dyDescent="0.2">
      <c r="A82" s="140" t="s">
        <v>394</v>
      </c>
    </row>
    <row r="83" spans="1:1" x14ac:dyDescent="0.2">
      <c r="A83" s="140" t="s">
        <v>395</v>
      </c>
    </row>
    <row r="84" spans="1:1" x14ac:dyDescent="0.2">
      <c r="A84" s="140"/>
    </row>
    <row r="85" spans="1:1" x14ac:dyDescent="0.2">
      <c r="A85" s="140" t="s">
        <v>396</v>
      </c>
    </row>
  </sheetData>
  <sheetProtection sheet="1"/>
  <pageMargins left="0.7" right="0.7" top="0.75" bottom="0.75" header="0.3" footer="0.3"/>
  <pageSetup orientation="portrait" r:id="rId1"/>
  <headerFooter>
    <oddFooter>&amp;Lrevised 10/2/09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3:J109"/>
  <sheetViews>
    <sheetView workbookViewId="0">
      <selection activeCell="N112" sqref="N112"/>
    </sheetView>
  </sheetViews>
  <sheetFormatPr defaultRowHeight="15" x14ac:dyDescent="0.2"/>
  <cols>
    <col min="1" max="1" width="71.33203125" customWidth="1"/>
  </cols>
  <sheetData>
    <row r="3" spans="1:10" x14ac:dyDescent="0.2">
      <c r="A3" s="139" t="s">
        <v>397</v>
      </c>
      <c r="B3" s="139"/>
      <c r="C3" s="139"/>
      <c r="D3" s="139"/>
      <c r="E3" s="139"/>
      <c r="F3" s="139"/>
      <c r="G3" s="139"/>
      <c r="H3" s="142"/>
      <c r="I3" s="142"/>
      <c r="J3" s="142"/>
    </row>
    <row r="5" spans="1:10" x14ac:dyDescent="0.2">
      <c r="A5" s="140" t="s">
        <v>398</v>
      </c>
    </row>
    <row r="6" spans="1:10" x14ac:dyDescent="0.2">
      <c r="A6" t="str">
        <f>CONCATENATE(inputPrYr!C6-2," expenditures show that you finished the year with a ")</f>
        <v xml:space="preserve">2018 expenditures show that you finished the year with a </v>
      </c>
    </row>
    <row r="7" spans="1:10" x14ac:dyDescent="0.2">
      <c r="A7" t="s">
        <v>399</v>
      </c>
    </row>
    <row r="9" spans="1:10" x14ac:dyDescent="0.2">
      <c r="A9" t="s">
        <v>400</v>
      </c>
    </row>
    <row r="10" spans="1:10" x14ac:dyDescent="0.2">
      <c r="A10" t="s">
        <v>401</v>
      </c>
    </row>
    <row r="11" spans="1:10" x14ac:dyDescent="0.2">
      <c r="A11" t="s">
        <v>402</v>
      </c>
    </row>
    <row r="13" spans="1:10" x14ac:dyDescent="0.2">
      <c r="A13" s="141" t="s">
        <v>403</v>
      </c>
    </row>
    <row r="14" spans="1:10" x14ac:dyDescent="0.2">
      <c r="A14" s="141"/>
    </row>
    <row r="15" spans="1:10" x14ac:dyDescent="0.2">
      <c r="A15" s="140" t="s">
        <v>404</v>
      </c>
    </row>
    <row r="16" spans="1:10" x14ac:dyDescent="0.2">
      <c r="A16" s="140" t="s">
        <v>405</v>
      </c>
    </row>
    <row r="17" spans="1:1" x14ac:dyDescent="0.2">
      <c r="A17" s="140" t="s">
        <v>406</v>
      </c>
    </row>
    <row r="18" spans="1:1" x14ac:dyDescent="0.2">
      <c r="A18" s="140"/>
    </row>
    <row r="19" spans="1:1" x14ac:dyDescent="0.2">
      <c r="A19" s="141" t="s">
        <v>407</v>
      </c>
    </row>
    <row r="20" spans="1:1" x14ac:dyDescent="0.2">
      <c r="A20" s="141"/>
    </row>
    <row r="21" spans="1:1" x14ac:dyDescent="0.2">
      <c r="A21" s="140" t="s">
        <v>408</v>
      </c>
    </row>
    <row r="22" spans="1:1" x14ac:dyDescent="0.2">
      <c r="A22" s="140" t="s">
        <v>409</v>
      </c>
    </row>
    <row r="23" spans="1:1" x14ac:dyDescent="0.2">
      <c r="A23" s="140" t="s">
        <v>410</v>
      </c>
    </row>
    <row r="24" spans="1:1" x14ac:dyDescent="0.2">
      <c r="A24" s="140"/>
    </row>
    <row r="25" spans="1:1" x14ac:dyDescent="0.2">
      <c r="A25" s="141" t="s">
        <v>411</v>
      </c>
    </row>
    <row r="26" spans="1:1" x14ac:dyDescent="0.2">
      <c r="A26" s="141"/>
    </row>
    <row r="27" spans="1:1" x14ac:dyDescent="0.2">
      <c r="A27" s="140" t="s">
        <v>412</v>
      </c>
    </row>
    <row r="28" spans="1:1" x14ac:dyDescent="0.2">
      <c r="A28" s="140" t="s">
        <v>413</v>
      </c>
    </row>
    <row r="29" spans="1:1" x14ac:dyDescent="0.2">
      <c r="A29" s="140" t="s">
        <v>414</v>
      </c>
    </row>
    <row r="30" spans="1:1" x14ac:dyDescent="0.2">
      <c r="A30" s="140"/>
    </row>
    <row r="31" spans="1:1" x14ac:dyDescent="0.2">
      <c r="A31" s="141" t="s">
        <v>415</v>
      </c>
    </row>
    <row r="32" spans="1:1" x14ac:dyDescent="0.2">
      <c r="A32" s="141"/>
    </row>
    <row r="33" spans="1:8" x14ac:dyDescent="0.2">
      <c r="A33" s="140" t="str">
        <f>CONCATENATE("If your financial records for ",inputPrYr!C6-2," are not closed")</f>
        <v>If your financial records for 2018 are not closed</v>
      </c>
      <c r="B33" s="140"/>
      <c r="C33" s="140"/>
      <c r="D33" s="140"/>
      <c r="E33" s="140"/>
      <c r="F33" s="140"/>
      <c r="G33" s="140"/>
      <c r="H33" s="140"/>
    </row>
    <row r="34" spans="1:8" x14ac:dyDescent="0.2">
      <c r="A34" s="140" t="str">
        <f>CONCATENATE("(i.e. an audit has not been completed, or the ",inputPrYr!C6," adopted ")</f>
        <v xml:space="preserve">(i.e. an audit has not been completed, or the 2020 adopted </v>
      </c>
      <c r="B34" s="140"/>
      <c r="C34" s="140"/>
      <c r="D34" s="140"/>
      <c r="E34" s="140"/>
      <c r="F34" s="140"/>
      <c r="G34" s="140"/>
      <c r="H34" s="140"/>
    </row>
    <row r="35" spans="1:8" x14ac:dyDescent="0.2">
      <c r="A35" s="140" t="s">
        <v>416</v>
      </c>
      <c r="B35" s="140"/>
      <c r="C35" s="140"/>
      <c r="D35" s="140"/>
      <c r="E35" s="140"/>
      <c r="F35" s="140"/>
      <c r="G35" s="140"/>
      <c r="H35" s="140"/>
    </row>
    <row r="36" spans="1:8" x14ac:dyDescent="0.2">
      <c r="A36" s="140" t="s">
        <v>417</v>
      </c>
      <c r="B36" s="140"/>
      <c r="C36" s="140"/>
      <c r="D36" s="140"/>
      <c r="E36" s="140"/>
      <c r="F36" s="140"/>
      <c r="G36" s="140"/>
      <c r="H36" s="140"/>
    </row>
    <row r="37" spans="1:8" x14ac:dyDescent="0.2">
      <c r="A37" s="140" t="s">
        <v>418</v>
      </c>
      <c r="B37" s="140"/>
      <c r="C37" s="140"/>
      <c r="D37" s="140"/>
      <c r="E37" s="140"/>
      <c r="F37" s="140"/>
      <c r="G37" s="140"/>
      <c r="H37" s="140"/>
    </row>
    <row r="38" spans="1:8" x14ac:dyDescent="0.2">
      <c r="A38" s="140" t="s">
        <v>419</v>
      </c>
      <c r="B38" s="140"/>
      <c r="C38" s="140"/>
      <c r="D38" s="140"/>
      <c r="E38" s="140"/>
      <c r="F38" s="140"/>
      <c r="G38" s="140"/>
      <c r="H38" s="140"/>
    </row>
    <row r="39" spans="1:8" x14ac:dyDescent="0.2">
      <c r="A39" s="140" t="s">
        <v>420</v>
      </c>
      <c r="B39" s="140"/>
      <c r="C39" s="140"/>
      <c r="D39" s="140"/>
      <c r="E39" s="140"/>
      <c r="F39" s="140"/>
      <c r="G39" s="140"/>
      <c r="H39" s="140"/>
    </row>
    <row r="40" spans="1:8" x14ac:dyDescent="0.2">
      <c r="A40" s="140"/>
      <c r="B40" s="140"/>
      <c r="C40" s="140"/>
      <c r="D40" s="140"/>
      <c r="E40" s="140"/>
      <c r="F40" s="140"/>
      <c r="G40" s="140"/>
      <c r="H40" s="140"/>
    </row>
    <row r="41" spans="1:8" x14ac:dyDescent="0.2">
      <c r="A41" s="140" t="s">
        <v>421</v>
      </c>
      <c r="B41" s="140"/>
      <c r="C41" s="140"/>
      <c r="D41" s="140"/>
      <c r="E41" s="140"/>
      <c r="F41" s="140"/>
      <c r="G41" s="140"/>
      <c r="H41" s="140"/>
    </row>
    <row r="42" spans="1:8" x14ac:dyDescent="0.2">
      <c r="A42" s="140" t="s">
        <v>422</v>
      </c>
      <c r="B42" s="140"/>
      <c r="C42" s="140"/>
      <c r="D42" s="140"/>
      <c r="E42" s="140"/>
      <c r="F42" s="140"/>
      <c r="G42" s="140"/>
      <c r="H42" s="140"/>
    </row>
    <row r="43" spans="1:8" x14ac:dyDescent="0.2">
      <c r="A43" s="140" t="s">
        <v>423</v>
      </c>
      <c r="B43" s="140"/>
      <c r="C43" s="140"/>
      <c r="D43" s="140"/>
      <c r="E43" s="140"/>
      <c r="F43" s="140"/>
      <c r="G43" s="140"/>
      <c r="H43" s="140"/>
    </row>
    <row r="44" spans="1:8" x14ac:dyDescent="0.2">
      <c r="A44" s="140" t="s">
        <v>424</v>
      </c>
      <c r="B44" s="140"/>
      <c r="C44" s="140"/>
      <c r="D44" s="140"/>
      <c r="E44" s="140"/>
      <c r="F44" s="140"/>
      <c r="G44" s="140"/>
      <c r="H44" s="140"/>
    </row>
    <row r="45" spans="1:8" x14ac:dyDescent="0.2">
      <c r="A45" s="140"/>
      <c r="B45" s="140"/>
      <c r="C45" s="140"/>
      <c r="D45" s="140"/>
      <c r="E45" s="140"/>
      <c r="F45" s="140"/>
      <c r="G45" s="140"/>
      <c r="H45" s="140"/>
    </row>
    <row r="46" spans="1:8" x14ac:dyDescent="0.2">
      <c r="A46" s="140" t="s">
        <v>425</v>
      </c>
      <c r="B46" s="140"/>
      <c r="C46" s="140"/>
      <c r="D46" s="140"/>
      <c r="E46" s="140"/>
      <c r="F46" s="140"/>
      <c r="G46" s="140"/>
      <c r="H46" s="140"/>
    </row>
    <row r="47" spans="1:8" x14ac:dyDescent="0.2">
      <c r="A47" s="140" t="s">
        <v>426</v>
      </c>
      <c r="B47" s="140"/>
      <c r="C47" s="140"/>
      <c r="D47" s="140"/>
      <c r="E47" s="140"/>
      <c r="F47" s="140"/>
      <c r="G47" s="140"/>
      <c r="H47" s="140"/>
    </row>
    <row r="48" spans="1:8" x14ac:dyDescent="0.2">
      <c r="A48" s="140" t="s">
        <v>427</v>
      </c>
      <c r="B48" s="140"/>
      <c r="C48" s="140"/>
      <c r="D48" s="140"/>
      <c r="E48" s="140"/>
      <c r="F48" s="140"/>
      <c r="G48" s="140"/>
      <c r="H48" s="140"/>
    </row>
    <row r="49" spans="1:8" x14ac:dyDescent="0.2">
      <c r="A49" s="140" t="s">
        <v>428</v>
      </c>
      <c r="B49" s="140"/>
      <c r="C49" s="140"/>
      <c r="D49" s="140"/>
      <c r="E49" s="140"/>
      <c r="F49" s="140"/>
      <c r="G49" s="140"/>
      <c r="H49" s="140"/>
    </row>
    <row r="50" spans="1:8" x14ac:dyDescent="0.2">
      <c r="A50" s="140" t="s">
        <v>429</v>
      </c>
      <c r="B50" s="140"/>
      <c r="C50" s="140"/>
      <c r="D50" s="140"/>
      <c r="E50" s="140"/>
      <c r="F50" s="140"/>
      <c r="G50" s="140"/>
      <c r="H50" s="140"/>
    </row>
    <row r="51" spans="1:8" x14ac:dyDescent="0.2">
      <c r="A51" s="140"/>
      <c r="B51" s="140"/>
      <c r="C51" s="140"/>
      <c r="D51" s="140"/>
      <c r="E51" s="140"/>
      <c r="F51" s="140"/>
      <c r="G51" s="140"/>
      <c r="H51" s="140"/>
    </row>
    <row r="52" spans="1:8" x14ac:dyDescent="0.2">
      <c r="A52" s="141" t="s">
        <v>430</v>
      </c>
      <c r="B52" s="141"/>
      <c r="C52" s="141"/>
      <c r="D52" s="141"/>
      <c r="E52" s="141"/>
      <c r="F52" s="141"/>
      <c r="G52" s="141"/>
      <c r="H52" s="140"/>
    </row>
    <row r="53" spans="1:8" x14ac:dyDescent="0.2">
      <c r="A53" s="141" t="s">
        <v>431</v>
      </c>
      <c r="B53" s="141"/>
      <c r="C53" s="141"/>
      <c r="D53" s="141"/>
      <c r="E53" s="141"/>
      <c r="F53" s="141"/>
      <c r="G53" s="141"/>
      <c r="H53" s="140"/>
    </row>
    <row r="54" spans="1:8" x14ac:dyDescent="0.2">
      <c r="A54" s="140"/>
      <c r="B54" s="140"/>
      <c r="C54" s="140"/>
      <c r="D54" s="140"/>
      <c r="E54" s="140"/>
      <c r="F54" s="140"/>
      <c r="G54" s="140"/>
      <c r="H54" s="140"/>
    </row>
    <row r="55" spans="1:8" x14ac:dyDescent="0.2">
      <c r="A55" s="140" t="s">
        <v>432</v>
      </c>
      <c r="B55" s="140"/>
      <c r="C55" s="140"/>
      <c r="D55" s="140"/>
      <c r="E55" s="140"/>
      <c r="F55" s="140"/>
      <c r="G55" s="140"/>
      <c r="H55" s="140"/>
    </row>
    <row r="56" spans="1:8" x14ac:dyDescent="0.2">
      <c r="A56" s="140" t="s">
        <v>433</v>
      </c>
      <c r="B56" s="140"/>
      <c r="C56" s="140"/>
      <c r="D56" s="140"/>
      <c r="E56" s="140"/>
      <c r="F56" s="140"/>
      <c r="G56" s="140"/>
      <c r="H56" s="140"/>
    </row>
    <row r="57" spans="1:8" x14ac:dyDescent="0.2">
      <c r="A57" s="140" t="s">
        <v>434</v>
      </c>
      <c r="B57" s="140"/>
      <c r="C57" s="140"/>
      <c r="D57" s="140"/>
      <c r="E57" s="140"/>
      <c r="F57" s="140"/>
      <c r="G57" s="140"/>
      <c r="H57" s="140"/>
    </row>
    <row r="58" spans="1:8" x14ac:dyDescent="0.2">
      <c r="A58" s="140" t="s">
        <v>435</v>
      </c>
      <c r="B58" s="140"/>
      <c r="C58" s="140"/>
      <c r="D58" s="140"/>
      <c r="E58" s="140"/>
      <c r="F58" s="140"/>
      <c r="G58" s="140"/>
      <c r="H58" s="140"/>
    </row>
    <row r="59" spans="1:8" x14ac:dyDescent="0.2">
      <c r="A59" s="140"/>
      <c r="B59" s="140"/>
      <c r="C59" s="140"/>
      <c r="D59" s="140"/>
      <c r="E59" s="140"/>
      <c r="F59" s="140"/>
      <c r="G59" s="140"/>
      <c r="H59" s="140"/>
    </row>
    <row r="60" spans="1:8" x14ac:dyDescent="0.2">
      <c r="A60" s="140" t="s">
        <v>436</v>
      </c>
      <c r="B60" s="140"/>
      <c r="C60" s="140"/>
      <c r="D60" s="140"/>
      <c r="E60" s="140"/>
      <c r="F60" s="140"/>
      <c r="G60" s="140"/>
      <c r="H60" s="140"/>
    </row>
    <row r="61" spans="1:8" x14ac:dyDescent="0.2">
      <c r="A61" s="140" t="s">
        <v>437</v>
      </c>
      <c r="B61" s="140"/>
      <c r="C61" s="140"/>
      <c r="D61" s="140"/>
      <c r="E61" s="140"/>
      <c r="F61" s="140"/>
      <c r="G61" s="140"/>
      <c r="H61" s="140"/>
    </row>
    <row r="62" spans="1:8" x14ac:dyDescent="0.2">
      <c r="A62" s="140" t="s">
        <v>438</v>
      </c>
      <c r="B62" s="140"/>
      <c r="C62" s="140"/>
      <c r="D62" s="140"/>
      <c r="E62" s="140"/>
      <c r="F62" s="140"/>
      <c r="G62" s="140"/>
      <c r="H62" s="140"/>
    </row>
    <row r="63" spans="1:8" x14ac:dyDescent="0.2">
      <c r="A63" s="140" t="s">
        <v>439</v>
      </c>
      <c r="B63" s="140"/>
      <c r="C63" s="140"/>
      <c r="D63" s="140"/>
      <c r="E63" s="140"/>
      <c r="F63" s="140"/>
      <c r="G63" s="140"/>
      <c r="H63" s="140"/>
    </row>
    <row r="64" spans="1:8" x14ac:dyDescent="0.2">
      <c r="A64" s="140" t="s">
        <v>440</v>
      </c>
      <c r="B64" s="140"/>
      <c r="C64" s="140"/>
      <c r="D64" s="140"/>
      <c r="E64" s="140"/>
      <c r="F64" s="140"/>
      <c r="G64" s="140"/>
      <c r="H64" s="140"/>
    </row>
    <row r="65" spans="1:8" x14ac:dyDescent="0.2">
      <c r="A65" s="140" t="s">
        <v>441</v>
      </c>
      <c r="B65" s="140"/>
      <c r="C65" s="140"/>
      <c r="D65" s="140"/>
      <c r="E65" s="140"/>
      <c r="F65" s="140"/>
      <c r="G65" s="140"/>
      <c r="H65" s="140"/>
    </row>
    <row r="66" spans="1:8" x14ac:dyDescent="0.2">
      <c r="A66" s="140"/>
      <c r="B66" s="140"/>
      <c r="C66" s="140"/>
      <c r="D66" s="140"/>
      <c r="E66" s="140"/>
      <c r="F66" s="140"/>
      <c r="G66" s="140"/>
      <c r="H66" s="140"/>
    </row>
    <row r="67" spans="1:8" x14ac:dyDescent="0.2">
      <c r="A67" s="140" t="s">
        <v>442</v>
      </c>
      <c r="B67" s="140"/>
      <c r="C67" s="140"/>
      <c r="D67" s="140"/>
      <c r="E67" s="140"/>
      <c r="F67" s="140"/>
      <c r="G67" s="140"/>
      <c r="H67" s="140"/>
    </row>
    <row r="68" spans="1:8" x14ac:dyDescent="0.2">
      <c r="A68" s="140" t="s">
        <v>443</v>
      </c>
      <c r="B68" s="140"/>
      <c r="C68" s="140"/>
      <c r="D68" s="140"/>
      <c r="E68" s="140"/>
      <c r="F68" s="140"/>
      <c r="G68" s="140"/>
      <c r="H68" s="140"/>
    </row>
    <row r="69" spans="1:8" x14ac:dyDescent="0.2">
      <c r="A69" s="140" t="s">
        <v>444</v>
      </c>
      <c r="B69" s="140"/>
      <c r="C69" s="140"/>
      <c r="D69" s="140"/>
      <c r="E69" s="140"/>
      <c r="F69" s="140"/>
      <c r="G69" s="140"/>
      <c r="H69" s="140"/>
    </row>
    <row r="70" spans="1:8" x14ac:dyDescent="0.2">
      <c r="A70" s="140" t="s">
        <v>445</v>
      </c>
      <c r="B70" s="140"/>
      <c r="C70" s="140"/>
      <c r="D70" s="140"/>
      <c r="E70" s="140"/>
      <c r="F70" s="140"/>
      <c r="G70" s="140"/>
      <c r="H70" s="140"/>
    </row>
    <row r="71" spans="1:8" x14ac:dyDescent="0.2">
      <c r="A71" s="140" t="s">
        <v>446</v>
      </c>
      <c r="B71" s="140"/>
      <c r="C71" s="140"/>
      <c r="D71" s="140"/>
      <c r="E71" s="140"/>
      <c r="F71" s="140"/>
      <c r="G71" s="140"/>
      <c r="H71" s="140"/>
    </row>
    <row r="72" spans="1:8" x14ac:dyDescent="0.2">
      <c r="A72" s="140" t="s">
        <v>447</v>
      </c>
      <c r="B72" s="140"/>
      <c r="C72" s="140"/>
      <c r="D72" s="140"/>
      <c r="E72" s="140"/>
      <c r="F72" s="140"/>
      <c r="G72" s="140"/>
      <c r="H72" s="140"/>
    </row>
    <row r="73" spans="1:8" x14ac:dyDescent="0.2">
      <c r="A73" s="140" t="s">
        <v>448</v>
      </c>
      <c r="B73" s="140"/>
      <c r="C73" s="140"/>
      <c r="D73" s="140"/>
      <c r="E73" s="140"/>
      <c r="F73" s="140"/>
      <c r="G73" s="140"/>
      <c r="H73" s="140"/>
    </row>
    <row r="74" spans="1:8" x14ac:dyDescent="0.2">
      <c r="A74" s="140"/>
      <c r="B74" s="140"/>
      <c r="C74" s="140"/>
      <c r="D74" s="140"/>
      <c r="E74" s="140"/>
      <c r="F74" s="140"/>
      <c r="G74" s="140"/>
      <c r="H74" s="140"/>
    </row>
    <row r="75" spans="1:8" x14ac:dyDescent="0.2">
      <c r="A75" s="140" t="s">
        <v>449</v>
      </c>
      <c r="B75" s="140"/>
      <c r="C75" s="140"/>
      <c r="D75" s="140"/>
      <c r="E75" s="140"/>
      <c r="F75" s="140"/>
      <c r="G75" s="140"/>
      <c r="H75" s="140"/>
    </row>
    <row r="76" spans="1:8" x14ac:dyDescent="0.2">
      <c r="A76" s="140" t="s">
        <v>450</v>
      </c>
      <c r="B76" s="140"/>
      <c r="C76" s="140"/>
      <c r="D76" s="140"/>
      <c r="E76" s="140"/>
      <c r="F76" s="140"/>
      <c r="G76" s="140"/>
      <c r="H76" s="140"/>
    </row>
    <row r="77" spans="1:8" x14ac:dyDescent="0.2">
      <c r="A77" s="140" t="s">
        <v>451</v>
      </c>
      <c r="B77" s="140"/>
      <c r="C77" s="140"/>
      <c r="D77" s="140"/>
      <c r="E77" s="140"/>
      <c r="F77" s="140"/>
      <c r="G77" s="140"/>
      <c r="H77" s="140"/>
    </row>
    <row r="78" spans="1:8" x14ac:dyDescent="0.2">
      <c r="A78" s="140"/>
      <c r="B78" s="140"/>
      <c r="C78" s="140"/>
      <c r="D78" s="140"/>
      <c r="E78" s="140"/>
      <c r="F78" s="140"/>
      <c r="G78" s="140"/>
      <c r="H78" s="140"/>
    </row>
    <row r="79" spans="1:8" x14ac:dyDescent="0.2">
      <c r="A79" s="140" t="s">
        <v>396</v>
      </c>
    </row>
    <row r="80" spans="1:8" x14ac:dyDescent="0.2">
      <c r="A80" s="141"/>
    </row>
    <row r="81" spans="1:1" x14ac:dyDescent="0.2">
      <c r="A81" s="140"/>
    </row>
    <row r="82" spans="1:1" x14ac:dyDescent="0.2">
      <c r="A82" s="140"/>
    </row>
    <row r="83" spans="1:1" x14ac:dyDescent="0.2">
      <c r="A83" s="140"/>
    </row>
    <row r="84" spans="1:1" x14ac:dyDescent="0.2">
      <c r="A84" s="140"/>
    </row>
    <row r="85" spans="1:1" x14ac:dyDescent="0.2">
      <c r="A85" s="140"/>
    </row>
    <row r="86" spans="1:1" x14ac:dyDescent="0.2">
      <c r="A86" s="140"/>
    </row>
    <row r="87" spans="1:1" x14ac:dyDescent="0.2">
      <c r="A87" s="140"/>
    </row>
    <row r="88" spans="1:1" x14ac:dyDescent="0.2">
      <c r="A88" s="140"/>
    </row>
    <row r="89" spans="1:1" x14ac:dyDescent="0.2">
      <c r="A89" s="140"/>
    </row>
    <row r="90" spans="1:1" x14ac:dyDescent="0.2">
      <c r="A90" s="140"/>
    </row>
    <row r="91" spans="1:1" x14ac:dyDescent="0.2">
      <c r="A91" s="140"/>
    </row>
    <row r="92" spans="1:1" x14ac:dyDescent="0.2">
      <c r="A92" s="140"/>
    </row>
    <row r="93" spans="1:1" x14ac:dyDescent="0.2">
      <c r="A93" s="140"/>
    </row>
    <row r="94" spans="1:1" x14ac:dyDescent="0.2">
      <c r="A94" s="140"/>
    </row>
    <row r="95" spans="1:1" x14ac:dyDescent="0.2">
      <c r="A95" s="140"/>
    </row>
    <row r="96" spans="1:1" x14ac:dyDescent="0.2">
      <c r="A96" s="140"/>
    </row>
    <row r="97" spans="1:1" x14ac:dyDescent="0.2">
      <c r="A97" s="140"/>
    </row>
    <row r="98" spans="1:1" x14ac:dyDescent="0.2">
      <c r="A98" s="140"/>
    </row>
    <row r="99" spans="1:1" x14ac:dyDescent="0.2">
      <c r="A99" s="140"/>
    </row>
    <row r="100" spans="1:1" x14ac:dyDescent="0.2">
      <c r="A100" s="140"/>
    </row>
    <row r="101" spans="1:1" x14ac:dyDescent="0.2">
      <c r="A101" s="140"/>
    </row>
    <row r="103" spans="1:1" x14ac:dyDescent="0.2">
      <c r="A103" s="140"/>
    </row>
    <row r="104" spans="1:1" x14ac:dyDescent="0.2">
      <c r="A104" s="140"/>
    </row>
    <row r="105" spans="1:1" x14ac:dyDescent="0.2">
      <c r="A105" s="140"/>
    </row>
    <row r="107" spans="1:1" x14ac:dyDescent="0.2">
      <c r="A107" s="141"/>
    </row>
    <row r="108" spans="1:1" x14ac:dyDescent="0.2">
      <c r="A108" s="141"/>
    </row>
    <row r="109" spans="1:1" x14ac:dyDescent="0.2">
      <c r="A109" s="141"/>
    </row>
  </sheetData>
  <sheetProtection sheet="1"/>
  <pageMargins left="0.7" right="0.7" top="0.75" bottom="0.75" header="0.3" footer="0.3"/>
  <pageSetup orientation="portrait" r:id="rId1"/>
  <headerFooter>
    <oddFooter>&amp;Lrevised 10/2/09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88"/>
  <sheetViews>
    <sheetView topLeftCell="A3" workbookViewId="0">
      <selection activeCell="A70" sqref="A70:A88"/>
    </sheetView>
  </sheetViews>
  <sheetFormatPr defaultColWidth="8.88671875" defaultRowHeight="15" x14ac:dyDescent="0.2"/>
  <cols>
    <col min="1" max="1" width="15.77734375" style="62" customWidth="1"/>
    <col min="2" max="2" width="20.77734375" style="62" customWidth="1"/>
    <col min="3" max="3" width="9.77734375" style="62" customWidth="1"/>
    <col min="4" max="4" width="15.109375" style="62" customWidth="1"/>
    <col min="5" max="5" width="15.77734375" style="62" customWidth="1"/>
    <col min="6" max="16384" width="8.88671875" style="62"/>
  </cols>
  <sheetData>
    <row r="1" spans="1:5" ht="15.75" x14ac:dyDescent="0.2">
      <c r="A1" s="63" t="str">
        <f>inputPrYr!$D$3</f>
        <v>UNIFIED GREELEY COUNTY - MUNICIPAL SERVICE DISTRICT</v>
      </c>
      <c r="B1" s="64"/>
      <c r="C1" s="64"/>
      <c r="D1" s="64"/>
      <c r="E1" s="65">
        <f>inputPrYr!C6</f>
        <v>2020</v>
      </c>
    </row>
    <row r="2" spans="1:5" x14ac:dyDescent="0.2">
      <c r="A2" s="64"/>
      <c r="B2" s="64"/>
      <c r="C2" s="64"/>
      <c r="D2" s="64"/>
      <c r="E2" s="64"/>
    </row>
    <row r="3" spans="1:5" ht="15.75" x14ac:dyDescent="0.2">
      <c r="A3" s="1020" t="s">
        <v>945</v>
      </c>
      <c r="B3" s="1021"/>
      <c r="C3" s="1021"/>
      <c r="D3" s="1021"/>
      <c r="E3" s="1021"/>
    </row>
    <row r="4" spans="1:5" ht="15.75" x14ac:dyDescent="0.2">
      <c r="A4" s="23"/>
      <c r="B4" s="23"/>
      <c r="C4" s="23"/>
      <c r="D4" s="23"/>
      <c r="E4" s="23"/>
    </row>
    <row r="5" spans="1:5" ht="15.75" x14ac:dyDescent="0.2">
      <c r="A5" s="23"/>
      <c r="B5" s="23"/>
      <c r="C5" s="23"/>
      <c r="D5" s="23"/>
      <c r="E5" s="23"/>
    </row>
    <row r="6" spans="1:5" ht="15.75" x14ac:dyDescent="0.2">
      <c r="A6" s="421" t="str">
        <f>CONCATENATE("From the County Clerk's ",E1," Budget Information:")</f>
        <v>From the County Clerk's 2020 Budget Information:</v>
      </c>
      <c r="B6" s="422"/>
      <c r="C6" s="423"/>
      <c r="D6" s="16"/>
      <c r="E6" s="35"/>
    </row>
    <row r="7" spans="1:5" ht="15.75" x14ac:dyDescent="0.2">
      <c r="A7" s="66" t="str">
        <f>CONCATENATE("Total Assessed Valuation for ",E1-1,"")</f>
        <v>Total Assessed Valuation for 2019</v>
      </c>
      <c r="B7" s="55"/>
      <c r="C7" s="55"/>
      <c r="D7" s="55"/>
      <c r="E7" s="34">
        <v>4873537</v>
      </c>
    </row>
    <row r="8" spans="1:5" ht="15.75" x14ac:dyDescent="0.2">
      <c r="A8" s="66" t="str">
        <f>CONCATENATE("New Improvements, Remodeling and Renovations for ",E1-1,"")</f>
        <v>New Improvements, Remodeling and Renovations for 2019</v>
      </c>
      <c r="B8" s="55"/>
      <c r="C8" s="55"/>
      <c r="D8" s="55"/>
      <c r="E8" s="67">
        <f>5789+2020</f>
        <v>7809</v>
      </c>
    </row>
    <row r="9" spans="1:5" ht="15.75" x14ac:dyDescent="0.2">
      <c r="A9" s="66" t="str">
        <f>CONCATENATE("Personal Property  - ",E1-1,"")</f>
        <v>Personal Property  - 2019</v>
      </c>
      <c r="B9" s="55"/>
      <c r="C9" s="55"/>
      <c r="D9" s="55"/>
      <c r="E9" s="67">
        <v>186490</v>
      </c>
    </row>
    <row r="10" spans="1:5" ht="15.75" x14ac:dyDescent="0.2">
      <c r="A10" s="68" t="s">
        <v>137</v>
      </c>
      <c r="B10" s="55"/>
      <c r="C10" s="55"/>
      <c r="D10" s="55"/>
      <c r="E10" s="49"/>
    </row>
    <row r="11" spans="1:5" ht="15.75" x14ac:dyDescent="0.2">
      <c r="A11" s="66" t="s">
        <v>120</v>
      </c>
      <c r="B11" s="55"/>
      <c r="C11" s="55"/>
      <c r="D11" s="55"/>
      <c r="E11" s="67"/>
    </row>
    <row r="12" spans="1:5" ht="15.75" x14ac:dyDescent="0.2">
      <c r="A12" s="66" t="s">
        <v>121</v>
      </c>
      <c r="B12" s="55"/>
      <c r="C12" s="55"/>
      <c r="D12" s="55"/>
      <c r="E12" s="67"/>
    </row>
    <row r="13" spans="1:5" ht="15.75" x14ac:dyDescent="0.2">
      <c r="A13" s="66" t="s">
        <v>122</v>
      </c>
      <c r="B13" s="55"/>
      <c r="C13" s="55"/>
      <c r="D13" s="55"/>
      <c r="E13" s="67"/>
    </row>
    <row r="14" spans="1:5" ht="15.75" x14ac:dyDescent="0.2">
      <c r="A14" s="66" t="str">
        <f>CONCATENATE("Property that has changed in use for ",E1-1,"")</f>
        <v>Property that has changed in use for 2019</v>
      </c>
      <c r="B14" s="55"/>
      <c r="C14" s="55"/>
      <c r="D14" s="55"/>
      <c r="E14" s="67"/>
    </row>
    <row r="15" spans="1:5" ht="15.75" x14ac:dyDescent="0.2">
      <c r="A15" s="66" t="str">
        <f>CONCATENATE("Personal Property  - ",E1-2,"")</f>
        <v>Personal Property  - 2018</v>
      </c>
      <c r="B15" s="55"/>
      <c r="C15" s="55"/>
      <c r="D15" s="55"/>
      <c r="E15" s="67">
        <v>176956</v>
      </c>
    </row>
    <row r="16" spans="1:5" ht="15.75" x14ac:dyDescent="0.2">
      <c r="A16" s="66" t="s">
        <v>985</v>
      </c>
      <c r="B16" s="55"/>
      <c r="C16" s="55"/>
      <c r="D16" s="55"/>
      <c r="E16" s="67"/>
    </row>
    <row r="17" spans="1:5" ht="15.75" x14ac:dyDescent="0.2">
      <c r="A17" s="66" t="str">
        <f>CONCATENATE("Gross earnings (intangible) tax estimate for ",E1,"")</f>
        <v>Gross earnings (intangible) tax estimate for 2020</v>
      </c>
      <c r="B17" s="55"/>
      <c r="C17" s="55"/>
      <c r="D17" s="56"/>
      <c r="E17" s="34"/>
    </row>
    <row r="18" spans="1:5" ht="15.75" x14ac:dyDescent="0.2">
      <c r="A18" s="66" t="s">
        <v>138</v>
      </c>
      <c r="B18" s="55"/>
      <c r="C18" s="55"/>
      <c r="D18" s="55"/>
      <c r="E18" s="33">
        <v>191086</v>
      </c>
    </row>
    <row r="19" spans="1:5" ht="15.75" x14ac:dyDescent="0.2">
      <c r="A19" s="45"/>
      <c r="B19" s="44"/>
      <c r="C19" s="44"/>
      <c r="D19" s="44"/>
      <c r="E19" s="47"/>
    </row>
    <row r="20" spans="1:5" ht="15.75" x14ac:dyDescent="0.2">
      <c r="A20" s="45" t="str">
        <f>CONCATENATE("Actual Tax Rates for the ",E1-1," Budget:")</f>
        <v>Actual Tax Rates for the 2019 Budget:</v>
      </c>
      <c r="B20" s="44"/>
      <c r="C20" s="44"/>
      <c r="D20" s="44"/>
      <c r="E20" s="42"/>
    </row>
    <row r="21" spans="1:5" ht="15.75" x14ac:dyDescent="0.2">
      <c r="A21" s="1033" t="s">
        <v>10</v>
      </c>
      <c r="B21" s="1034"/>
      <c r="C21" s="69"/>
      <c r="D21" s="70" t="s">
        <v>60</v>
      </c>
      <c r="E21" s="42"/>
    </row>
    <row r="22" spans="1:5" ht="15.75" x14ac:dyDescent="0.2">
      <c r="A22" s="38" t="str">
        <f>inputPrYr!B22</f>
        <v>General</v>
      </c>
      <c r="B22" s="39"/>
      <c r="C22" s="44"/>
      <c r="D22" s="424">
        <v>63.877000000000002</v>
      </c>
      <c r="E22" s="47"/>
    </row>
    <row r="23" spans="1:5" ht="15.75" x14ac:dyDescent="0.2">
      <c r="A23" s="66" t="str">
        <f>inputPrYr!B23</f>
        <v>Debt Service</v>
      </c>
      <c r="B23" s="55"/>
      <c r="C23" s="44"/>
      <c r="D23" s="424"/>
      <c r="E23" s="47"/>
    </row>
    <row r="24" spans="1:5" ht="15.75" x14ac:dyDescent="0.2">
      <c r="A24" s="66" t="str">
        <f>inputPrYr!B24</f>
        <v>Library</v>
      </c>
      <c r="B24" s="55"/>
      <c r="C24" s="44"/>
      <c r="D24" s="424"/>
      <c r="E24" s="47"/>
    </row>
    <row r="25" spans="1:5" ht="15.75" x14ac:dyDescent="0.2">
      <c r="A25" s="66">
        <f>inputPrYr!B26</f>
        <v>0</v>
      </c>
      <c r="B25" s="55"/>
      <c r="C25" s="44"/>
      <c r="D25" s="424"/>
      <c r="E25" s="47"/>
    </row>
    <row r="26" spans="1:5" ht="15.75" x14ac:dyDescent="0.2">
      <c r="A26" s="66">
        <f>inputPrYr!B27</f>
        <v>0</v>
      </c>
      <c r="B26" s="55"/>
      <c r="C26" s="44"/>
      <c r="D26" s="424"/>
      <c r="E26" s="47"/>
    </row>
    <row r="27" spans="1:5" ht="15.75" x14ac:dyDescent="0.2">
      <c r="A27" s="66">
        <f>inputPrYr!B28</f>
        <v>0</v>
      </c>
      <c r="B27" s="71"/>
      <c r="C27" s="44"/>
      <c r="D27" s="425"/>
      <c r="E27" s="47"/>
    </row>
    <row r="28" spans="1:5" ht="15.75" x14ac:dyDescent="0.2">
      <c r="A28" s="66">
        <f>inputPrYr!B29</f>
        <v>0</v>
      </c>
      <c r="B28" s="71"/>
      <c r="C28" s="44"/>
      <c r="D28" s="425"/>
      <c r="E28" s="47"/>
    </row>
    <row r="29" spans="1:5" ht="15.75" x14ac:dyDescent="0.2">
      <c r="A29" s="66">
        <f>inputPrYr!B30</f>
        <v>0</v>
      </c>
      <c r="B29" s="71"/>
      <c r="C29" s="44"/>
      <c r="D29" s="425"/>
      <c r="E29" s="47"/>
    </row>
    <row r="30" spans="1:5" ht="15.75" x14ac:dyDescent="0.2">
      <c r="A30" s="66">
        <f>inputPrYr!B31</f>
        <v>0</v>
      </c>
      <c r="B30" s="71"/>
      <c r="C30" s="44"/>
      <c r="D30" s="425"/>
      <c r="E30" s="47"/>
    </row>
    <row r="31" spans="1:5" ht="15.75" x14ac:dyDescent="0.2">
      <c r="A31" s="66">
        <f>inputPrYr!B32</f>
        <v>0</v>
      </c>
      <c r="B31" s="71"/>
      <c r="C31" s="44"/>
      <c r="D31" s="425"/>
      <c r="E31" s="47"/>
    </row>
    <row r="32" spans="1:5" ht="15.75" x14ac:dyDescent="0.2">
      <c r="A32" s="66">
        <f>inputPrYr!B33</f>
        <v>0</v>
      </c>
      <c r="B32" s="71"/>
      <c r="C32" s="44"/>
      <c r="D32" s="425"/>
      <c r="E32" s="47"/>
    </row>
    <row r="33" spans="1:5" ht="15.75" x14ac:dyDescent="0.2">
      <c r="A33" s="66">
        <f>inputPrYr!B34</f>
        <v>0</v>
      </c>
      <c r="B33" s="55"/>
      <c r="C33" s="44"/>
      <c r="D33" s="425"/>
      <c r="E33" s="47"/>
    </row>
    <row r="34" spans="1:5" ht="15.75" x14ac:dyDescent="0.2">
      <c r="A34" s="66">
        <f>inputPrYr!B35</f>
        <v>0</v>
      </c>
      <c r="B34" s="39"/>
      <c r="C34" s="44"/>
      <c r="D34" s="424"/>
      <c r="E34" s="47"/>
    </row>
    <row r="35" spans="1:5" ht="15.75" x14ac:dyDescent="0.2">
      <c r="A35" s="69"/>
      <c r="B35" s="39" t="s">
        <v>288</v>
      </c>
      <c r="C35" s="72"/>
      <c r="D35" s="52">
        <f>SUM(D22:D34)</f>
        <v>63.877000000000002</v>
      </c>
      <c r="E35" s="69"/>
    </row>
    <row r="36" spans="1:5" x14ac:dyDescent="0.2">
      <c r="A36" s="69"/>
      <c r="B36" s="69"/>
      <c r="C36" s="69"/>
      <c r="D36" s="69"/>
      <c r="E36" s="69"/>
    </row>
    <row r="37" spans="1:5" ht="15.75" x14ac:dyDescent="0.2">
      <c r="A37" s="39" t="str">
        <f>CONCATENATE("Final Assessed Valuation from the November 1, ",E1-2," Abstract")</f>
        <v>Final Assessed Valuation from the November 1, 2018 Abstract</v>
      </c>
      <c r="B37" s="73"/>
      <c r="C37" s="73"/>
      <c r="D37" s="73"/>
      <c r="E37" s="33">
        <v>4753243</v>
      </c>
    </row>
    <row r="38" spans="1:5" x14ac:dyDescent="0.2">
      <c r="A38" s="69"/>
      <c r="B38" s="69"/>
      <c r="C38" s="69"/>
      <c r="D38" s="69"/>
      <c r="E38" s="69"/>
    </row>
    <row r="39" spans="1:5" ht="15.75" x14ac:dyDescent="0.2">
      <c r="A39" s="411" t="str">
        <f>CONCATENATE("From the County Treasurer's Budget Information - ",E1," Budget Year Estimates:")</f>
        <v>From the County Treasurer's Budget Information - 2020 Budget Year Estimates:</v>
      </c>
      <c r="B39" s="54"/>
      <c r="C39" s="54"/>
      <c r="D39" s="438"/>
      <c r="E39" s="35"/>
    </row>
    <row r="40" spans="1:5" ht="15.75" x14ac:dyDescent="0.2">
      <c r="A40" s="38" t="s">
        <v>289</v>
      </c>
      <c r="B40" s="39"/>
      <c r="C40" s="39"/>
      <c r="D40" s="74"/>
      <c r="E40" s="34">
        <v>49254</v>
      </c>
    </row>
    <row r="41" spans="1:5" ht="15.75" x14ac:dyDescent="0.2">
      <c r="A41" s="66" t="s">
        <v>290</v>
      </c>
      <c r="B41" s="55"/>
      <c r="C41" s="55"/>
      <c r="D41" s="75"/>
      <c r="E41" s="34">
        <v>478</v>
      </c>
    </row>
    <row r="42" spans="1:5" ht="15.75" x14ac:dyDescent="0.2">
      <c r="A42" s="66" t="s">
        <v>139</v>
      </c>
      <c r="B42" s="55"/>
      <c r="C42" s="55"/>
      <c r="D42" s="75"/>
      <c r="E42" s="34">
        <v>447</v>
      </c>
    </row>
    <row r="43" spans="1:5" ht="15.75" x14ac:dyDescent="0.2">
      <c r="A43" s="66" t="s">
        <v>948</v>
      </c>
      <c r="B43" s="55"/>
      <c r="C43" s="55"/>
      <c r="D43" s="75"/>
      <c r="E43" s="34">
        <v>1404</v>
      </c>
    </row>
    <row r="44" spans="1:5" ht="15.75" x14ac:dyDescent="0.2">
      <c r="A44" s="66" t="s">
        <v>949</v>
      </c>
      <c r="B44" s="55"/>
      <c r="C44" s="55"/>
      <c r="D44" s="75"/>
      <c r="E44" s="34">
        <v>81</v>
      </c>
    </row>
    <row r="45" spans="1:5" ht="15.75" x14ac:dyDescent="0.2">
      <c r="A45" s="66" t="s">
        <v>140</v>
      </c>
      <c r="B45" s="55"/>
      <c r="C45" s="55"/>
      <c r="D45" s="75"/>
      <c r="E45" s="34"/>
    </row>
    <row r="46" spans="1:5" ht="15.75" x14ac:dyDescent="0.2">
      <c r="A46" s="66" t="s">
        <v>141</v>
      </c>
      <c r="B46" s="55"/>
      <c r="C46" s="55"/>
      <c r="D46" s="75"/>
      <c r="E46" s="34"/>
    </row>
    <row r="47" spans="1:5" ht="15.75" x14ac:dyDescent="0.2">
      <c r="A47" s="16" t="s">
        <v>142</v>
      </c>
      <c r="B47" s="16"/>
      <c r="C47" s="16"/>
      <c r="D47" s="16"/>
      <c r="E47" s="16"/>
    </row>
    <row r="48" spans="1:5" ht="15.75" x14ac:dyDescent="0.2">
      <c r="A48" s="18" t="s">
        <v>18</v>
      </c>
      <c r="B48" s="22"/>
      <c r="C48" s="22"/>
      <c r="D48" s="16"/>
      <c r="E48" s="16"/>
    </row>
    <row r="49" spans="1:5" ht="15.75" x14ac:dyDescent="0.2">
      <c r="A49" s="45" t="str">
        <f>CONCATENATE("Actual Delinquency for ",E1-3," Tax - (e.g. rate .01213 = 1.213%;  key in 1.2)")</f>
        <v>Actual Delinquency for 2017 Tax - (e.g. rate .01213 = 1.213%;  key in 1.2)</v>
      </c>
      <c r="B49" s="44"/>
      <c r="C49" s="16"/>
      <c r="D49" s="16"/>
      <c r="E49" s="16"/>
    </row>
    <row r="50" spans="1:5" ht="15.75" x14ac:dyDescent="0.2">
      <c r="A50" s="174" t="s">
        <v>746</v>
      </c>
      <c r="B50" s="45"/>
      <c r="C50" s="44"/>
      <c r="D50" s="44"/>
      <c r="E50" s="300">
        <v>0.03</v>
      </c>
    </row>
    <row r="51" spans="1:5" ht="15.75" x14ac:dyDescent="0.2">
      <c r="A51" s="76" t="s">
        <v>183</v>
      </c>
      <c r="B51" s="76"/>
      <c r="C51" s="77"/>
      <c r="D51" s="77"/>
      <c r="E51" s="78"/>
    </row>
    <row r="52" spans="1:5" ht="15.75" x14ac:dyDescent="0.2">
      <c r="A52" s="16"/>
      <c r="B52" s="16"/>
      <c r="C52" s="16"/>
      <c r="D52" s="16"/>
      <c r="E52" s="16"/>
    </row>
    <row r="53" spans="1:5" ht="15.75" x14ac:dyDescent="0.2">
      <c r="A53" s="427" t="s">
        <v>219</v>
      </c>
      <c r="B53" s="428"/>
      <c r="C53" s="429"/>
      <c r="D53" s="429"/>
      <c r="E53" s="430"/>
    </row>
    <row r="54" spans="1:5" ht="15.75" x14ac:dyDescent="0.2">
      <c r="A54" s="79" t="str">
        <f>CONCATENATE("",E1," State Distribution for Kansas Gas Tax")</f>
        <v>2020 State Distribution for Kansas Gas Tax</v>
      </c>
      <c r="B54" s="80"/>
      <c r="C54" s="80"/>
      <c r="D54" s="81"/>
      <c r="E54" s="426">
        <v>20620</v>
      </c>
    </row>
    <row r="55" spans="1:5" ht="15.75" x14ac:dyDescent="0.2">
      <c r="A55" s="82" t="str">
        <f>CONCATENATE("",E1," County Transfers for Gas***")</f>
        <v>2020 County Transfers for Gas***</v>
      </c>
      <c r="B55" s="83"/>
      <c r="C55" s="83"/>
      <c r="D55" s="84"/>
      <c r="E55" s="33"/>
    </row>
    <row r="56" spans="1:5" ht="15.75" x14ac:dyDescent="0.2">
      <c r="A56" s="82" t="str">
        <f>CONCATENATE("Adjusted ",E1-1," State Distribution for Kansas Gas Tax")</f>
        <v>Adjusted 2019 State Distribution for Kansas Gas Tax</v>
      </c>
      <c r="B56" s="83"/>
      <c r="C56" s="83"/>
      <c r="D56" s="84"/>
      <c r="E56" s="33">
        <v>20590</v>
      </c>
    </row>
    <row r="57" spans="1:5" ht="15.75" x14ac:dyDescent="0.2">
      <c r="A57" s="82" t="str">
        <f>CONCATENATE("Adjusted ",E1-1," County Transfers for Gas***")</f>
        <v>Adjusted 2019 County Transfers for Gas***</v>
      </c>
      <c r="B57" s="83"/>
      <c r="C57" s="83"/>
      <c r="D57" s="84"/>
      <c r="E57" s="33"/>
    </row>
    <row r="58" spans="1:5" x14ac:dyDescent="0.2">
      <c r="A58" s="1035" t="s">
        <v>200</v>
      </c>
      <c r="B58" s="1036"/>
      <c r="C58" s="1036"/>
      <c r="D58" s="1036"/>
      <c r="E58" s="1036"/>
    </row>
    <row r="59" spans="1:5" x14ac:dyDescent="0.2">
      <c r="A59" s="85" t="s">
        <v>201</v>
      </c>
      <c r="B59" s="85"/>
      <c r="C59" s="85"/>
      <c r="D59" s="85"/>
      <c r="E59" s="85"/>
    </row>
    <row r="60" spans="1:5" x14ac:dyDescent="0.2">
      <c r="A60" s="64"/>
      <c r="B60" s="64"/>
      <c r="C60" s="64"/>
      <c r="D60" s="64"/>
      <c r="E60" s="64"/>
    </row>
    <row r="61" spans="1:5" ht="15.75" x14ac:dyDescent="0.2">
      <c r="A61" s="1037" t="str">
        <f>CONCATENATE("From the ",E1-2," Budget Certificate Page")</f>
        <v>From the 2018 Budget Certificate Page</v>
      </c>
      <c r="B61" s="1038"/>
      <c r="C61" s="64"/>
      <c r="D61" s="64"/>
      <c r="E61" s="64"/>
    </row>
    <row r="62" spans="1:5" ht="15.75" x14ac:dyDescent="0.2">
      <c r="A62" s="86"/>
      <c r="B62" s="86" t="str">
        <f>CONCATENATE("",E1-2," Expenditure Amounts")</f>
        <v>2018 Expenditure Amounts</v>
      </c>
      <c r="C62" s="1031" t="str">
        <f>CONCATENATE("Note: If the ",E1-2," budget was amended, then the")</f>
        <v>Note: If the 2018 budget was amended, then the</v>
      </c>
      <c r="D62" s="1032"/>
      <c r="E62" s="1032"/>
    </row>
    <row r="63" spans="1:5" ht="15.75" x14ac:dyDescent="0.2">
      <c r="A63" s="87" t="s">
        <v>222</v>
      </c>
      <c r="B63" s="87" t="s">
        <v>223</v>
      </c>
      <c r="C63" s="88" t="s">
        <v>224</v>
      </c>
      <c r="D63" s="89"/>
      <c r="E63" s="89"/>
    </row>
    <row r="64" spans="1:5" ht="15.75" x14ac:dyDescent="0.2">
      <c r="A64" s="90" t="str">
        <f>inputPrYr!B22</f>
        <v>General</v>
      </c>
      <c r="B64" s="33">
        <v>809500</v>
      </c>
      <c r="C64" s="88" t="s">
        <v>225</v>
      </c>
      <c r="D64" s="89"/>
      <c r="E64" s="89"/>
    </row>
    <row r="65" spans="1:5" ht="15.75" x14ac:dyDescent="0.2">
      <c r="A65" s="90" t="s">
        <v>1058</v>
      </c>
      <c r="B65" s="33">
        <v>78791</v>
      </c>
      <c r="C65" s="88"/>
      <c r="D65" s="89"/>
      <c r="E65" s="89"/>
    </row>
    <row r="66" spans="1:5" ht="15.75" x14ac:dyDescent="0.2">
      <c r="A66" s="90" t="s">
        <v>1059</v>
      </c>
      <c r="B66" s="33">
        <v>3224</v>
      </c>
      <c r="C66" s="64"/>
      <c r="D66" s="64"/>
      <c r="E66" s="64"/>
    </row>
    <row r="67" spans="1:5" ht="15.75" x14ac:dyDescent="0.2">
      <c r="A67" s="90" t="s">
        <v>1060</v>
      </c>
      <c r="B67" s="33">
        <v>138356</v>
      </c>
      <c r="C67" s="64"/>
      <c r="D67" s="64"/>
      <c r="E67" s="64"/>
    </row>
    <row r="68" spans="1:5" ht="15.75" x14ac:dyDescent="0.2">
      <c r="A68" s="90" t="s">
        <v>1061</v>
      </c>
      <c r="B68" s="33">
        <v>58864</v>
      </c>
      <c r="C68" s="64"/>
      <c r="D68" s="64"/>
      <c r="E68" s="64"/>
    </row>
    <row r="69" spans="1:5" ht="15.75" x14ac:dyDescent="0.2">
      <c r="A69" s="90" t="s">
        <v>1062</v>
      </c>
      <c r="B69" s="33">
        <v>254874</v>
      </c>
      <c r="C69" s="64"/>
      <c r="D69" s="64"/>
      <c r="E69" s="64"/>
    </row>
    <row r="70" spans="1:5" ht="15.75" x14ac:dyDescent="0.2">
      <c r="A70" s="90"/>
      <c r="B70" s="33"/>
      <c r="C70" s="64"/>
      <c r="D70" s="64"/>
      <c r="E70" s="64"/>
    </row>
    <row r="71" spans="1:5" ht="15.75" x14ac:dyDescent="0.2">
      <c r="A71" s="90"/>
      <c r="B71" s="33"/>
      <c r="C71" s="64"/>
      <c r="D71" s="64"/>
      <c r="E71" s="64"/>
    </row>
    <row r="72" spans="1:5" ht="15.75" x14ac:dyDescent="0.2">
      <c r="A72" s="90"/>
      <c r="B72" s="33"/>
      <c r="C72" s="64"/>
      <c r="D72" s="64"/>
      <c r="E72" s="64"/>
    </row>
    <row r="73" spans="1:5" ht="15.75" x14ac:dyDescent="0.2">
      <c r="A73" s="90"/>
      <c r="B73" s="33"/>
      <c r="C73" s="64"/>
      <c r="D73" s="64"/>
      <c r="E73" s="64"/>
    </row>
    <row r="74" spans="1:5" ht="15.75" x14ac:dyDescent="0.2">
      <c r="A74" s="90"/>
      <c r="B74" s="33"/>
      <c r="C74" s="64"/>
      <c r="D74" s="64"/>
      <c r="E74" s="64"/>
    </row>
    <row r="75" spans="1:5" ht="15.75" x14ac:dyDescent="0.2">
      <c r="A75" s="90"/>
      <c r="B75" s="33"/>
      <c r="C75" s="64"/>
      <c r="D75" s="64"/>
      <c r="E75" s="64"/>
    </row>
    <row r="76" spans="1:5" ht="15.75" x14ac:dyDescent="0.2">
      <c r="A76" s="90"/>
      <c r="B76" s="33"/>
      <c r="C76" s="64"/>
      <c r="D76" s="64"/>
      <c r="E76" s="64"/>
    </row>
    <row r="77" spans="1:5" ht="15.75" x14ac:dyDescent="0.2">
      <c r="A77" s="90"/>
      <c r="B77" s="33"/>
      <c r="C77" s="64"/>
      <c r="D77" s="64"/>
      <c r="E77" s="64"/>
    </row>
    <row r="78" spans="1:5" ht="15.75" x14ac:dyDescent="0.2">
      <c r="A78" s="90"/>
      <c r="B78" s="33"/>
      <c r="C78" s="64"/>
      <c r="D78" s="64"/>
      <c r="E78" s="64"/>
    </row>
    <row r="79" spans="1:5" ht="15.75" x14ac:dyDescent="0.2">
      <c r="A79" s="90"/>
      <c r="B79" s="33"/>
      <c r="C79" s="64"/>
      <c r="D79" s="64"/>
      <c r="E79" s="64"/>
    </row>
    <row r="80" spans="1:5" ht="15.75" x14ac:dyDescent="0.2">
      <c r="A80" s="90"/>
      <c r="B80" s="33"/>
      <c r="C80" s="64"/>
      <c r="D80" s="64"/>
      <c r="E80" s="64"/>
    </row>
    <row r="81" spans="1:5" ht="15.75" x14ac:dyDescent="0.2">
      <c r="A81" s="90"/>
      <c r="B81" s="33"/>
      <c r="C81" s="64"/>
      <c r="D81" s="64"/>
      <c r="E81" s="64"/>
    </row>
    <row r="82" spans="1:5" ht="15.75" x14ac:dyDescent="0.2">
      <c r="A82" s="90"/>
      <c r="B82" s="33"/>
      <c r="C82" s="64"/>
      <c r="D82" s="64"/>
      <c r="E82" s="64"/>
    </row>
    <row r="83" spans="1:5" ht="15.75" x14ac:dyDescent="0.2">
      <c r="A83" s="90"/>
      <c r="B83" s="33"/>
      <c r="C83" s="64"/>
      <c r="D83" s="64"/>
      <c r="E83" s="64"/>
    </row>
    <row r="84" spans="1:5" ht="15.75" x14ac:dyDescent="0.2">
      <c r="A84" s="90"/>
      <c r="B84" s="33"/>
      <c r="C84" s="64"/>
      <c r="D84" s="64"/>
      <c r="E84" s="64"/>
    </row>
    <row r="85" spans="1:5" ht="15.75" x14ac:dyDescent="0.2">
      <c r="A85" s="90"/>
      <c r="B85" s="33"/>
      <c r="C85" s="64"/>
      <c r="D85" s="64"/>
      <c r="E85" s="64"/>
    </row>
    <row r="86" spans="1:5" ht="15.75" x14ac:dyDescent="0.2">
      <c r="A86" s="90"/>
      <c r="B86" s="33"/>
      <c r="C86" s="64"/>
      <c r="D86" s="64"/>
      <c r="E86" s="64"/>
    </row>
    <row r="87" spans="1:5" ht="15.75" x14ac:dyDescent="0.2">
      <c r="A87" s="90"/>
      <c r="B87" s="33"/>
      <c r="C87" s="64"/>
      <c r="D87" s="64"/>
      <c r="E87" s="64"/>
    </row>
    <row r="88" spans="1:5" ht="15.75" x14ac:dyDescent="0.2">
      <c r="A88" s="90"/>
      <c r="B88" s="33"/>
      <c r="C88" s="64"/>
      <c r="D88" s="64"/>
      <c r="E88" s="64"/>
    </row>
  </sheetData>
  <mergeCells count="5">
    <mergeCell ref="C62:E62"/>
    <mergeCell ref="A21:B21"/>
    <mergeCell ref="A58:E58"/>
    <mergeCell ref="A3:E3"/>
    <mergeCell ref="A61:B61"/>
  </mergeCells>
  <phoneticPr fontId="9" type="noConversion"/>
  <pageMargins left="0.75" right="0.75" top="1" bottom="1" header="0.5" footer="0.5"/>
  <pageSetup scale="51"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3:L75"/>
  <sheetViews>
    <sheetView workbookViewId="0">
      <selection activeCell="N115" sqref="N115"/>
    </sheetView>
  </sheetViews>
  <sheetFormatPr defaultRowHeight="15" x14ac:dyDescent="0.2"/>
  <cols>
    <col min="1" max="1" width="71.33203125" customWidth="1"/>
  </cols>
  <sheetData>
    <row r="3" spans="1:12" x14ac:dyDescent="0.2">
      <c r="A3" s="139" t="s">
        <v>452</v>
      </c>
      <c r="B3" s="139"/>
      <c r="C3" s="139"/>
      <c r="D3" s="139"/>
      <c r="E3" s="139"/>
      <c r="F3" s="139"/>
      <c r="G3" s="139"/>
      <c r="H3" s="139"/>
      <c r="I3" s="139"/>
      <c r="J3" s="139"/>
      <c r="K3" s="139"/>
      <c r="L3" s="139"/>
    </row>
    <row r="4" spans="1:12" x14ac:dyDescent="0.2">
      <c r="A4" s="139"/>
      <c r="B4" s="139"/>
      <c r="C4" s="139"/>
      <c r="D4" s="139"/>
      <c r="E4" s="139"/>
      <c r="F4" s="139"/>
      <c r="G4" s="139"/>
      <c r="H4" s="139"/>
      <c r="I4" s="139"/>
      <c r="J4" s="139"/>
      <c r="K4" s="139"/>
      <c r="L4" s="139"/>
    </row>
    <row r="5" spans="1:12" x14ac:dyDescent="0.2">
      <c r="A5" s="140" t="s">
        <v>341</v>
      </c>
      <c r="I5" s="139"/>
      <c r="J5" s="139"/>
      <c r="K5" s="139"/>
      <c r="L5" s="139"/>
    </row>
    <row r="6" spans="1:12" x14ac:dyDescent="0.2">
      <c r="A6" s="140" t="str">
        <f>CONCATENATE("estimated ",inputPrYr!C6-1," 'total expenditures' exceed your ",inputPrYr!C6-1,"")</f>
        <v>estimated 2019 'total expenditures' exceed your 2019</v>
      </c>
      <c r="I6" s="139"/>
      <c r="J6" s="139"/>
      <c r="K6" s="139"/>
      <c r="L6" s="139"/>
    </row>
    <row r="7" spans="1:12" x14ac:dyDescent="0.2">
      <c r="A7" s="143" t="s">
        <v>453</v>
      </c>
      <c r="I7" s="139"/>
      <c r="J7" s="139"/>
      <c r="K7" s="139"/>
      <c r="L7" s="139"/>
    </row>
    <row r="8" spans="1:12" x14ac:dyDescent="0.2">
      <c r="A8" s="140"/>
      <c r="I8" s="139"/>
      <c r="J8" s="139"/>
      <c r="K8" s="139"/>
      <c r="L8" s="139"/>
    </row>
    <row r="9" spans="1:12" x14ac:dyDescent="0.2">
      <c r="A9" s="140" t="s">
        <v>454</v>
      </c>
      <c r="I9" s="139"/>
      <c r="J9" s="139"/>
      <c r="K9" s="139"/>
      <c r="L9" s="139"/>
    </row>
    <row r="10" spans="1:12" x14ac:dyDescent="0.2">
      <c r="A10" s="140" t="s">
        <v>455</v>
      </c>
      <c r="I10" s="139"/>
      <c r="J10" s="139"/>
      <c r="K10" s="139"/>
      <c r="L10" s="139"/>
    </row>
    <row r="11" spans="1:12" x14ac:dyDescent="0.2">
      <c r="A11" s="140" t="s">
        <v>456</v>
      </c>
      <c r="I11" s="139"/>
      <c r="J11" s="139"/>
      <c r="K11" s="139"/>
      <c r="L11" s="139"/>
    </row>
    <row r="12" spans="1:12" x14ac:dyDescent="0.2">
      <c r="A12" s="140" t="s">
        <v>457</v>
      </c>
      <c r="I12" s="139"/>
      <c r="J12" s="139"/>
      <c r="K12" s="139"/>
      <c r="L12" s="139"/>
    </row>
    <row r="13" spans="1:12" x14ac:dyDescent="0.2">
      <c r="A13" s="140" t="s">
        <v>458</v>
      </c>
      <c r="I13" s="139"/>
      <c r="J13" s="139"/>
      <c r="K13" s="139"/>
      <c r="L13" s="139"/>
    </row>
    <row r="14" spans="1:12" x14ac:dyDescent="0.2">
      <c r="A14" s="139"/>
      <c r="B14" s="139"/>
      <c r="C14" s="139"/>
      <c r="D14" s="139"/>
      <c r="E14" s="139"/>
      <c r="F14" s="139"/>
      <c r="G14" s="139"/>
      <c r="H14" s="139"/>
      <c r="I14" s="139"/>
      <c r="J14" s="139"/>
      <c r="K14" s="139"/>
      <c r="L14" s="139"/>
    </row>
    <row r="15" spans="1:12" x14ac:dyDescent="0.2">
      <c r="A15" s="141" t="s">
        <v>459</v>
      </c>
    </row>
    <row r="16" spans="1:12" x14ac:dyDescent="0.2">
      <c r="A16" s="141" t="s">
        <v>460</v>
      </c>
    </row>
    <row r="17" spans="1:7" x14ac:dyDescent="0.2">
      <c r="A17" s="141"/>
    </row>
    <row r="18" spans="1:7" x14ac:dyDescent="0.2">
      <c r="A18" s="140" t="s">
        <v>461</v>
      </c>
      <c r="B18" s="140"/>
      <c r="C18" s="140"/>
      <c r="D18" s="140"/>
      <c r="E18" s="140"/>
      <c r="F18" s="140"/>
      <c r="G18" s="140"/>
    </row>
    <row r="19" spans="1:7" x14ac:dyDescent="0.2">
      <c r="A19" s="140" t="str">
        <f>CONCATENATE("your ",inputPrYr!C6-1," numbers to see what steps might be necessary to")</f>
        <v>your 2019 numbers to see what steps might be necessary to</v>
      </c>
      <c r="B19" s="140"/>
      <c r="C19" s="140"/>
      <c r="D19" s="140"/>
      <c r="E19" s="140"/>
      <c r="F19" s="140"/>
      <c r="G19" s="140"/>
    </row>
    <row r="20" spans="1:7" x14ac:dyDescent="0.2">
      <c r="A20" s="140" t="s">
        <v>462</v>
      </c>
      <c r="B20" s="140"/>
      <c r="C20" s="140"/>
      <c r="D20" s="140"/>
      <c r="E20" s="140"/>
      <c r="F20" s="140"/>
      <c r="G20" s="140"/>
    </row>
    <row r="21" spans="1:7" x14ac:dyDescent="0.2">
      <c r="A21" s="140" t="s">
        <v>463</v>
      </c>
      <c r="B21" s="140"/>
      <c r="C21" s="140"/>
      <c r="D21" s="140"/>
      <c r="E21" s="140"/>
      <c r="F21" s="140"/>
      <c r="G21" s="140"/>
    </row>
    <row r="22" spans="1:7" x14ac:dyDescent="0.2">
      <c r="A22" s="140"/>
    </row>
    <row r="23" spans="1:7" x14ac:dyDescent="0.2">
      <c r="A23" s="141" t="s">
        <v>464</v>
      </c>
    </row>
    <row r="24" spans="1:7" x14ac:dyDescent="0.2">
      <c r="A24" s="141"/>
    </row>
    <row r="25" spans="1:7" x14ac:dyDescent="0.2">
      <c r="A25" s="140" t="s">
        <v>465</v>
      </c>
    </row>
    <row r="26" spans="1:7" x14ac:dyDescent="0.2">
      <c r="A26" s="140" t="s">
        <v>466</v>
      </c>
      <c r="B26" s="140"/>
      <c r="C26" s="140"/>
      <c r="D26" s="140"/>
      <c r="E26" s="140"/>
      <c r="F26" s="140"/>
    </row>
    <row r="27" spans="1:7" x14ac:dyDescent="0.2">
      <c r="A27" s="140" t="s">
        <v>467</v>
      </c>
      <c r="B27" s="140"/>
      <c r="C27" s="140"/>
      <c r="D27" s="140"/>
      <c r="E27" s="140"/>
      <c r="F27" s="140"/>
    </row>
    <row r="28" spans="1:7" x14ac:dyDescent="0.2">
      <c r="A28" s="140" t="s">
        <v>468</v>
      </c>
      <c r="B28" s="140"/>
      <c r="C28" s="140"/>
      <c r="D28" s="140"/>
      <c r="E28" s="140"/>
      <c r="F28" s="140"/>
    </row>
    <row r="29" spans="1:7" x14ac:dyDescent="0.2">
      <c r="A29" s="140"/>
      <c r="B29" s="140"/>
      <c r="C29" s="140"/>
      <c r="D29" s="140"/>
      <c r="E29" s="140"/>
      <c r="F29" s="140"/>
    </row>
    <row r="30" spans="1:7" x14ac:dyDescent="0.2">
      <c r="A30" s="141" t="s">
        <v>469</v>
      </c>
      <c r="B30" s="141"/>
      <c r="C30" s="141"/>
      <c r="D30" s="141"/>
      <c r="E30" s="141"/>
      <c r="F30" s="141"/>
      <c r="G30" s="141"/>
    </row>
    <row r="31" spans="1:7" x14ac:dyDescent="0.2">
      <c r="A31" s="141" t="s">
        <v>470</v>
      </c>
      <c r="B31" s="141"/>
      <c r="C31" s="141"/>
      <c r="D31" s="141"/>
      <c r="E31" s="141"/>
      <c r="F31" s="141"/>
      <c r="G31" s="141"/>
    </row>
    <row r="32" spans="1:7" x14ac:dyDescent="0.2">
      <c r="A32" s="140"/>
      <c r="B32" s="140"/>
      <c r="C32" s="140"/>
      <c r="D32" s="140"/>
      <c r="E32" s="140"/>
      <c r="F32" s="140"/>
    </row>
    <row r="33" spans="1:6" x14ac:dyDescent="0.2">
      <c r="A33" s="144" t="str">
        <f>CONCATENATE("Well, let's look to see if any of your ",inputPrYr!C6-1," expenditures can")</f>
        <v>Well, let's look to see if any of your 2019 expenditures can</v>
      </c>
      <c r="B33" s="140"/>
      <c r="C33" s="140"/>
      <c r="D33" s="140"/>
      <c r="E33" s="140"/>
      <c r="F33" s="140"/>
    </row>
    <row r="34" spans="1:6" x14ac:dyDescent="0.2">
      <c r="A34" s="144" t="s">
        <v>471</v>
      </c>
      <c r="B34" s="140"/>
      <c r="C34" s="140"/>
      <c r="D34" s="140"/>
      <c r="E34" s="140"/>
      <c r="F34" s="140"/>
    </row>
    <row r="35" spans="1:6" x14ac:dyDescent="0.2">
      <c r="A35" s="144" t="s">
        <v>355</v>
      </c>
      <c r="B35" s="140"/>
      <c r="C35" s="140"/>
      <c r="D35" s="140"/>
      <c r="E35" s="140"/>
      <c r="F35" s="140"/>
    </row>
    <row r="36" spans="1:6" x14ac:dyDescent="0.2">
      <c r="A36" s="144" t="s">
        <v>356</v>
      </c>
      <c r="B36" s="140"/>
      <c r="C36" s="140"/>
      <c r="D36" s="140"/>
      <c r="E36" s="140"/>
      <c r="F36" s="140"/>
    </row>
    <row r="37" spans="1:6" x14ac:dyDescent="0.2">
      <c r="A37" s="144"/>
      <c r="B37" s="140"/>
      <c r="C37" s="140"/>
      <c r="D37" s="140"/>
      <c r="E37" s="140"/>
      <c r="F37" s="140"/>
    </row>
    <row r="38" spans="1:6" x14ac:dyDescent="0.2">
      <c r="A38" s="144" t="str">
        <f>CONCATENATE("Additionally, do your ",inputPrYr!C6-1," receipts contain a reimbursement")</f>
        <v>Additionally, do your 2019 receipts contain a reimbursement</v>
      </c>
      <c r="B38" s="140"/>
      <c r="C38" s="140"/>
      <c r="D38" s="140"/>
      <c r="E38" s="140"/>
      <c r="F38" s="140"/>
    </row>
    <row r="39" spans="1:6" x14ac:dyDescent="0.2">
      <c r="A39" s="144" t="s">
        <v>357</v>
      </c>
      <c r="B39" s="140"/>
      <c r="C39" s="140"/>
      <c r="D39" s="140"/>
      <c r="E39" s="140"/>
      <c r="F39" s="140"/>
    </row>
    <row r="40" spans="1:6" x14ac:dyDescent="0.2">
      <c r="A40" s="144" t="s">
        <v>358</v>
      </c>
      <c r="B40" s="140"/>
      <c r="C40" s="140"/>
      <c r="D40" s="140"/>
      <c r="E40" s="140"/>
      <c r="F40" s="140"/>
    </row>
    <row r="41" spans="1:6" x14ac:dyDescent="0.2">
      <c r="A41" s="144"/>
      <c r="B41" s="140"/>
      <c r="C41" s="140"/>
      <c r="D41" s="140"/>
      <c r="E41" s="140"/>
      <c r="F41" s="140"/>
    </row>
    <row r="42" spans="1:6" x14ac:dyDescent="0.2">
      <c r="A42" s="144" t="s">
        <v>359</v>
      </c>
      <c r="B42" s="140"/>
      <c r="C42" s="140"/>
      <c r="D42" s="140"/>
      <c r="E42" s="140"/>
      <c r="F42" s="140"/>
    </row>
    <row r="43" spans="1:6" x14ac:dyDescent="0.2">
      <c r="A43" s="144" t="s">
        <v>360</v>
      </c>
      <c r="B43" s="140"/>
      <c r="C43" s="140"/>
      <c r="D43" s="140"/>
      <c r="E43" s="140"/>
      <c r="F43" s="140"/>
    </row>
    <row r="44" spans="1:6" x14ac:dyDescent="0.2">
      <c r="A44" s="144" t="s">
        <v>361</v>
      </c>
      <c r="B44" s="140"/>
      <c r="C44" s="140"/>
      <c r="D44" s="140"/>
      <c r="E44" s="140"/>
      <c r="F44" s="140"/>
    </row>
    <row r="45" spans="1:6" x14ac:dyDescent="0.2">
      <c r="A45" s="144" t="s">
        <v>472</v>
      </c>
      <c r="B45" s="140"/>
      <c r="C45" s="140"/>
      <c r="D45" s="140"/>
      <c r="E45" s="140"/>
      <c r="F45" s="140"/>
    </row>
    <row r="46" spans="1:6" x14ac:dyDescent="0.2">
      <c r="A46" s="144" t="s">
        <v>363</v>
      </c>
      <c r="B46" s="140"/>
      <c r="C46" s="140"/>
      <c r="D46" s="140"/>
      <c r="E46" s="140"/>
      <c r="F46" s="140"/>
    </row>
    <row r="47" spans="1:6" x14ac:dyDescent="0.2">
      <c r="A47" s="144" t="s">
        <v>473</v>
      </c>
      <c r="B47" s="140"/>
      <c r="C47" s="140"/>
      <c r="D47" s="140"/>
      <c r="E47" s="140"/>
      <c r="F47" s="140"/>
    </row>
    <row r="48" spans="1:6" x14ac:dyDescent="0.2">
      <c r="A48" s="144" t="s">
        <v>474</v>
      </c>
      <c r="B48" s="140"/>
      <c r="C48" s="140"/>
      <c r="D48" s="140"/>
      <c r="E48" s="140"/>
      <c r="F48" s="140"/>
    </row>
    <row r="49" spans="1:6" x14ac:dyDescent="0.2">
      <c r="A49" s="144" t="s">
        <v>366</v>
      </c>
      <c r="B49" s="140"/>
      <c r="C49" s="140"/>
      <c r="D49" s="140"/>
      <c r="E49" s="140"/>
      <c r="F49" s="140"/>
    </row>
    <row r="50" spans="1:6" x14ac:dyDescent="0.2">
      <c r="A50" s="144"/>
      <c r="B50" s="140"/>
      <c r="C50" s="140"/>
      <c r="D50" s="140"/>
      <c r="E50" s="140"/>
      <c r="F50" s="140"/>
    </row>
    <row r="51" spans="1:6" x14ac:dyDescent="0.2">
      <c r="A51" s="144" t="s">
        <v>367</v>
      </c>
      <c r="B51" s="140"/>
      <c r="C51" s="140"/>
      <c r="D51" s="140"/>
      <c r="E51" s="140"/>
      <c r="F51" s="140"/>
    </row>
    <row r="52" spans="1:6" x14ac:dyDescent="0.2">
      <c r="A52" s="144" t="s">
        <v>368</v>
      </c>
      <c r="B52" s="140"/>
      <c r="C52" s="140"/>
      <c r="D52" s="140"/>
      <c r="E52" s="140"/>
      <c r="F52" s="140"/>
    </row>
    <row r="53" spans="1:6" x14ac:dyDescent="0.2">
      <c r="A53" s="144" t="s">
        <v>369</v>
      </c>
      <c r="B53" s="140"/>
      <c r="C53" s="140"/>
      <c r="D53" s="140"/>
      <c r="E53" s="140"/>
      <c r="F53" s="140"/>
    </row>
    <row r="54" spans="1:6" x14ac:dyDescent="0.2">
      <c r="A54" s="144"/>
      <c r="B54" s="140"/>
      <c r="C54" s="140"/>
      <c r="D54" s="140"/>
      <c r="E54" s="140"/>
      <c r="F54" s="140"/>
    </row>
    <row r="55" spans="1:6" x14ac:dyDescent="0.2">
      <c r="A55" s="144" t="s">
        <v>475</v>
      </c>
      <c r="B55" s="140"/>
      <c r="C55" s="140"/>
      <c r="D55" s="140"/>
      <c r="E55" s="140"/>
      <c r="F55" s="140"/>
    </row>
    <row r="56" spans="1:6" x14ac:dyDescent="0.2">
      <c r="A56" s="144" t="s">
        <v>476</v>
      </c>
      <c r="B56" s="140"/>
      <c r="C56" s="140"/>
      <c r="D56" s="140"/>
      <c r="E56" s="140"/>
      <c r="F56" s="140"/>
    </row>
    <row r="57" spans="1:6" x14ac:dyDescent="0.2">
      <c r="A57" s="144" t="s">
        <v>477</v>
      </c>
      <c r="B57" s="140"/>
      <c r="C57" s="140"/>
      <c r="D57" s="140"/>
      <c r="E57" s="140"/>
      <c r="F57" s="140"/>
    </row>
    <row r="58" spans="1:6" x14ac:dyDescent="0.2">
      <c r="A58" s="144" t="s">
        <v>478</v>
      </c>
      <c r="B58" s="140"/>
      <c r="C58" s="140"/>
      <c r="D58" s="140"/>
      <c r="E58" s="140"/>
      <c r="F58" s="140"/>
    </row>
    <row r="59" spans="1:6" x14ac:dyDescent="0.2">
      <c r="A59" s="144" t="s">
        <v>479</v>
      </c>
      <c r="B59" s="140"/>
      <c r="C59" s="140"/>
      <c r="D59" s="140"/>
      <c r="E59" s="140"/>
      <c r="F59" s="140"/>
    </row>
    <row r="60" spans="1:6" x14ac:dyDescent="0.2">
      <c r="A60" s="144"/>
      <c r="B60" s="140"/>
      <c r="C60" s="140"/>
      <c r="D60" s="140"/>
      <c r="E60" s="140"/>
      <c r="F60" s="140"/>
    </row>
    <row r="61" spans="1:6" x14ac:dyDescent="0.2">
      <c r="A61" s="145" t="s">
        <v>480</v>
      </c>
      <c r="B61" s="140"/>
      <c r="C61" s="140"/>
      <c r="D61" s="140"/>
      <c r="E61" s="140"/>
      <c r="F61" s="140"/>
    </row>
    <row r="62" spans="1:6" x14ac:dyDescent="0.2">
      <c r="A62" s="145" t="s">
        <v>481</v>
      </c>
      <c r="B62" s="140"/>
      <c r="C62" s="140"/>
      <c r="D62" s="140"/>
      <c r="E62" s="140"/>
      <c r="F62" s="140"/>
    </row>
    <row r="63" spans="1:6" x14ac:dyDescent="0.2">
      <c r="A63" s="145" t="s">
        <v>482</v>
      </c>
      <c r="B63" s="140"/>
      <c r="C63" s="140"/>
      <c r="D63" s="140"/>
      <c r="E63" s="140"/>
      <c r="F63" s="140"/>
    </row>
    <row r="64" spans="1:6" x14ac:dyDescent="0.2">
      <c r="A64" s="145" t="s">
        <v>483</v>
      </c>
    </row>
    <row r="65" spans="1:1" x14ac:dyDescent="0.2">
      <c r="A65" s="145" t="s">
        <v>484</v>
      </c>
    </row>
    <row r="66" spans="1:1" x14ac:dyDescent="0.2">
      <c r="A66" s="145" t="s">
        <v>485</v>
      </c>
    </row>
    <row r="68" spans="1:1" x14ac:dyDescent="0.2">
      <c r="A68" s="140" t="s">
        <v>486</v>
      </c>
    </row>
    <row r="69" spans="1:1" x14ac:dyDescent="0.2">
      <c r="A69" s="140" t="s">
        <v>487</v>
      </c>
    </row>
    <row r="70" spans="1:1" x14ac:dyDescent="0.2">
      <c r="A70" s="140" t="s">
        <v>488</v>
      </c>
    </row>
    <row r="71" spans="1:1" x14ac:dyDescent="0.2">
      <c r="A71" s="140" t="s">
        <v>489</v>
      </c>
    </row>
    <row r="72" spans="1:1" x14ac:dyDescent="0.2">
      <c r="A72" s="140" t="s">
        <v>490</v>
      </c>
    </row>
    <row r="73" spans="1:1" x14ac:dyDescent="0.2">
      <c r="A73" s="140" t="s">
        <v>491</v>
      </c>
    </row>
    <row r="75" spans="1:1" x14ac:dyDescent="0.2">
      <c r="A75" s="140" t="s">
        <v>396</v>
      </c>
    </row>
  </sheetData>
  <sheetProtection sheet="1"/>
  <pageMargins left="0.7" right="0.7" top="0.75" bottom="0.75" header="0.3" footer="0.3"/>
  <pageSetup orientation="portrait" r:id="rId1"/>
  <headerFooter>
    <oddFooter>&amp;Lrevised 10/2/09</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3:G106"/>
  <sheetViews>
    <sheetView workbookViewId="0">
      <selection activeCell="N97" sqref="N97"/>
    </sheetView>
  </sheetViews>
  <sheetFormatPr defaultRowHeight="15" x14ac:dyDescent="0.2"/>
  <cols>
    <col min="1" max="1" width="71.33203125" customWidth="1"/>
  </cols>
  <sheetData>
    <row r="3" spans="1:7" x14ac:dyDescent="0.2">
      <c r="A3" s="139" t="s">
        <v>492</v>
      </c>
      <c r="B3" s="139"/>
      <c r="C3" s="139"/>
      <c r="D3" s="139"/>
      <c r="E3" s="139"/>
      <c r="F3" s="139"/>
      <c r="G3" s="139"/>
    </row>
    <row r="4" spans="1:7" x14ac:dyDescent="0.2">
      <c r="A4" s="139"/>
      <c r="B4" s="139"/>
      <c r="C4" s="139"/>
      <c r="D4" s="139"/>
      <c r="E4" s="139"/>
      <c r="F4" s="139"/>
      <c r="G4" s="139"/>
    </row>
    <row r="5" spans="1:7" x14ac:dyDescent="0.2">
      <c r="A5" s="140" t="s">
        <v>398</v>
      </c>
    </row>
    <row r="6" spans="1:7" x14ac:dyDescent="0.2">
      <c r="A6" s="140" t="str">
        <f>CONCATENATE(inputPrYr!C6," estimated expenditures show that at the end of this year")</f>
        <v>2020 estimated expenditures show that at the end of this year</v>
      </c>
    </row>
    <row r="7" spans="1:7" x14ac:dyDescent="0.2">
      <c r="A7" s="140" t="s">
        <v>493</v>
      </c>
    </row>
    <row r="8" spans="1:7" x14ac:dyDescent="0.2">
      <c r="A8" s="140" t="s">
        <v>494</v>
      </c>
    </row>
    <row r="10" spans="1:7" x14ac:dyDescent="0.2">
      <c r="A10" t="s">
        <v>400</v>
      </c>
    </row>
    <row r="11" spans="1:7" x14ac:dyDescent="0.2">
      <c r="A11" t="s">
        <v>401</v>
      </c>
    </row>
    <row r="12" spans="1:7" x14ac:dyDescent="0.2">
      <c r="A12" t="s">
        <v>402</v>
      </c>
    </row>
    <row r="13" spans="1:7" x14ac:dyDescent="0.2">
      <c r="A13" s="139"/>
      <c r="B13" s="139"/>
      <c r="C13" s="139"/>
      <c r="D13" s="139"/>
      <c r="E13" s="139"/>
      <c r="F13" s="139"/>
      <c r="G13" s="139"/>
    </row>
    <row r="14" spans="1:7" x14ac:dyDescent="0.2">
      <c r="A14" s="141" t="s">
        <v>495</v>
      </c>
    </row>
    <row r="15" spans="1:7" x14ac:dyDescent="0.2">
      <c r="A15" s="140"/>
    </row>
    <row r="16" spans="1:7" x14ac:dyDescent="0.2">
      <c r="A16" s="140" t="s">
        <v>496</v>
      </c>
    </row>
    <row r="17" spans="1:7" x14ac:dyDescent="0.2">
      <c r="A17" s="140" t="s">
        <v>497</v>
      </c>
    </row>
    <row r="18" spans="1:7" x14ac:dyDescent="0.2">
      <c r="A18" s="140" t="s">
        <v>498</v>
      </c>
    </row>
    <row r="19" spans="1:7" x14ac:dyDescent="0.2">
      <c r="A19" s="140"/>
    </row>
    <row r="20" spans="1:7" x14ac:dyDescent="0.2">
      <c r="A20" s="140" t="s">
        <v>499</v>
      </c>
    </row>
    <row r="21" spans="1:7" x14ac:dyDescent="0.2">
      <c r="A21" s="140" t="s">
        <v>500</v>
      </c>
    </row>
    <row r="22" spans="1:7" x14ac:dyDescent="0.2">
      <c r="A22" s="140" t="s">
        <v>501</v>
      </c>
    </row>
    <row r="23" spans="1:7" x14ac:dyDescent="0.2">
      <c r="A23" s="140" t="s">
        <v>502</v>
      </c>
    </row>
    <row r="24" spans="1:7" x14ac:dyDescent="0.2">
      <c r="A24" s="140"/>
    </row>
    <row r="25" spans="1:7" x14ac:dyDescent="0.2">
      <c r="A25" s="141" t="s">
        <v>464</v>
      </c>
    </row>
    <row r="26" spans="1:7" x14ac:dyDescent="0.2">
      <c r="A26" s="141"/>
    </row>
    <row r="27" spans="1:7" x14ac:dyDescent="0.2">
      <c r="A27" s="140" t="s">
        <v>465</v>
      </c>
    </row>
    <row r="28" spans="1:7" x14ac:dyDescent="0.2">
      <c r="A28" s="140" t="s">
        <v>466</v>
      </c>
      <c r="B28" s="140"/>
      <c r="C28" s="140"/>
      <c r="D28" s="140"/>
      <c r="E28" s="140"/>
      <c r="F28" s="140"/>
    </row>
    <row r="29" spans="1:7" x14ac:dyDescent="0.2">
      <c r="A29" s="140" t="s">
        <v>467</v>
      </c>
      <c r="B29" s="140"/>
      <c r="C29" s="140"/>
      <c r="D29" s="140"/>
      <c r="E29" s="140"/>
      <c r="F29" s="140"/>
    </row>
    <row r="30" spans="1:7" x14ac:dyDescent="0.2">
      <c r="A30" s="140" t="s">
        <v>468</v>
      </c>
      <c r="B30" s="140"/>
      <c r="C30" s="140"/>
      <c r="D30" s="140"/>
      <c r="E30" s="140"/>
      <c r="F30" s="140"/>
    </row>
    <row r="31" spans="1:7" x14ac:dyDescent="0.2">
      <c r="A31" s="140"/>
    </row>
    <row r="32" spans="1:7" x14ac:dyDescent="0.2">
      <c r="A32" s="141" t="s">
        <v>469</v>
      </c>
      <c r="B32" s="141"/>
      <c r="C32" s="141"/>
      <c r="D32" s="141"/>
      <c r="E32" s="141"/>
      <c r="F32" s="141"/>
      <c r="G32" s="141"/>
    </row>
    <row r="33" spans="1:7" x14ac:dyDescent="0.2">
      <c r="A33" s="141" t="s">
        <v>470</v>
      </c>
      <c r="B33" s="141"/>
      <c r="C33" s="141"/>
      <c r="D33" s="141"/>
      <c r="E33" s="141"/>
      <c r="F33" s="141"/>
      <c r="G33" s="141"/>
    </row>
    <row r="34" spans="1:7" x14ac:dyDescent="0.2">
      <c r="A34" s="141"/>
      <c r="B34" s="141"/>
      <c r="C34" s="141"/>
      <c r="D34" s="141"/>
      <c r="E34" s="141"/>
      <c r="F34" s="141"/>
      <c r="G34" s="141"/>
    </row>
    <row r="35" spans="1:7" x14ac:dyDescent="0.2">
      <c r="A35" s="140" t="s">
        <v>503</v>
      </c>
      <c r="B35" s="140"/>
      <c r="C35" s="140"/>
      <c r="D35" s="140"/>
      <c r="E35" s="140"/>
      <c r="F35" s="140"/>
      <c r="G35" s="140"/>
    </row>
    <row r="36" spans="1:7" x14ac:dyDescent="0.2">
      <c r="A36" s="140" t="s">
        <v>504</v>
      </c>
      <c r="B36" s="140"/>
      <c r="C36" s="140"/>
      <c r="D36" s="140"/>
      <c r="E36" s="140"/>
      <c r="F36" s="140"/>
      <c r="G36" s="140"/>
    </row>
    <row r="37" spans="1:7" x14ac:dyDescent="0.2">
      <c r="A37" s="140" t="s">
        <v>505</v>
      </c>
      <c r="B37" s="140"/>
      <c r="C37" s="140"/>
      <c r="D37" s="140"/>
      <c r="E37" s="140"/>
      <c r="F37" s="140"/>
      <c r="G37" s="140"/>
    </row>
    <row r="38" spans="1:7" x14ac:dyDescent="0.2">
      <c r="A38" s="140" t="s">
        <v>506</v>
      </c>
      <c r="B38" s="140"/>
      <c r="C38" s="140"/>
      <c r="D38" s="140"/>
      <c r="E38" s="140"/>
      <c r="F38" s="140"/>
      <c r="G38" s="140"/>
    </row>
    <row r="39" spans="1:7" x14ac:dyDescent="0.2">
      <c r="A39" s="140" t="s">
        <v>507</v>
      </c>
      <c r="B39" s="140"/>
      <c r="C39" s="140"/>
      <c r="D39" s="140"/>
      <c r="E39" s="140"/>
      <c r="F39" s="140"/>
      <c r="G39" s="140"/>
    </row>
    <row r="40" spans="1:7" x14ac:dyDescent="0.2">
      <c r="A40" s="141"/>
      <c r="B40" s="141"/>
      <c r="C40" s="141"/>
      <c r="D40" s="141"/>
      <c r="E40" s="141"/>
      <c r="F40" s="141"/>
      <c r="G40" s="141"/>
    </row>
    <row r="41" spans="1:7" x14ac:dyDescent="0.2">
      <c r="A41" s="144" t="str">
        <f>CONCATENATE("So, let's look to see if any of your ",inputPrYr!C6-1," expenditures can")</f>
        <v>So, let's look to see if any of your 2019 expenditures can</v>
      </c>
      <c r="B41" s="140"/>
      <c r="C41" s="140"/>
      <c r="D41" s="140"/>
      <c r="E41" s="140"/>
      <c r="F41" s="140"/>
    </row>
    <row r="42" spans="1:7" x14ac:dyDescent="0.2">
      <c r="A42" s="144" t="s">
        <v>471</v>
      </c>
      <c r="B42" s="140"/>
      <c r="C42" s="140"/>
      <c r="D42" s="140"/>
      <c r="E42" s="140"/>
      <c r="F42" s="140"/>
    </row>
    <row r="43" spans="1:7" x14ac:dyDescent="0.2">
      <c r="A43" s="144" t="s">
        <v>355</v>
      </c>
      <c r="B43" s="140"/>
      <c r="C43" s="140"/>
      <c r="D43" s="140"/>
      <c r="E43" s="140"/>
      <c r="F43" s="140"/>
    </row>
    <row r="44" spans="1:7" x14ac:dyDescent="0.2">
      <c r="A44" s="144" t="s">
        <v>356</v>
      </c>
      <c r="B44" s="140"/>
      <c r="C44" s="140"/>
      <c r="D44" s="140"/>
      <c r="E44" s="140"/>
      <c r="F44" s="140"/>
    </row>
    <row r="45" spans="1:7" x14ac:dyDescent="0.2">
      <c r="A45" s="140"/>
    </row>
    <row r="46" spans="1:7" x14ac:dyDescent="0.2">
      <c r="A46" s="144" t="str">
        <f>CONCATENATE("Additionally, do your ",inputPrYr!C6-1," receipts contain a reimbursement")</f>
        <v>Additionally, do your 2019 receipts contain a reimbursement</v>
      </c>
      <c r="B46" s="140"/>
      <c r="C46" s="140"/>
      <c r="D46" s="140"/>
      <c r="E46" s="140"/>
      <c r="F46" s="140"/>
    </row>
    <row r="47" spans="1:7" x14ac:dyDescent="0.2">
      <c r="A47" s="144" t="s">
        <v>357</v>
      </c>
      <c r="B47" s="140"/>
      <c r="C47" s="140"/>
      <c r="D47" s="140"/>
      <c r="E47" s="140"/>
      <c r="F47" s="140"/>
    </row>
    <row r="48" spans="1:7" x14ac:dyDescent="0.2">
      <c r="A48" s="144" t="s">
        <v>358</v>
      </c>
      <c r="B48" s="140"/>
      <c r="C48" s="140"/>
      <c r="D48" s="140"/>
      <c r="E48" s="140"/>
      <c r="F48" s="140"/>
    </row>
    <row r="49" spans="1:7" x14ac:dyDescent="0.2">
      <c r="A49" s="140"/>
      <c r="B49" s="140"/>
      <c r="C49" s="140"/>
      <c r="D49" s="140"/>
      <c r="E49" s="140"/>
      <c r="F49" s="140"/>
      <c r="G49" s="140"/>
    </row>
    <row r="50" spans="1:7" x14ac:dyDescent="0.2">
      <c r="A50" s="140" t="s">
        <v>425</v>
      </c>
      <c r="B50" s="140"/>
      <c r="C50" s="140"/>
      <c r="D50" s="140"/>
      <c r="E50" s="140"/>
      <c r="F50" s="140"/>
      <c r="G50" s="140"/>
    </row>
    <row r="51" spans="1:7" x14ac:dyDescent="0.2">
      <c r="A51" s="140" t="s">
        <v>426</v>
      </c>
      <c r="B51" s="140"/>
      <c r="C51" s="140"/>
      <c r="D51" s="140"/>
      <c r="E51" s="140"/>
      <c r="F51" s="140"/>
      <c r="G51" s="140"/>
    </row>
    <row r="52" spans="1:7" x14ac:dyDescent="0.2">
      <c r="A52" s="140" t="s">
        <v>427</v>
      </c>
      <c r="B52" s="140"/>
      <c r="C52" s="140"/>
      <c r="D52" s="140"/>
      <c r="E52" s="140"/>
      <c r="F52" s="140"/>
      <c r="G52" s="140"/>
    </row>
    <row r="53" spans="1:7" x14ac:dyDescent="0.2">
      <c r="A53" s="140" t="s">
        <v>428</v>
      </c>
      <c r="B53" s="140"/>
      <c r="C53" s="140"/>
      <c r="D53" s="140"/>
      <c r="E53" s="140"/>
      <c r="F53" s="140"/>
      <c r="G53" s="140"/>
    </row>
    <row r="54" spans="1:7" x14ac:dyDescent="0.2">
      <c r="A54" s="140" t="s">
        <v>429</v>
      </c>
      <c r="B54" s="140"/>
      <c r="C54" s="140"/>
      <c r="D54" s="140"/>
      <c r="E54" s="140"/>
      <c r="F54" s="140"/>
      <c r="G54" s="140"/>
    </row>
    <row r="55" spans="1:7" x14ac:dyDescent="0.2">
      <c r="A55" s="140"/>
      <c r="B55" s="140"/>
      <c r="C55" s="140"/>
      <c r="D55" s="140"/>
      <c r="E55" s="140"/>
      <c r="F55" s="140"/>
      <c r="G55" s="140"/>
    </row>
    <row r="56" spans="1:7" x14ac:dyDescent="0.2">
      <c r="A56" s="144" t="s">
        <v>367</v>
      </c>
      <c r="B56" s="140"/>
      <c r="C56" s="140"/>
      <c r="D56" s="140"/>
      <c r="E56" s="140"/>
      <c r="F56" s="140"/>
    </row>
    <row r="57" spans="1:7" x14ac:dyDescent="0.2">
      <c r="A57" s="144" t="s">
        <v>368</v>
      </c>
      <c r="B57" s="140"/>
      <c r="C57" s="140"/>
      <c r="D57" s="140"/>
      <c r="E57" s="140"/>
      <c r="F57" s="140"/>
    </row>
    <row r="58" spans="1:7" x14ac:dyDescent="0.2">
      <c r="A58" s="144" t="s">
        <v>369</v>
      </c>
      <c r="B58" s="140"/>
      <c r="C58" s="140"/>
      <c r="D58" s="140"/>
      <c r="E58" s="140"/>
      <c r="F58" s="140"/>
    </row>
    <row r="59" spans="1:7" x14ac:dyDescent="0.2">
      <c r="A59" s="144"/>
      <c r="B59" s="140"/>
      <c r="C59" s="140"/>
      <c r="D59" s="140"/>
      <c r="E59" s="140"/>
      <c r="F59" s="140"/>
    </row>
    <row r="60" spans="1:7" x14ac:dyDescent="0.2">
      <c r="A60" s="140" t="s">
        <v>508</v>
      </c>
      <c r="B60" s="140"/>
      <c r="C60" s="140"/>
      <c r="D60" s="140"/>
      <c r="E60" s="140"/>
      <c r="F60" s="140"/>
      <c r="G60" s="140"/>
    </row>
    <row r="61" spans="1:7" x14ac:dyDescent="0.2">
      <c r="A61" s="140" t="s">
        <v>509</v>
      </c>
      <c r="B61" s="140"/>
      <c r="C61" s="140"/>
      <c r="D61" s="140"/>
      <c r="E61" s="140"/>
      <c r="F61" s="140"/>
      <c r="G61" s="140"/>
    </row>
    <row r="62" spans="1:7" x14ac:dyDescent="0.2">
      <c r="A62" s="140" t="s">
        <v>510</v>
      </c>
      <c r="B62" s="140"/>
      <c r="C62" s="140"/>
      <c r="D62" s="140"/>
      <c r="E62" s="140"/>
      <c r="F62" s="140"/>
      <c r="G62" s="140"/>
    </row>
    <row r="63" spans="1:7" x14ac:dyDescent="0.2">
      <c r="A63" s="140" t="s">
        <v>511</v>
      </c>
      <c r="B63" s="140"/>
      <c r="C63" s="140"/>
      <c r="D63" s="140"/>
      <c r="E63" s="140"/>
      <c r="F63" s="140"/>
      <c r="G63" s="140"/>
    </row>
    <row r="64" spans="1:7" x14ac:dyDescent="0.2">
      <c r="A64" s="140" t="s">
        <v>512</v>
      </c>
      <c r="B64" s="140"/>
      <c r="C64" s="140"/>
      <c r="D64" s="140"/>
      <c r="E64" s="140"/>
      <c r="F64" s="140"/>
      <c r="G64" s="140"/>
    </row>
    <row r="66" spans="1:6" x14ac:dyDescent="0.2">
      <c r="A66" s="144" t="s">
        <v>475</v>
      </c>
      <c r="B66" s="140"/>
      <c r="C66" s="140"/>
      <c r="D66" s="140"/>
      <c r="E66" s="140"/>
      <c r="F66" s="140"/>
    </row>
    <row r="67" spans="1:6" x14ac:dyDescent="0.2">
      <c r="A67" s="144" t="s">
        <v>476</v>
      </c>
      <c r="B67" s="140"/>
      <c r="C67" s="140"/>
      <c r="D67" s="140"/>
      <c r="E67" s="140"/>
      <c r="F67" s="140"/>
    </row>
    <row r="68" spans="1:6" x14ac:dyDescent="0.2">
      <c r="A68" s="144" t="s">
        <v>477</v>
      </c>
      <c r="B68" s="140"/>
      <c r="C68" s="140"/>
      <c r="D68" s="140"/>
      <c r="E68" s="140"/>
      <c r="F68" s="140"/>
    </row>
    <row r="69" spans="1:6" x14ac:dyDescent="0.2">
      <c r="A69" s="144" t="s">
        <v>478</v>
      </c>
      <c r="B69" s="140"/>
      <c r="C69" s="140"/>
      <c r="D69" s="140"/>
      <c r="E69" s="140"/>
      <c r="F69" s="140"/>
    </row>
    <row r="70" spans="1:6" x14ac:dyDescent="0.2">
      <c r="A70" s="144" t="s">
        <v>479</v>
      </c>
      <c r="B70" s="140"/>
      <c r="C70" s="140"/>
      <c r="D70" s="140"/>
      <c r="E70" s="140"/>
      <c r="F70" s="140"/>
    </row>
    <row r="71" spans="1:6" x14ac:dyDescent="0.2">
      <c r="A71" s="140"/>
    </row>
    <row r="72" spans="1:6" x14ac:dyDescent="0.2">
      <c r="A72" s="140" t="s">
        <v>396</v>
      </c>
    </row>
    <row r="73" spans="1:6" x14ac:dyDescent="0.2">
      <c r="A73" s="140"/>
    </row>
    <row r="74" spans="1:6" x14ac:dyDescent="0.2">
      <c r="A74" s="140"/>
    </row>
    <row r="75" spans="1:6" x14ac:dyDescent="0.2">
      <c r="A75" s="140"/>
    </row>
    <row r="78" spans="1:6" x14ac:dyDescent="0.2">
      <c r="A78" s="141"/>
    </row>
    <row r="80" spans="1:6" x14ac:dyDescent="0.2">
      <c r="A80" s="140"/>
    </row>
    <row r="81" spans="1:1" x14ac:dyDescent="0.2">
      <c r="A81" s="140"/>
    </row>
    <row r="82" spans="1:1" x14ac:dyDescent="0.2">
      <c r="A82" s="140"/>
    </row>
    <row r="83" spans="1:1" x14ac:dyDescent="0.2">
      <c r="A83" s="140"/>
    </row>
    <row r="84" spans="1:1" x14ac:dyDescent="0.2">
      <c r="A84" s="140"/>
    </row>
    <row r="85" spans="1:1" x14ac:dyDescent="0.2">
      <c r="A85" s="140"/>
    </row>
    <row r="86" spans="1:1" x14ac:dyDescent="0.2">
      <c r="A86" s="140"/>
    </row>
    <row r="87" spans="1:1" x14ac:dyDescent="0.2">
      <c r="A87" s="140"/>
    </row>
    <row r="88" spans="1:1" x14ac:dyDescent="0.2">
      <c r="A88" s="140"/>
    </row>
    <row r="89" spans="1:1" x14ac:dyDescent="0.2">
      <c r="A89" s="140"/>
    </row>
    <row r="90" spans="1:1" x14ac:dyDescent="0.2">
      <c r="A90" s="140"/>
    </row>
    <row r="92" spans="1:1" x14ac:dyDescent="0.2">
      <c r="A92" s="140"/>
    </row>
    <row r="93" spans="1:1" x14ac:dyDescent="0.2">
      <c r="A93" s="140"/>
    </row>
    <row r="94" spans="1:1" x14ac:dyDescent="0.2">
      <c r="A94" s="140"/>
    </row>
    <row r="95" spans="1:1" x14ac:dyDescent="0.2">
      <c r="A95" s="140"/>
    </row>
    <row r="96" spans="1:1" x14ac:dyDescent="0.2">
      <c r="A96" s="140"/>
    </row>
    <row r="97" spans="1:1" x14ac:dyDescent="0.2">
      <c r="A97" s="140"/>
    </row>
    <row r="98" spans="1:1" x14ac:dyDescent="0.2">
      <c r="A98" s="140"/>
    </row>
    <row r="99" spans="1:1" x14ac:dyDescent="0.2">
      <c r="A99" s="140"/>
    </row>
    <row r="100" spans="1:1" x14ac:dyDescent="0.2">
      <c r="A100" s="140"/>
    </row>
    <row r="101" spans="1:1" x14ac:dyDescent="0.2">
      <c r="A101" s="140"/>
    </row>
    <row r="102" spans="1:1" x14ac:dyDescent="0.2">
      <c r="A102" s="140"/>
    </row>
    <row r="103" spans="1:1" x14ac:dyDescent="0.2">
      <c r="A103" s="140"/>
    </row>
    <row r="104" spans="1:1" x14ac:dyDescent="0.2">
      <c r="A104" s="140"/>
    </row>
    <row r="105" spans="1:1" x14ac:dyDescent="0.2">
      <c r="A105" s="140"/>
    </row>
    <row r="106" spans="1:1" x14ac:dyDescent="0.2">
      <c r="A106" s="140"/>
    </row>
  </sheetData>
  <sheetProtection sheet="1"/>
  <pageMargins left="0.7" right="0.7" top="0.75" bottom="0.75" header="0.3" footer="0.3"/>
  <pageSetup orientation="portrait" r:id="rId1"/>
  <headerFooter>
    <oddFooter>&amp;Lrevised 10/2/09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3:H52"/>
  <sheetViews>
    <sheetView workbookViewId="0">
      <selection activeCell="N100" sqref="N100"/>
    </sheetView>
  </sheetViews>
  <sheetFormatPr defaultRowHeight="15" x14ac:dyDescent="0.2"/>
  <cols>
    <col min="1" max="1" width="71.33203125" customWidth="1"/>
  </cols>
  <sheetData>
    <row r="3" spans="1:7" x14ac:dyDescent="0.2">
      <c r="A3" s="139" t="s">
        <v>513</v>
      </c>
      <c r="B3" s="139"/>
      <c r="C3" s="139"/>
      <c r="D3" s="139"/>
      <c r="E3" s="139"/>
      <c r="F3" s="139"/>
      <c r="G3" s="139"/>
    </row>
    <row r="4" spans="1:7" x14ac:dyDescent="0.2">
      <c r="A4" s="139" t="s">
        <v>514</v>
      </c>
      <c r="B4" s="139"/>
      <c r="C4" s="139"/>
      <c r="D4" s="139"/>
      <c r="E4" s="139"/>
      <c r="F4" s="139"/>
      <c r="G4" s="139"/>
    </row>
    <row r="5" spans="1:7" x14ac:dyDescent="0.2">
      <c r="A5" s="139"/>
      <c r="B5" s="139"/>
      <c r="C5" s="139"/>
      <c r="D5" s="139"/>
      <c r="E5" s="139"/>
      <c r="F5" s="139"/>
      <c r="G5" s="139"/>
    </row>
    <row r="6" spans="1:7" x14ac:dyDescent="0.2">
      <c r="A6" s="139"/>
      <c r="B6" s="139"/>
      <c r="C6" s="139"/>
      <c r="D6" s="139"/>
      <c r="E6" s="139"/>
      <c r="F6" s="139"/>
      <c r="G6" s="139"/>
    </row>
    <row r="7" spans="1:7" x14ac:dyDescent="0.2">
      <c r="A7" s="140" t="s">
        <v>341</v>
      </c>
    </row>
    <row r="8" spans="1:7" x14ac:dyDescent="0.2">
      <c r="A8" s="140" t="str">
        <f>CONCATENATE("estimated ",inputPrYr!C6," 'total expenditures' exceed your ",inputPrYr!C6,"")</f>
        <v>estimated 2020 'total expenditures' exceed your 2020</v>
      </c>
    </row>
    <row r="9" spans="1:7" x14ac:dyDescent="0.2">
      <c r="A9" s="143" t="s">
        <v>515</v>
      </c>
    </row>
    <row r="10" spans="1:7" x14ac:dyDescent="0.2">
      <c r="A10" s="140"/>
    </row>
    <row r="11" spans="1:7" x14ac:dyDescent="0.2">
      <c r="A11" s="140" t="s">
        <v>516</v>
      </c>
    </row>
    <row r="12" spans="1:7" x14ac:dyDescent="0.2">
      <c r="A12" s="140" t="s">
        <v>517</v>
      </c>
    </row>
    <row r="13" spans="1:7" x14ac:dyDescent="0.2">
      <c r="A13" s="140" t="s">
        <v>518</v>
      </c>
    </row>
    <row r="14" spans="1:7" x14ac:dyDescent="0.2">
      <c r="A14" s="140"/>
    </row>
    <row r="15" spans="1:7" x14ac:dyDescent="0.2">
      <c r="A15" s="141" t="s">
        <v>519</v>
      </c>
    </row>
    <row r="16" spans="1:7" x14ac:dyDescent="0.2">
      <c r="A16" s="139"/>
      <c r="B16" s="139"/>
      <c r="C16" s="139"/>
      <c r="D16" s="139"/>
      <c r="E16" s="139"/>
      <c r="F16" s="139"/>
      <c r="G16" s="139"/>
    </row>
    <row r="17" spans="1:8" x14ac:dyDescent="0.2">
      <c r="A17" s="146" t="s">
        <v>520</v>
      </c>
      <c r="B17" s="147"/>
      <c r="C17" s="147"/>
      <c r="D17" s="147"/>
      <c r="E17" s="147"/>
      <c r="F17" s="147"/>
      <c r="G17" s="147"/>
      <c r="H17" s="147"/>
    </row>
    <row r="18" spans="1:8" x14ac:dyDescent="0.2">
      <c r="A18" s="140" t="s">
        <v>521</v>
      </c>
      <c r="B18" s="148"/>
      <c r="C18" s="148"/>
      <c r="D18" s="148"/>
      <c r="E18" s="148"/>
      <c r="F18" s="148"/>
      <c r="G18" s="148"/>
    </row>
    <row r="19" spans="1:8" x14ac:dyDescent="0.2">
      <c r="A19" s="140" t="s">
        <v>522</v>
      </c>
    </row>
    <row r="20" spans="1:8" x14ac:dyDescent="0.2">
      <c r="A20" s="140" t="s">
        <v>523</v>
      </c>
    </row>
    <row r="22" spans="1:8" x14ac:dyDescent="0.2">
      <c r="A22" s="141" t="s">
        <v>524</v>
      </c>
    </row>
    <row r="24" spans="1:8" x14ac:dyDescent="0.2">
      <c r="A24" s="140" t="s">
        <v>525</v>
      </c>
    </row>
    <row r="25" spans="1:8" x14ac:dyDescent="0.2">
      <c r="A25" s="140" t="s">
        <v>526</v>
      </c>
    </row>
    <row r="26" spans="1:8" x14ac:dyDescent="0.2">
      <c r="A26" s="140" t="s">
        <v>527</v>
      </c>
    </row>
    <row r="28" spans="1:8" x14ac:dyDescent="0.2">
      <c r="A28" s="141" t="s">
        <v>528</v>
      </c>
    </row>
    <row r="30" spans="1:8" x14ac:dyDescent="0.2">
      <c r="A30" t="s">
        <v>529</v>
      </c>
    </row>
    <row r="31" spans="1:8" x14ac:dyDescent="0.2">
      <c r="A31" t="s">
        <v>530</v>
      </c>
    </row>
    <row r="32" spans="1:8" x14ac:dyDescent="0.2">
      <c r="A32" t="s">
        <v>531</v>
      </c>
    </row>
    <row r="33" spans="1:1" x14ac:dyDescent="0.2">
      <c r="A33" s="140" t="s">
        <v>532</v>
      </c>
    </row>
    <row r="35" spans="1:1" x14ac:dyDescent="0.2">
      <c r="A35" t="s">
        <v>533</v>
      </c>
    </row>
    <row r="36" spans="1:1" x14ac:dyDescent="0.2">
      <c r="A36" t="s">
        <v>534</v>
      </c>
    </row>
    <row r="37" spans="1:1" x14ac:dyDescent="0.2">
      <c r="A37" t="s">
        <v>535</v>
      </c>
    </row>
    <row r="38" spans="1:1" x14ac:dyDescent="0.2">
      <c r="A38" t="s">
        <v>536</v>
      </c>
    </row>
    <row r="40" spans="1:1" x14ac:dyDescent="0.2">
      <c r="A40" t="s">
        <v>537</v>
      </c>
    </row>
    <row r="41" spans="1:1" x14ac:dyDescent="0.2">
      <c r="A41" t="s">
        <v>538</v>
      </c>
    </row>
    <row r="42" spans="1:1" x14ac:dyDescent="0.2">
      <c r="A42" t="s">
        <v>539</v>
      </c>
    </row>
    <row r="43" spans="1:1" x14ac:dyDescent="0.2">
      <c r="A43" t="s">
        <v>540</v>
      </c>
    </row>
    <row r="44" spans="1:1" x14ac:dyDescent="0.2">
      <c r="A44" t="s">
        <v>541</v>
      </c>
    </row>
    <row r="45" spans="1:1" x14ac:dyDescent="0.2">
      <c r="A45" t="s">
        <v>542</v>
      </c>
    </row>
    <row r="47" spans="1:1" x14ac:dyDescent="0.2">
      <c r="A47" t="s">
        <v>543</v>
      </c>
    </row>
    <row r="48" spans="1:1" x14ac:dyDescent="0.2">
      <c r="A48" t="s">
        <v>544</v>
      </c>
    </row>
    <row r="49" spans="1:1" x14ac:dyDescent="0.2">
      <c r="A49" s="140" t="s">
        <v>545</v>
      </c>
    </row>
    <row r="50" spans="1:1" x14ac:dyDescent="0.2">
      <c r="A50" s="140" t="s">
        <v>546</v>
      </c>
    </row>
    <row r="52" spans="1:1" x14ac:dyDescent="0.2">
      <c r="A52" t="s">
        <v>396</v>
      </c>
    </row>
  </sheetData>
  <sheetProtection sheet="1"/>
  <pageMargins left="0.7" right="0.7" top="0.75" bottom="0.75" header="0.3" footer="0.3"/>
  <pageSetup orientation="portrait" r:id="rId1"/>
  <headerFooter>
    <oddFooter>&amp;Lrevised 10/2/09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354"/>
  <sheetViews>
    <sheetView zoomScaleNormal="100" workbookViewId="0">
      <selection activeCell="R31" sqref="R31"/>
    </sheetView>
  </sheetViews>
  <sheetFormatPr defaultColWidth="8.88671875" defaultRowHeight="14.25" x14ac:dyDescent="0.2"/>
  <cols>
    <col min="1" max="1" width="7.5546875" style="249" customWidth="1"/>
    <col min="2" max="2" width="11.21875" style="185" customWidth="1"/>
    <col min="3" max="3" width="7.44140625" style="185" customWidth="1"/>
    <col min="4" max="4" width="8.88671875" style="185"/>
    <col min="5" max="5" width="1.5546875" style="185" customWidth="1"/>
    <col min="6" max="6" width="14.33203125" style="185" customWidth="1"/>
    <col min="7" max="7" width="2.5546875" style="185" customWidth="1"/>
    <col min="8" max="8" width="9.77734375" style="185" customWidth="1"/>
    <col min="9" max="9" width="2" style="185" customWidth="1"/>
    <col min="10" max="10" width="8.5546875" style="185" customWidth="1"/>
    <col min="11" max="11" width="11.6640625" style="185" customWidth="1"/>
    <col min="12" max="12" width="7.5546875" style="249" customWidth="1"/>
    <col min="13" max="14" width="8.88671875" style="249"/>
    <col min="15" max="15" width="9.88671875" style="249" bestFit="1" customWidth="1"/>
    <col min="16" max="16384" width="8.88671875" style="249"/>
  </cols>
  <sheetData>
    <row r="1" spans="1:12" x14ac:dyDescent="0.2">
      <c r="A1" s="184"/>
      <c r="B1" s="184"/>
      <c r="C1" s="184"/>
      <c r="D1" s="184"/>
      <c r="E1" s="184"/>
      <c r="F1" s="184"/>
      <c r="G1" s="184"/>
      <c r="H1" s="184"/>
      <c r="I1" s="184"/>
      <c r="J1" s="184"/>
      <c r="K1" s="184"/>
      <c r="L1" s="184"/>
    </row>
    <row r="2" spans="1:12" x14ac:dyDescent="0.2">
      <c r="A2" s="184"/>
      <c r="B2" s="184"/>
      <c r="C2" s="184"/>
      <c r="D2" s="184"/>
      <c r="E2" s="184"/>
      <c r="F2" s="184"/>
      <c r="G2" s="184"/>
      <c r="H2" s="184"/>
      <c r="I2" s="184"/>
      <c r="J2" s="184"/>
      <c r="K2" s="184"/>
      <c r="L2" s="184"/>
    </row>
    <row r="3" spans="1:12" x14ac:dyDescent="0.2">
      <c r="A3" s="184"/>
      <c r="B3" s="184"/>
      <c r="C3" s="184"/>
      <c r="D3" s="184"/>
      <c r="E3" s="184"/>
      <c r="F3" s="184"/>
      <c r="G3" s="184"/>
      <c r="H3" s="184"/>
      <c r="I3" s="184"/>
      <c r="J3" s="184"/>
      <c r="K3" s="184"/>
      <c r="L3" s="184"/>
    </row>
    <row r="4" spans="1:12" x14ac:dyDescent="0.2">
      <c r="A4" s="184"/>
      <c r="L4" s="184"/>
    </row>
    <row r="5" spans="1:12" ht="15" customHeight="1" x14ac:dyDescent="0.2">
      <c r="A5" s="184"/>
      <c r="L5" s="184"/>
    </row>
    <row r="6" spans="1:12" ht="33" customHeight="1" x14ac:dyDescent="0.2">
      <c r="A6" s="184"/>
      <c r="B6" s="1142" t="s">
        <v>947</v>
      </c>
      <c r="C6" s="1156"/>
      <c r="D6" s="1156"/>
      <c r="E6" s="1156"/>
      <c r="F6" s="1156"/>
      <c r="G6" s="1156"/>
      <c r="H6" s="1156"/>
      <c r="I6" s="1156"/>
      <c r="J6" s="1156"/>
      <c r="K6" s="1156"/>
      <c r="L6" s="186"/>
    </row>
    <row r="7" spans="1:12" ht="40.5" customHeight="1" x14ac:dyDescent="0.2">
      <c r="A7" s="184"/>
      <c r="B7" s="1158" t="s">
        <v>606</v>
      </c>
      <c r="C7" s="1159"/>
      <c r="D7" s="1159"/>
      <c r="E7" s="1159"/>
      <c r="F7" s="1159"/>
      <c r="G7" s="1159"/>
      <c r="H7" s="1159"/>
      <c r="I7" s="1159"/>
      <c r="J7" s="1159"/>
      <c r="K7" s="1159"/>
      <c r="L7" s="184"/>
    </row>
    <row r="8" spans="1:12" x14ac:dyDescent="0.2">
      <c r="A8" s="184"/>
      <c r="B8" s="1153" t="s">
        <v>607</v>
      </c>
      <c r="C8" s="1153"/>
      <c r="D8" s="1153"/>
      <c r="E8" s="1153"/>
      <c r="F8" s="1153"/>
      <c r="G8" s="1153"/>
      <c r="H8" s="1153"/>
      <c r="I8" s="1153"/>
      <c r="J8" s="1153"/>
      <c r="K8" s="1153"/>
      <c r="L8" s="184"/>
    </row>
    <row r="9" spans="1:12" x14ac:dyDescent="0.2">
      <c r="A9" s="184"/>
      <c r="L9" s="184"/>
    </row>
    <row r="10" spans="1:12" x14ac:dyDescent="0.2">
      <c r="A10" s="184"/>
      <c r="B10" s="1153" t="s">
        <v>608</v>
      </c>
      <c r="C10" s="1153"/>
      <c r="D10" s="1153"/>
      <c r="E10" s="1153"/>
      <c r="F10" s="1153"/>
      <c r="G10" s="1153"/>
      <c r="H10" s="1153"/>
      <c r="I10" s="1153"/>
      <c r="J10" s="1153"/>
      <c r="K10" s="1153"/>
      <c r="L10" s="184"/>
    </row>
    <row r="11" spans="1:12" x14ac:dyDescent="0.2">
      <c r="A11" s="184"/>
      <c r="B11" s="344"/>
      <c r="C11" s="344"/>
      <c r="D11" s="344"/>
      <c r="E11" s="344"/>
      <c r="F11" s="344"/>
      <c r="G11" s="344"/>
      <c r="H11" s="344"/>
      <c r="I11" s="344"/>
      <c r="J11" s="344"/>
      <c r="K11" s="344"/>
      <c r="L11" s="184"/>
    </row>
    <row r="12" spans="1:12" ht="32.25" customHeight="1" x14ac:dyDescent="0.2">
      <c r="A12" s="184"/>
      <c r="B12" s="1143" t="s">
        <v>609</v>
      </c>
      <c r="C12" s="1143"/>
      <c r="D12" s="1143"/>
      <c r="E12" s="1143"/>
      <c r="F12" s="1143"/>
      <c r="G12" s="1143"/>
      <c r="H12" s="1143"/>
      <c r="I12" s="1143"/>
      <c r="J12" s="1143"/>
      <c r="K12" s="1143"/>
      <c r="L12" s="184"/>
    </row>
    <row r="13" spans="1:12" x14ac:dyDescent="0.2">
      <c r="A13" s="184"/>
      <c r="L13" s="184"/>
    </row>
    <row r="14" spans="1:12" x14ac:dyDescent="0.2">
      <c r="A14" s="184"/>
      <c r="B14" s="187" t="s">
        <v>610</v>
      </c>
      <c r="L14" s="184"/>
    </row>
    <row r="15" spans="1:12" x14ac:dyDescent="0.2">
      <c r="A15" s="184"/>
      <c r="L15" s="184"/>
    </row>
    <row r="16" spans="1:12" x14ac:dyDescent="0.2">
      <c r="A16" s="184"/>
      <c r="B16" s="185" t="s">
        <v>611</v>
      </c>
      <c r="L16" s="184"/>
    </row>
    <row r="17" spans="1:12" x14ac:dyDescent="0.2">
      <c r="A17" s="184"/>
      <c r="B17" s="185" t="s">
        <v>612</v>
      </c>
      <c r="L17" s="184"/>
    </row>
    <row r="18" spans="1:12" x14ac:dyDescent="0.2">
      <c r="A18" s="184"/>
      <c r="L18" s="184"/>
    </row>
    <row r="19" spans="1:12" x14ac:dyDescent="0.2">
      <c r="A19" s="184"/>
      <c r="B19" s="187" t="s">
        <v>817</v>
      </c>
      <c r="L19" s="184"/>
    </row>
    <row r="20" spans="1:12" x14ac:dyDescent="0.2">
      <c r="A20" s="184"/>
      <c r="B20" s="187"/>
      <c r="L20" s="184"/>
    </row>
    <row r="21" spans="1:12" x14ac:dyDescent="0.2">
      <c r="A21" s="184"/>
      <c r="B21" s="185" t="s">
        <v>818</v>
      </c>
      <c r="L21" s="184"/>
    </row>
    <row r="22" spans="1:12" x14ac:dyDescent="0.2">
      <c r="A22" s="184"/>
      <c r="L22" s="184"/>
    </row>
    <row r="23" spans="1:12" x14ac:dyDescent="0.2">
      <c r="A23" s="184"/>
      <c r="B23" s="185" t="s">
        <v>613</v>
      </c>
      <c r="E23" s="185" t="s">
        <v>614</v>
      </c>
      <c r="F23" s="1140">
        <v>312000000</v>
      </c>
      <c r="G23" s="1140"/>
      <c r="L23" s="184"/>
    </row>
    <row r="24" spans="1:12" x14ac:dyDescent="0.2">
      <c r="A24" s="184"/>
      <c r="L24" s="184"/>
    </row>
    <row r="25" spans="1:12" x14ac:dyDescent="0.2">
      <c r="A25" s="184"/>
      <c r="C25" s="1160">
        <f>F23</f>
        <v>312000000</v>
      </c>
      <c r="D25" s="1160"/>
      <c r="E25" s="185" t="s">
        <v>615</v>
      </c>
      <c r="F25" s="188">
        <v>1000</v>
      </c>
      <c r="G25" s="188" t="s">
        <v>614</v>
      </c>
      <c r="H25" s="406">
        <f>F23/F25</f>
        <v>312000</v>
      </c>
      <c r="L25" s="184"/>
    </row>
    <row r="26" spans="1:12" ht="15" thickBot="1" x14ac:dyDescent="0.25">
      <c r="A26" s="184"/>
      <c r="L26" s="184"/>
    </row>
    <row r="27" spans="1:12" x14ac:dyDescent="0.2">
      <c r="A27" s="184"/>
      <c r="B27" s="189" t="s">
        <v>610</v>
      </c>
      <c r="C27" s="190"/>
      <c r="D27" s="190"/>
      <c r="E27" s="190"/>
      <c r="F27" s="190"/>
      <c r="G27" s="190"/>
      <c r="H27" s="190"/>
      <c r="I27" s="190"/>
      <c r="J27" s="190"/>
      <c r="K27" s="191"/>
      <c r="L27" s="184"/>
    </row>
    <row r="28" spans="1:12" x14ac:dyDescent="0.2">
      <c r="A28" s="184"/>
      <c r="B28" s="192">
        <f>F23</f>
        <v>312000000</v>
      </c>
      <c r="C28" s="193" t="s">
        <v>616</v>
      </c>
      <c r="D28" s="193"/>
      <c r="E28" s="193" t="s">
        <v>615</v>
      </c>
      <c r="F28" s="338">
        <v>1000</v>
      </c>
      <c r="G28" s="338" t="s">
        <v>614</v>
      </c>
      <c r="H28" s="407">
        <f>B28/F28</f>
        <v>312000</v>
      </c>
      <c r="I28" s="193" t="s">
        <v>617</v>
      </c>
      <c r="J28" s="193"/>
      <c r="K28" s="194"/>
      <c r="L28" s="184"/>
    </row>
    <row r="29" spans="1:12" ht="15" thickBot="1" x14ac:dyDescent="0.25">
      <c r="A29" s="184"/>
      <c r="B29" s="195"/>
      <c r="C29" s="196"/>
      <c r="D29" s="196"/>
      <c r="E29" s="196"/>
      <c r="F29" s="196"/>
      <c r="G29" s="196"/>
      <c r="H29" s="196"/>
      <c r="I29" s="196"/>
      <c r="J29" s="196"/>
      <c r="K29" s="197"/>
      <c r="L29" s="184"/>
    </row>
    <row r="30" spans="1:12" ht="40.5" customHeight="1" x14ac:dyDescent="0.2">
      <c r="A30" s="184"/>
      <c r="B30" s="1141" t="s">
        <v>606</v>
      </c>
      <c r="C30" s="1141"/>
      <c r="D30" s="1141"/>
      <c r="E30" s="1141"/>
      <c r="F30" s="1141"/>
      <c r="G30" s="1141"/>
      <c r="H30" s="1141"/>
      <c r="I30" s="1141"/>
      <c r="J30" s="1141"/>
      <c r="K30" s="1141"/>
      <c r="L30" s="184"/>
    </row>
    <row r="31" spans="1:12" x14ac:dyDescent="0.2">
      <c r="A31" s="184"/>
      <c r="B31" s="1153" t="s">
        <v>618</v>
      </c>
      <c r="C31" s="1153"/>
      <c r="D31" s="1153"/>
      <c r="E31" s="1153"/>
      <c r="F31" s="1153"/>
      <c r="G31" s="1153"/>
      <c r="H31" s="1153"/>
      <c r="I31" s="1153"/>
      <c r="J31" s="1153"/>
      <c r="K31" s="1153"/>
      <c r="L31" s="184"/>
    </row>
    <row r="32" spans="1:12" x14ac:dyDescent="0.2">
      <c r="A32" s="184"/>
      <c r="L32" s="184"/>
    </row>
    <row r="33" spans="1:12" x14ac:dyDescent="0.2">
      <c r="A33" s="184"/>
      <c r="B33" s="1153" t="s">
        <v>619</v>
      </c>
      <c r="C33" s="1153"/>
      <c r="D33" s="1153"/>
      <c r="E33" s="1153"/>
      <c r="F33" s="1153"/>
      <c r="G33" s="1153"/>
      <c r="H33" s="1153"/>
      <c r="I33" s="1153"/>
      <c r="J33" s="1153"/>
      <c r="K33" s="1153"/>
      <c r="L33" s="184"/>
    </row>
    <row r="34" spans="1:12" x14ac:dyDescent="0.2">
      <c r="A34" s="184"/>
      <c r="L34" s="184"/>
    </row>
    <row r="35" spans="1:12" ht="89.25" customHeight="1" x14ac:dyDescent="0.2">
      <c r="A35" s="184"/>
      <c r="B35" s="1143" t="s">
        <v>620</v>
      </c>
      <c r="C35" s="1147"/>
      <c r="D35" s="1147"/>
      <c r="E35" s="1147"/>
      <c r="F35" s="1147"/>
      <c r="G35" s="1147"/>
      <c r="H35" s="1147"/>
      <c r="I35" s="1147"/>
      <c r="J35" s="1147"/>
      <c r="K35" s="1147"/>
      <c r="L35" s="184"/>
    </row>
    <row r="36" spans="1:12" x14ac:dyDescent="0.2">
      <c r="A36" s="184"/>
      <c r="L36" s="184"/>
    </row>
    <row r="37" spans="1:12" x14ac:dyDescent="0.2">
      <c r="A37" s="184"/>
      <c r="B37" s="187" t="s">
        <v>621</v>
      </c>
      <c r="L37" s="184"/>
    </row>
    <row r="38" spans="1:12" x14ac:dyDescent="0.2">
      <c r="A38" s="184"/>
      <c r="L38" s="184"/>
    </row>
    <row r="39" spans="1:12" x14ac:dyDescent="0.2">
      <c r="A39" s="184"/>
      <c r="B39" s="185" t="s">
        <v>622</v>
      </c>
      <c r="L39" s="184"/>
    </row>
    <row r="40" spans="1:12" x14ac:dyDescent="0.2">
      <c r="A40" s="184"/>
      <c r="L40" s="184"/>
    </row>
    <row r="41" spans="1:12" x14ac:dyDescent="0.2">
      <c r="A41" s="184"/>
      <c r="C41" s="1161">
        <v>312000000</v>
      </c>
      <c r="D41" s="1161"/>
      <c r="E41" s="185" t="s">
        <v>615</v>
      </c>
      <c r="F41" s="188">
        <v>1000</v>
      </c>
      <c r="G41" s="188" t="s">
        <v>614</v>
      </c>
      <c r="H41" s="408">
        <f>C41/F41</f>
        <v>312000</v>
      </c>
      <c r="L41" s="184"/>
    </row>
    <row r="42" spans="1:12" x14ac:dyDescent="0.2">
      <c r="A42" s="184"/>
      <c r="L42" s="184"/>
    </row>
    <row r="43" spans="1:12" x14ac:dyDescent="0.2">
      <c r="A43" s="184"/>
      <c r="B43" s="185" t="s">
        <v>623</v>
      </c>
      <c r="L43" s="184"/>
    </row>
    <row r="44" spans="1:12" x14ac:dyDescent="0.2">
      <c r="A44" s="184"/>
      <c r="L44" s="184"/>
    </row>
    <row r="45" spans="1:12" x14ac:dyDescent="0.2">
      <c r="A45" s="184"/>
      <c r="B45" s="185" t="s">
        <v>624</v>
      </c>
      <c r="L45" s="184"/>
    </row>
    <row r="46" spans="1:12" ht="15" thickBot="1" x14ac:dyDescent="0.25">
      <c r="A46" s="184"/>
      <c r="L46" s="184"/>
    </row>
    <row r="47" spans="1:12" x14ac:dyDescent="0.2">
      <c r="A47" s="184"/>
      <c r="B47" s="198" t="s">
        <v>610</v>
      </c>
      <c r="C47" s="190"/>
      <c r="D47" s="190"/>
      <c r="E47" s="190"/>
      <c r="F47" s="190"/>
      <c r="G47" s="190"/>
      <c r="H47" s="190"/>
      <c r="I47" s="190"/>
      <c r="J47" s="190"/>
      <c r="K47" s="191"/>
      <c r="L47" s="184"/>
    </row>
    <row r="48" spans="1:12" x14ac:dyDescent="0.2">
      <c r="A48" s="184"/>
      <c r="B48" s="1148">
        <v>312000000</v>
      </c>
      <c r="C48" s="1140"/>
      <c r="D48" s="193" t="s">
        <v>625</v>
      </c>
      <c r="E48" s="193" t="s">
        <v>615</v>
      </c>
      <c r="F48" s="338">
        <v>1000</v>
      </c>
      <c r="G48" s="338" t="s">
        <v>614</v>
      </c>
      <c r="H48" s="407">
        <f>B48/F48</f>
        <v>312000</v>
      </c>
      <c r="I48" s="193" t="s">
        <v>626</v>
      </c>
      <c r="J48" s="193"/>
      <c r="K48" s="194"/>
      <c r="L48" s="184"/>
    </row>
    <row r="49" spans="1:24" x14ac:dyDescent="0.2">
      <c r="A49" s="184"/>
      <c r="B49" s="199"/>
      <c r="C49" s="193"/>
      <c r="D49" s="193"/>
      <c r="E49" s="193"/>
      <c r="F49" s="193"/>
      <c r="G49" s="193"/>
      <c r="H49" s="193"/>
      <c r="I49" s="193"/>
      <c r="J49" s="193"/>
      <c r="K49" s="194"/>
      <c r="L49" s="184"/>
    </row>
    <row r="50" spans="1:24" x14ac:dyDescent="0.2">
      <c r="A50" s="184"/>
      <c r="B50" s="200">
        <v>50000</v>
      </c>
      <c r="C50" s="193" t="s">
        <v>627</v>
      </c>
      <c r="D50" s="193"/>
      <c r="E50" s="193" t="s">
        <v>615</v>
      </c>
      <c r="F50" s="407">
        <f>H48</f>
        <v>312000</v>
      </c>
      <c r="G50" s="1149" t="s">
        <v>628</v>
      </c>
      <c r="H50" s="1150"/>
      <c r="I50" s="338" t="s">
        <v>614</v>
      </c>
      <c r="J50" s="201">
        <f>B50/F50</f>
        <v>0.16025641025641027</v>
      </c>
      <c r="K50" s="194"/>
      <c r="L50" s="184"/>
    </row>
    <row r="51" spans="1:24" ht="15" thickBot="1" x14ac:dyDescent="0.25">
      <c r="A51" s="184"/>
      <c r="B51" s="195"/>
      <c r="C51" s="196"/>
      <c r="D51" s="196"/>
      <c r="E51" s="196"/>
      <c r="F51" s="196"/>
      <c r="G51" s="196"/>
      <c r="H51" s="196"/>
      <c r="I51" s="1151" t="s">
        <v>629</v>
      </c>
      <c r="J51" s="1151"/>
      <c r="K51" s="1152"/>
      <c r="L51" s="184"/>
      <c r="O51" s="269"/>
    </row>
    <row r="52" spans="1:24" ht="40.5" customHeight="1" x14ac:dyDescent="0.2">
      <c r="A52" s="184"/>
      <c r="B52" s="1141" t="s">
        <v>606</v>
      </c>
      <c r="C52" s="1141"/>
      <c r="D52" s="1141"/>
      <c r="E52" s="1141"/>
      <c r="F52" s="1141"/>
      <c r="G52" s="1141"/>
      <c r="H52" s="1141"/>
      <c r="I52" s="1141"/>
      <c r="J52" s="1141"/>
      <c r="K52" s="1141"/>
      <c r="L52" s="184"/>
    </row>
    <row r="53" spans="1:24" x14ac:dyDescent="0.2">
      <c r="A53" s="184"/>
      <c r="B53" s="1153" t="s">
        <v>630</v>
      </c>
      <c r="C53" s="1153"/>
      <c r="D53" s="1153"/>
      <c r="E53" s="1153"/>
      <c r="F53" s="1153"/>
      <c r="G53" s="1153"/>
      <c r="H53" s="1153"/>
      <c r="I53" s="1153"/>
      <c r="J53" s="1153"/>
      <c r="K53" s="1153"/>
      <c r="L53" s="184"/>
    </row>
    <row r="54" spans="1:24" x14ac:dyDescent="0.2">
      <c r="A54" s="184"/>
      <c r="B54" s="344"/>
      <c r="C54" s="344"/>
      <c r="D54" s="344"/>
      <c r="E54" s="344"/>
      <c r="F54" s="344"/>
      <c r="G54" s="344"/>
      <c r="H54" s="344"/>
      <c r="I54" s="344"/>
      <c r="J54" s="344"/>
      <c r="K54" s="344"/>
      <c r="L54" s="184"/>
    </row>
    <row r="55" spans="1:24" x14ac:dyDescent="0.2">
      <c r="A55" s="184"/>
      <c r="B55" s="1142" t="s">
        <v>631</v>
      </c>
      <c r="C55" s="1142"/>
      <c r="D55" s="1142"/>
      <c r="E55" s="1142"/>
      <c r="F55" s="1142"/>
      <c r="G55" s="1142"/>
      <c r="H55" s="1142"/>
      <c r="I55" s="1142"/>
      <c r="J55" s="1142"/>
      <c r="K55" s="1142"/>
      <c r="L55" s="184"/>
    </row>
    <row r="56" spans="1:24" ht="15" customHeight="1" x14ac:dyDescent="0.2">
      <c r="A56" s="184"/>
      <c r="L56" s="184"/>
    </row>
    <row r="57" spans="1:24" ht="74.25" customHeight="1" x14ac:dyDescent="0.2">
      <c r="A57" s="184"/>
      <c r="B57" s="1143" t="s">
        <v>632</v>
      </c>
      <c r="C57" s="1147"/>
      <c r="D57" s="1147"/>
      <c r="E57" s="1147"/>
      <c r="F57" s="1147"/>
      <c r="G57" s="1147"/>
      <c r="H57" s="1147"/>
      <c r="I57" s="1147"/>
      <c r="J57" s="1147"/>
      <c r="K57" s="1147"/>
      <c r="L57" s="184"/>
      <c r="M57" s="202"/>
      <c r="N57" s="203"/>
      <c r="O57" s="203"/>
      <c r="P57" s="203"/>
      <c r="Q57" s="203"/>
      <c r="R57" s="203"/>
      <c r="S57" s="203"/>
      <c r="T57" s="203"/>
      <c r="U57" s="203"/>
      <c r="V57" s="203"/>
      <c r="W57" s="203"/>
      <c r="X57" s="203"/>
    </row>
    <row r="58" spans="1:24" ht="15" customHeight="1" x14ac:dyDescent="0.2">
      <c r="A58" s="184"/>
      <c r="B58" s="1143"/>
      <c r="C58" s="1147"/>
      <c r="D58" s="1147"/>
      <c r="E58" s="1147"/>
      <c r="F58" s="1147"/>
      <c r="G58" s="1147"/>
      <c r="H58" s="1147"/>
      <c r="I58" s="1147"/>
      <c r="J58" s="1147"/>
      <c r="K58" s="1147"/>
      <c r="L58" s="184"/>
      <c r="M58" s="202"/>
      <c r="N58" s="203"/>
      <c r="O58" s="203"/>
      <c r="P58" s="203"/>
      <c r="Q58" s="203"/>
      <c r="R58" s="203"/>
      <c r="S58" s="203"/>
      <c r="T58" s="203"/>
      <c r="U58" s="203"/>
      <c r="V58" s="203"/>
      <c r="W58" s="203"/>
      <c r="X58" s="203"/>
    </row>
    <row r="59" spans="1:24" x14ac:dyDescent="0.2">
      <c r="A59" s="184"/>
      <c r="B59" s="187" t="s">
        <v>621</v>
      </c>
      <c r="L59" s="184"/>
      <c r="M59" s="203"/>
      <c r="N59" s="203"/>
      <c r="O59" s="203"/>
      <c r="P59" s="203"/>
      <c r="Q59" s="203"/>
      <c r="R59" s="203"/>
      <c r="S59" s="203"/>
      <c r="T59" s="203"/>
      <c r="U59" s="203"/>
      <c r="V59" s="203"/>
      <c r="W59" s="203"/>
      <c r="X59" s="203"/>
    </row>
    <row r="60" spans="1:24" x14ac:dyDescent="0.2">
      <c r="A60" s="184"/>
      <c r="L60" s="184"/>
      <c r="M60" s="203"/>
      <c r="N60" s="203"/>
      <c r="O60" s="203"/>
      <c r="P60" s="203"/>
      <c r="Q60" s="203"/>
      <c r="R60" s="203"/>
      <c r="S60" s="203"/>
      <c r="T60" s="203"/>
      <c r="U60" s="203"/>
      <c r="V60" s="203"/>
      <c r="W60" s="203"/>
      <c r="X60" s="203"/>
    </row>
    <row r="61" spans="1:24" x14ac:dyDescent="0.2">
      <c r="A61" s="184"/>
      <c r="B61" s="185" t="s">
        <v>633</v>
      </c>
      <c r="L61" s="184"/>
      <c r="M61" s="203"/>
      <c r="N61" s="203"/>
      <c r="O61" s="203"/>
      <c r="P61" s="203"/>
      <c r="Q61" s="203"/>
      <c r="R61" s="203"/>
      <c r="S61" s="203"/>
      <c r="T61" s="203"/>
      <c r="U61" s="203"/>
      <c r="V61" s="203"/>
      <c r="W61" s="203"/>
      <c r="X61" s="203"/>
    </row>
    <row r="62" spans="1:24" x14ac:dyDescent="0.2">
      <c r="A62" s="184"/>
      <c r="B62" s="185" t="s">
        <v>819</v>
      </c>
      <c r="L62" s="184"/>
      <c r="M62" s="203"/>
      <c r="N62" s="203"/>
      <c r="O62" s="203"/>
      <c r="P62" s="203"/>
      <c r="Q62" s="203"/>
      <c r="R62" s="203"/>
      <c r="S62" s="203"/>
      <c r="T62" s="203"/>
      <c r="U62" s="203"/>
      <c r="V62" s="203"/>
      <c r="W62" s="203"/>
      <c r="X62" s="203"/>
    </row>
    <row r="63" spans="1:24" x14ac:dyDescent="0.2">
      <c r="A63" s="184"/>
      <c r="B63" s="185" t="s">
        <v>820</v>
      </c>
      <c r="L63" s="184"/>
      <c r="M63" s="203"/>
      <c r="N63" s="203"/>
      <c r="O63" s="203"/>
      <c r="P63" s="203"/>
      <c r="Q63" s="203"/>
      <c r="R63" s="203"/>
      <c r="S63" s="203"/>
      <c r="T63" s="203"/>
      <c r="U63" s="203"/>
      <c r="V63" s="203"/>
      <c r="W63" s="203"/>
      <c r="X63" s="203"/>
    </row>
    <row r="64" spans="1:24" x14ac:dyDescent="0.2">
      <c r="A64" s="184"/>
      <c r="L64" s="184"/>
      <c r="M64" s="203"/>
      <c r="N64" s="203"/>
      <c r="O64" s="203"/>
      <c r="P64" s="203"/>
      <c r="Q64" s="203"/>
      <c r="R64" s="203"/>
      <c r="S64" s="203"/>
      <c r="T64" s="203"/>
      <c r="U64" s="203"/>
      <c r="V64" s="203"/>
      <c r="W64" s="203"/>
      <c r="X64" s="203"/>
    </row>
    <row r="65" spans="1:24" x14ac:dyDescent="0.2">
      <c r="A65" s="184"/>
      <c r="B65" s="185" t="s">
        <v>634</v>
      </c>
      <c r="L65" s="184"/>
      <c r="M65" s="203"/>
      <c r="N65" s="203"/>
      <c r="O65" s="203"/>
      <c r="P65" s="203"/>
      <c r="Q65" s="203"/>
      <c r="R65" s="203"/>
      <c r="S65" s="203"/>
      <c r="T65" s="203"/>
      <c r="U65" s="203"/>
      <c r="V65" s="203"/>
      <c r="W65" s="203"/>
      <c r="X65" s="203"/>
    </row>
    <row r="66" spans="1:24" x14ac:dyDescent="0.2">
      <c r="A66" s="184"/>
      <c r="B66" s="185" t="s">
        <v>635</v>
      </c>
      <c r="L66" s="184"/>
      <c r="M66" s="203"/>
      <c r="N66" s="203"/>
      <c r="O66" s="203"/>
      <c r="P66" s="203"/>
      <c r="Q66" s="203"/>
      <c r="R66" s="203"/>
      <c r="S66" s="203"/>
      <c r="T66" s="203"/>
      <c r="U66" s="203"/>
      <c r="V66" s="203"/>
      <c r="W66" s="203"/>
      <c r="X66" s="203"/>
    </row>
    <row r="67" spans="1:24" x14ac:dyDescent="0.2">
      <c r="A67" s="184"/>
      <c r="L67" s="184"/>
      <c r="M67" s="203"/>
      <c r="N67" s="203"/>
      <c r="O67" s="203"/>
      <c r="P67" s="203"/>
      <c r="Q67" s="203"/>
      <c r="R67" s="203"/>
      <c r="S67" s="203"/>
      <c r="T67" s="203"/>
      <c r="U67" s="203"/>
      <c r="V67" s="203"/>
      <c r="W67" s="203"/>
      <c r="X67" s="203"/>
    </row>
    <row r="68" spans="1:24" x14ac:dyDescent="0.2">
      <c r="A68" s="184"/>
      <c r="B68" s="185" t="s">
        <v>636</v>
      </c>
      <c r="L68" s="184"/>
      <c r="M68" s="204"/>
      <c r="N68" s="205"/>
      <c r="O68" s="205"/>
      <c r="P68" s="205"/>
      <c r="Q68" s="205"/>
      <c r="R68" s="205"/>
      <c r="S68" s="205"/>
      <c r="T68" s="205"/>
      <c r="U68" s="205"/>
      <c r="V68" s="205"/>
      <c r="W68" s="205"/>
      <c r="X68" s="203"/>
    </row>
    <row r="69" spans="1:24" x14ac:dyDescent="0.2">
      <c r="A69" s="184"/>
      <c r="B69" s="185" t="s">
        <v>821</v>
      </c>
      <c r="L69" s="184"/>
      <c r="M69" s="203"/>
      <c r="N69" s="203"/>
      <c r="O69" s="203"/>
      <c r="P69" s="203"/>
      <c r="Q69" s="203"/>
      <c r="R69" s="203"/>
      <c r="S69" s="203"/>
      <c r="T69" s="203"/>
      <c r="U69" s="203"/>
      <c r="V69" s="203"/>
      <c r="W69" s="203"/>
      <c r="X69" s="203"/>
    </row>
    <row r="70" spans="1:24" x14ac:dyDescent="0.2">
      <c r="A70" s="184"/>
      <c r="B70" s="185" t="s">
        <v>822</v>
      </c>
      <c r="L70" s="184"/>
      <c r="M70" s="203"/>
      <c r="N70" s="203"/>
      <c r="O70" s="203"/>
      <c r="P70" s="203"/>
      <c r="Q70" s="203"/>
      <c r="R70" s="203"/>
      <c r="S70" s="203"/>
      <c r="T70" s="203"/>
      <c r="U70" s="203"/>
      <c r="V70" s="203"/>
      <c r="W70" s="203"/>
      <c r="X70" s="203"/>
    </row>
    <row r="71" spans="1:24" ht="15" thickBot="1" x14ac:dyDescent="0.25">
      <c r="A71" s="184"/>
      <c r="B71" s="193"/>
      <c r="C71" s="193"/>
      <c r="D71" s="193"/>
      <c r="E71" s="193"/>
      <c r="F71" s="193"/>
      <c r="G71" s="193"/>
      <c r="H71" s="193"/>
      <c r="I71" s="193"/>
      <c r="J71" s="193"/>
      <c r="K71" s="193"/>
      <c r="L71" s="184"/>
    </row>
    <row r="72" spans="1:24" x14ac:dyDescent="0.2">
      <c r="A72" s="184"/>
      <c r="B72" s="189" t="s">
        <v>610</v>
      </c>
      <c r="C72" s="190"/>
      <c r="D72" s="190"/>
      <c r="E72" s="190"/>
      <c r="F72" s="190"/>
      <c r="G72" s="190"/>
      <c r="H72" s="190"/>
      <c r="I72" s="190"/>
      <c r="J72" s="190"/>
      <c r="K72" s="191"/>
      <c r="L72" s="206"/>
    </row>
    <row r="73" spans="1:24" x14ac:dyDescent="0.2">
      <c r="A73" s="184"/>
      <c r="B73" s="199"/>
      <c r="C73" s="193" t="s">
        <v>616</v>
      </c>
      <c r="D73" s="193"/>
      <c r="E73" s="193"/>
      <c r="F73" s="193"/>
      <c r="G73" s="193"/>
      <c r="H73" s="193"/>
      <c r="I73" s="193"/>
      <c r="J73" s="193"/>
      <c r="K73" s="194"/>
      <c r="L73" s="206"/>
    </row>
    <row r="74" spans="1:24" x14ac:dyDescent="0.2">
      <c r="A74" s="184"/>
      <c r="B74" s="199" t="s">
        <v>637</v>
      </c>
      <c r="C74" s="1140">
        <v>312000000</v>
      </c>
      <c r="D74" s="1140"/>
      <c r="E74" s="338" t="s">
        <v>615</v>
      </c>
      <c r="F74" s="338">
        <v>1000</v>
      </c>
      <c r="G74" s="338" t="s">
        <v>614</v>
      </c>
      <c r="H74" s="403">
        <f>C74/F74</f>
        <v>312000</v>
      </c>
      <c r="I74" s="193" t="s">
        <v>638</v>
      </c>
      <c r="J74" s="193"/>
      <c r="K74" s="194"/>
      <c r="L74" s="206"/>
    </row>
    <row r="75" spans="1:24" x14ac:dyDescent="0.2">
      <c r="A75" s="184"/>
      <c r="B75" s="199"/>
      <c r="C75" s="193"/>
      <c r="D75" s="193"/>
      <c r="E75" s="338"/>
      <c r="F75" s="193"/>
      <c r="G75" s="193"/>
      <c r="H75" s="193"/>
      <c r="I75" s="193"/>
      <c r="J75" s="193"/>
      <c r="K75" s="194"/>
      <c r="L75" s="206"/>
    </row>
    <row r="76" spans="1:24" x14ac:dyDescent="0.2">
      <c r="A76" s="184"/>
      <c r="B76" s="199"/>
      <c r="C76" s="193" t="s">
        <v>639</v>
      </c>
      <c r="D76" s="193"/>
      <c r="E76" s="338"/>
      <c r="F76" s="193" t="s">
        <v>638</v>
      </c>
      <c r="G76" s="193"/>
      <c r="H76" s="193"/>
      <c r="I76" s="193"/>
      <c r="J76" s="193"/>
      <c r="K76" s="194"/>
      <c r="L76" s="206"/>
    </row>
    <row r="77" spans="1:24" x14ac:dyDescent="0.2">
      <c r="A77" s="184"/>
      <c r="B77" s="199" t="s">
        <v>642</v>
      </c>
      <c r="C77" s="1140">
        <v>50000</v>
      </c>
      <c r="D77" s="1140"/>
      <c r="E77" s="338" t="s">
        <v>615</v>
      </c>
      <c r="F77" s="403">
        <f>H74</f>
        <v>312000</v>
      </c>
      <c r="G77" s="338" t="s">
        <v>614</v>
      </c>
      <c r="H77" s="201">
        <f>C77/F77</f>
        <v>0.16025641025641027</v>
      </c>
      <c r="I77" s="193" t="s">
        <v>640</v>
      </c>
      <c r="J77" s="193"/>
      <c r="K77" s="194"/>
      <c r="L77" s="206"/>
    </row>
    <row r="78" spans="1:24" x14ac:dyDescent="0.2">
      <c r="A78" s="184"/>
      <c r="B78" s="199"/>
      <c r="C78" s="193"/>
      <c r="D78" s="193"/>
      <c r="E78" s="338"/>
      <c r="F78" s="193"/>
      <c r="G78" s="193"/>
      <c r="H78" s="193"/>
      <c r="I78" s="193"/>
      <c r="J78" s="193"/>
      <c r="K78" s="194"/>
      <c r="L78" s="206"/>
    </row>
    <row r="79" spans="1:24" x14ac:dyDescent="0.2">
      <c r="A79" s="184"/>
      <c r="B79" s="207"/>
      <c r="C79" s="208" t="s">
        <v>641</v>
      </c>
      <c r="D79" s="208"/>
      <c r="E79" s="340"/>
      <c r="F79" s="208"/>
      <c r="G79" s="208"/>
      <c r="H79" s="208"/>
      <c r="I79" s="208"/>
      <c r="J79" s="208"/>
      <c r="K79" s="209"/>
      <c r="L79" s="206"/>
    </row>
    <row r="80" spans="1:24" x14ac:dyDescent="0.2">
      <c r="A80" s="184"/>
      <c r="B80" s="199" t="s">
        <v>719</v>
      </c>
      <c r="C80" s="1140">
        <v>100000</v>
      </c>
      <c r="D80" s="1140"/>
      <c r="E80" s="338" t="s">
        <v>13</v>
      </c>
      <c r="F80" s="338">
        <v>0.115</v>
      </c>
      <c r="G80" s="338" t="s">
        <v>614</v>
      </c>
      <c r="H80" s="336">
        <f>C80*F80</f>
        <v>11500</v>
      </c>
      <c r="I80" s="193" t="s">
        <v>643</v>
      </c>
      <c r="J80" s="193"/>
      <c r="K80" s="194"/>
      <c r="L80" s="206"/>
    </row>
    <row r="81" spans="1:12" x14ac:dyDescent="0.2">
      <c r="A81" s="184"/>
      <c r="B81" s="199"/>
      <c r="C81" s="193"/>
      <c r="D81" s="193"/>
      <c r="E81" s="338"/>
      <c r="F81" s="193"/>
      <c r="G81" s="193"/>
      <c r="H81" s="193"/>
      <c r="I81" s="193"/>
      <c r="J81" s="193"/>
      <c r="K81" s="194"/>
      <c r="L81" s="206"/>
    </row>
    <row r="82" spans="1:12" x14ac:dyDescent="0.2">
      <c r="A82" s="184"/>
      <c r="B82" s="207"/>
      <c r="C82" s="208" t="s">
        <v>644</v>
      </c>
      <c r="D82" s="208"/>
      <c r="E82" s="340"/>
      <c r="F82" s="208" t="s">
        <v>640</v>
      </c>
      <c r="G82" s="208"/>
      <c r="H82" s="208"/>
      <c r="I82" s="208"/>
      <c r="J82" s="208" t="s">
        <v>645</v>
      </c>
      <c r="K82" s="209"/>
      <c r="L82" s="206"/>
    </row>
    <row r="83" spans="1:12" x14ac:dyDescent="0.2">
      <c r="A83" s="184"/>
      <c r="B83" s="199" t="s">
        <v>720</v>
      </c>
      <c r="C83" s="1144">
        <f>H80</f>
        <v>11500</v>
      </c>
      <c r="D83" s="1144"/>
      <c r="E83" s="338" t="s">
        <v>13</v>
      </c>
      <c r="F83" s="201">
        <f>H77</f>
        <v>0.16025641025641027</v>
      </c>
      <c r="G83" s="338" t="s">
        <v>615</v>
      </c>
      <c r="H83" s="338">
        <v>1000</v>
      </c>
      <c r="I83" s="338" t="s">
        <v>614</v>
      </c>
      <c r="J83" s="337">
        <f>C83*F83/H83</f>
        <v>1.8429487179487181</v>
      </c>
      <c r="K83" s="194"/>
      <c r="L83" s="206"/>
    </row>
    <row r="84" spans="1:12" ht="15" thickBot="1" x14ac:dyDescent="0.25">
      <c r="A84" s="184"/>
      <c r="B84" s="195"/>
      <c r="C84" s="210"/>
      <c r="D84" s="210"/>
      <c r="E84" s="211"/>
      <c r="F84" s="212"/>
      <c r="G84" s="211"/>
      <c r="H84" s="211"/>
      <c r="I84" s="211"/>
      <c r="J84" s="213"/>
      <c r="K84" s="197"/>
      <c r="L84" s="206"/>
    </row>
    <row r="85" spans="1:12" ht="40.5" customHeight="1" x14ac:dyDescent="0.2">
      <c r="A85" s="184"/>
      <c r="B85" s="1141" t="s">
        <v>606</v>
      </c>
      <c r="C85" s="1141"/>
      <c r="D85" s="1141"/>
      <c r="E85" s="1141"/>
      <c r="F85" s="1141"/>
      <c r="G85" s="1141"/>
      <c r="H85" s="1141"/>
      <c r="I85" s="1141"/>
      <c r="J85" s="1141"/>
      <c r="K85" s="1141"/>
      <c r="L85" s="184"/>
    </row>
    <row r="86" spans="1:12" x14ac:dyDescent="0.2">
      <c r="A86" s="184"/>
      <c r="B86" s="1142" t="s">
        <v>646</v>
      </c>
      <c r="C86" s="1142"/>
      <c r="D86" s="1142"/>
      <c r="E86" s="1142"/>
      <c r="F86" s="1142"/>
      <c r="G86" s="1142"/>
      <c r="H86" s="1142"/>
      <c r="I86" s="1142"/>
      <c r="J86" s="1142"/>
      <c r="K86" s="1142"/>
      <c r="L86" s="184"/>
    </row>
    <row r="87" spans="1:12" x14ac:dyDescent="0.2">
      <c r="A87" s="184"/>
      <c r="B87" s="214"/>
      <c r="C87" s="214"/>
      <c r="D87" s="214"/>
      <c r="E87" s="214"/>
      <c r="F87" s="214"/>
      <c r="G87" s="214"/>
      <c r="H87" s="214"/>
      <c r="I87" s="214"/>
      <c r="J87" s="214"/>
      <c r="K87" s="214"/>
      <c r="L87" s="184"/>
    </row>
    <row r="88" spans="1:12" x14ac:dyDescent="0.2">
      <c r="A88" s="184"/>
      <c r="B88" s="1142" t="s">
        <v>647</v>
      </c>
      <c r="C88" s="1142"/>
      <c r="D88" s="1142"/>
      <c r="E88" s="1142"/>
      <c r="F88" s="1142"/>
      <c r="G88" s="1142"/>
      <c r="H88" s="1142"/>
      <c r="I88" s="1142"/>
      <c r="J88" s="1142"/>
      <c r="K88" s="1142"/>
      <c r="L88" s="184"/>
    </row>
    <row r="89" spans="1:12" x14ac:dyDescent="0.2">
      <c r="A89" s="184"/>
      <c r="B89" s="341"/>
      <c r="C89" s="341"/>
      <c r="D89" s="341"/>
      <c r="E89" s="341"/>
      <c r="F89" s="341"/>
      <c r="G89" s="341"/>
      <c r="H89" s="341"/>
      <c r="I89" s="341"/>
      <c r="J89" s="341"/>
      <c r="K89" s="341"/>
      <c r="L89" s="184"/>
    </row>
    <row r="90" spans="1:12" ht="45" customHeight="1" x14ac:dyDescent="0.2">
      <c r="A90" s="184"/>
      <c r="B90" s="1143" t="s">
        <v>648</v>
      </c>
      <c r="C90" s="1143"/>
      <c r="D90" s="1143"/>
      <c r="E90" s="1143"/>
      <c r="F90" s="1143"/>
      <c r="G90" s="1143"/>
      <c r="H90" s="1143"/>
      <c r="I90" s="1143"/>
      <c r="J90" s="1143"/>
      <c r="K90" s="1143"/>
      <c r="L90" s="184"/>
    </row>
    <row r="91" spans="1:12" ht="15" customHeight="1" thickBot="1" x14ac:dyDescent="0.25">
      <c r="A91" s="184"/>
      <c r="L91" s="184"/>
    </row>
    <row r="92" spans="1:12" ht="15" customHeight="1" x14ac:dyDescent="0.2">
      <c r="A92" s="184"/>
      <c r="B92" s="215" t="s">
        <v>610</v>
      </c>
      <c r="C92" s="216"/>
      <c r="D92" s="216"/>
      <c r="E92" s="216"/>
      <c r="F92" s="216"/>
      <c r="G92" s="216"/>
      <c r="H92" s="216"/>
      <c r="I92" s="216"/>
      <c r="J92" s="216"/>
      <c r="K92" s="217"/>
      <c r="L92" s="184"/>
    </row>
    <row r="93" spans="1:12" ht="15" customHeight="1" x14ac:dyDescent="0.2">
      <c r="A93" s="184"/>
      <c r="B93" s="218"/>
      <c r="C93" s="342" t="s">
        <v>616</v>
      </c>
      <c r="D93" s="342"/>
      <c r="E93" s="342"/>
      <c r="F93" s="342"/>
      <c r="G93" s="342"/>
      <c r="H93" s="342"/>
      <c r="I93" s="342"/>
      <c r="J93" s="342"/>
      <c r="K93" s="219"/>
      <c r="L93" s="184"/>
    </row>
    <row r="94" spans="1:12" ht="15" customHeight="1" x14ac:dyDescent="0.2">
      <c r="A94" s="184"/>
      <c r="B94" s="218" t="s">
        <v>637</v>
      </c>
      <c r="C94" s="1140">
        <v>312000000</v>
      </c>
      <c r="D94" s="1140"/>
      <c r="E94" s="338" t="s">
        <v>615</v>
      </c>
      <c r="F94" s="338">
        <v>1000</v>
      </c>
      <c r="G94" s="338" t="s">
        <v>614</v>
      </c>
      <c r="H94" s="403">
        <f>C94/F94</f>
        <v>312000</v>
      </c>
      <c r="I94" s="342" t="s">
        <v>638</v>
      </c>
      <c r="J94" s="342"/>
      <c r="K94" s="219"/>
      <c r="L94" s="184"/>
    </row>
    <row r="95" spans="1:12" ht="15" customHeight="1" x14ac:dyDescent="0.2">
      <c r="A95" s="184"/>
      <c r="B95" s="218"/>
      <c r="C95" s="342"/>
      <c r="D95" s="342"/>
      <c r="E95" s="338"/>
      <c r="F95" s="342"/>
      <c r="G95" s="342"/>
      <c r="H95" s="342"/>
      <c r="I95" s="342"/>
      <c r="J95" s="342"/>
      <c r="K95" s="219"/>
      <c r="L95" s="184"/>
    </row>
    <row r="96" spans="1:12" ht="15" customHeight="1" x14ac:dyDescent="0.2">
      <c r="A96" s="184"/>
      <c r="B96" s="218"/>
      <c r="C96" s="342" t="s">
        <v>639</v>
      </c>
      <c r="D96" s="342"/>
      <c r="E96" s="338"/>
      <c r="F96" s="342" t="s">
        <v>638</v>
      </c>
      <c r="G96" s="342"/>
      <c r="H96" s="342"/>
      <c r="I96" s="342"/>
      <c r="J96" s="342"/>
      <c r="K96" s="219"/>
      <c r="L96" s="184"/>
    </row>
    <row r="97" spans="1:12" ht="15" customHeight="1" x14ac:dyDescent="0.2">
      <c r="A97" s="184"/>
      <c r="B97" s="218" t="s">
        <v>642</v>
      </c>
      <c r="C97" s="1140">
        <v>50000</v>
      </c>
      <c r="D97" s="1140"/>
      <c r="E97" s="338" t="s">
        <v>615</v>
      </c>
      <c r="F97" s="403">
        <f>H94</f>
        <v>312000</v>
      </c>
      <c r="G97" s="338" t="s">
        <v>614</v>
      </c>
      <c r="H97" s="201">
        <f>C97/F97</f>
        <v>0.16025641025641027</v>
      </c>
      <c r="I97" s="342" t="s">
        <v>640</v>
      </c>
      <c r="J97" s="342"/>
      <c r="K97" s="219"/>
      <c r="L97" s="184"/>
    </row>
    <row r="98" spans="1:12" ht="15" customHeight="1" x14ac:dyDescent="0.2">
      <c r="A98" s="184"/>
      <c r="B98" s="218"/>
      <c r="C98" s="342"/>
      <c r="D98" s="342"/>
      <c r="E98" s="338"/>
      <c r="F98" s="342"/>
      <c r="G98" s="342"/>
      <c r="H98" s="342"/>
      <c r="I98" s="342"/>
      <c r="J98" s="342"/>
      <c r="K98" s="219"/>
      <c r="L98" s="184"/>
    </row>
    <row r="99" spans="1:12" ht="15" customHeight="1" x14ac:dyDescent="0.2">
      <c r="A99" s="184"/>
      <c r="B99" s="220"/>
      <c r="C99" s="221" t="s">
        <v>649</v>
      </c>
      <c r="D99" s="221"/>
      <c r="E99" s="340"/>
      <c r="F99" s="221"/>
      <c r="G99" s="221"/>
      <c r="H99" s="221"/>
      <c r="I99" s="221"/>
      <c r="J99" s="221"/>
      <c r="K99" s="222"/>
      <c r="L99" s="184"/>
    </row>
    <row r="100" spans="1:12" ht="15" customHeight="1" x14ac:dyDescent="0.2">
      <c r="A100" s="184"/>
      <c r="B100" s="218" t="s">
        <v>719</v>
      </c>
      <c r="C100" s="1140">
        <v>2500000</v>
      </c>
      <c r="D100" s="1140"/>
      <c r="E100" s="338" t="s">
        <v>13</v>
      </c>
      <c r="F100" s="223">
        <v>0.3</v>
      </c>
      <c r="G100" s="338" t="s">
        <v>614</v>
      </c>
      <c r="H100" s="336">
        <f>C100*F100</f>
        <v>750000</v>
      </c>
      <c r="I100" s="342" t="s">
        <v>643</v>
      </c>
      <c r="J100" s="342"/>
      <c r="K100" s="219"/>
      <c r="L100" s="184"/>
    </row>
    <row r="101" spans="1:12" ht="15" customHeight="1" x14ac:dyDescent="0.2">
      <c r="A101" s="184"/>
      <c r="B101" s="218"/>
      <c r="C101" s="342"/>
      <c r="D101" s="342"/>
      <c r="E101" s="338"/>
      <c r="F101" s="342"/>
      <c r="G101" s="342"/>
      <c r="H101" s="342"/>
      <c r="I101" s="342"/>
      <c r="J101" s="342"/>
      <c r="K101" s="219"/>
      <c r="L101" s="184"/>
    </row>
    <row r="102" spans="1:12" ht="15" customHeight="1" x14ac:dyDescent="0.2">
      <c r="A102" s="184"/>
      <c r="B102" s="220"/>
      <c r="C102" s="221" t="s">
        <v>644</v>
      </c>
      <c r="D102" s="221"/>
      <c r="E102" s="340"/>
      <c r="F102" s="221" t="s">
        <v>640</v>
      </c>
      <c r="G102" s="221"/>
      <c r="H102" s="221"/>
      <c r="I102" s="221"/>
      <c r="J102" s="221" t="s">
        <v>645</v>
      </c>
      <c r="K102" s="222"/>
      <c r="L102" s="184"/>
    </row>
    <row r="103" spans="1:12" ht="15" customHeight="1" x14ac:dyDescent="0.2">
      <c r="A103" s="184"/>
      <c r="B103" s="218" t="s">
        <v>720</v>
      </c>
      <c r="C103" s="1144">
        <f>H100</f>
        <v>750000</v>
      </c>
      <c r="D103" s="1144"/>
      <c r="E103" s="338" t="s">
        <v>13</v>
      </c>
      <c r="F103" s="201">
        <f>H97</f>
        <v>0.16025641025641027</v>
      </c>
      <c r="G103" s="338" t="s">
        <v>615</v>
      </c>
      <c r="H103" s="338">
        <v>1000</v>
      </c>
      <c r="I103" s="338" t="s">
        <v>614</v>
      </c>
      <c r="J103" s="337">
        <f>C103*F103/H103</f>
        <v>120.19230769230771</v>
      </c>
      <c r="K103" s="219"/>
      <c r="L103" s="184"/>
    </row>
    <row r="104" spans="1:12" ht="15" customHeight="1" thickBot="1" x14ac:dyDescent="0.25">
      <c r="A104" s="184"/>
      <c r="B104" s="224"/>
      <c r="C104" s="210"/>
      <c r="D104" s="210"/>
      <c r="E104" s="211"/>
      <c r="F104" s="212"/>
      <c r="G104" s="211"/>
      <c r="H104" s="211"/>
      <c r="I104" s="211"/>
      <c r="J104" s="213"/>
      <c r="K104" s="343"/>
      <c r="L104" s="184"/>
    </row>
    <row r="105" spans="1:12" ht="40.5" customHeight="1" x14ac:dyDescent="0.2">
      <c r="A105" s="184"/>
      <c r="B105" s="1141" t="s">
        <v>606</v>
      </c>
      <c r="C105" s="1146"/>
      <c r="D105" s="1146"/>
      <c r="E105" s="1146"/>
      <c r="F105" s="1146"/>
      <c r="G105" s="1146"/>
      <c r="H105" s="1146"/>
      <c r="I105" s="1146"/>
      <c r="J105" s="1146"/>
      <c r="K105" s="1146"/>
      <c r="L105" s="184"/>
    </row>
    <row r="106" spans="1:12" ht="15" customHeight="1" x14ac:dyDescent="0.2">
      <c r="A106" s="184"/>
      <c r="B106" s="1155" t="s">
        <v>650</v>
      </c>
      <c r="C106" s="1156"/>
      <c r="D106" s="1156"/>
      <c r="E106" s="1156"/>
      <c r="F106" s="1156"/>
      <c r="G106" s="1156"/>
      <c r="H106" s="1156"/>
      <c r="I106" s="1156"/>
      <c r="J106" s="1156"/>
      <c r="K106" s="1156"/>
      <c r="L106" s="184"/>
    </row>
    <row r="107" spans="1:12" ht="15" customHeight="1" x14ac:dyDescent="0.2">
      <c r="A107" s="184"/>
      <c r="B107" s="342"/>
      <c r="C107" s="225"/>
      <c r="D107" s="225"/>
      <c r="E107" s="338"/>
      <c r="F107" s="201"/>
      <c r="G107" s="338"/>
      <c r="H107" s="338"/>
      <c r="I107" s="338"/>
      <c r="J107" s="337"/>
      <c r="K107" s="342"/>
      <c r="L107" s="184"/>
    </row>
    <row r="108" spans="1:12" ht="15" customHeight="1" x14ac:dyDescent="0.2">
      <c r="A108" s="184"/>
      <c r="B108" s="1155" t="s">
        <v>651</v>
      </c>
      <c r="C108" s="1157"/>
      <c r="D108" s="1157"/>
      <c r="E108" s="1157"/>
      <c r="F108" s="1157"/>
      <c r="G108" s="1157"/>
      <c r="H108" s="1157"/>
      <c r="I108" s="1157"/>
      <c r="J108" s="1157"/>
      <c r="K108" s="1157"/>
      <c r="L108" s="184"/>
    </row>
    <row r="109" spans="1:12" ht="15" customHeight="1" x14ac:dyDescent="0.2">
      <c r="A109" s="184"/>
      <c r="B109" s="342"/>
      <c r="C109" s="225"/>
      <c r="D109" s="225"/>
      <c r="E109" s="338"/>
      <c r="F109" s="201"/>
      <c r="G109" s="338"/>
      <c r="H109" s="338"/>
      <c r="I109" s="338"/>
      <c r="J109" s="337"/>
      <c r="K109" s="342"/>
      <c r="L109" s="184"/>
    </row>
    <row r="110" spans="1:12" ht="59.25" customHeight="1" x14ac:dyDescent="0.2">
      <c r="A110" s="184"/>
      <c r="B110" s="1154" t="s">
        <v>652</v>
      </c>
      <c r="C110" s="1147"/>
      <c r="D110" s="1147"/>
      <c r="E110" s="1147"/>
      <c r="F110" s="1147"/>
      <c r="G110" s="1147"/>
      <c r="H110" s="1147"/>
      <c r="I110" s="1147"/>
      <c r="J110" s="1147"/>
      <c r="K110" s="1147"/>
      <c r="L110" s="184"/>
    </row>
    <row r="111" spans="1:12" ht="15" thickBot="1" x14ac:dyDescent="0.25">
      <c r="A111" s="184"/>
      <c r="B111" s="344"/>
      <c r="C111" s="344"/>
      <c r="D111" s="344"/>
      <c r="E111" s="344"/>
      <c r="F111" s="344"/>
      <c r="G111" s="344"/>
      <c r="H111" s="344"/>
      <c r="I111" s="344"/>
      <c r="J111" s="344"/>
      <c r="K111" s="344"/>
      <c r="L111" s="226"/>
    </row>
    <row r="112" spans="1:12" x14ac:dyDescent="0.2">
      <c r="A112" s="184"/>
      <c r="B112" s="189" t="s">
        <v>610</v>
      </c>
      <c r="C112" s="190"/>
      <c r="D112" s="190"/>
      <c r="E112" s="190"/>
      <c r="F112" s="190"/>
      <c r="G112" s="190"/>
      <c r="H112" s="190"/>
      <c r="I112" s="190"/>
      <c r="J112" s="190"/>
      <c r="K112" s="191"/>
      <c r="L112" s="184"/>
    </row>
    <row r="113" spans="1:12" x14ac:dyDescent="0.2">
      <c r="A113" s="184"/>
      <c r="B113" s="199"/>
      <c r="C113" s="193" t="s">
        <v>616</v>
      </c>
      <c r="D113" s="193"/>
      <c r="E113" s="193"/>
      <c r="F113" s="193"/>
      <c r="G113" s="193"/>
      <c r="H113" s="193"/>
      <c r="I113" s="193"/>
      <c r="J113" s="193"/>
      <c r="K113" s="194"/>
      <c r="L113" s="184"/>
    </row>
    <row r="114" spans="1:12" x14ac:dyDescent="0.2">
      <c r="A114" s="184"/>
      <c r="B114" s="199" t="s">
        <v>637</v>
      </c>
      <c r="C114" s="1140">
        <v>312000000</v>
      </c>
      <c r="D114" s="1140"/>
      <c r="E114" s="338" t="s">
        <v>615</v>
      </c>
      <c r="F114" s="338">
        <v>1000</v>
      </c>
      <c r="G114" s="338" t="s">
        <v>614</v>
      </c>
      <c r="H114" s="403">
        <f>C114/F114</f>
        <v>312000</v>
      </c>
      <c r="I114" s="193" t="s">
        <v>638</v>
      </c>
      <c r="J114" s="193"/>
      <c r="K114" s="194"/>
      <c r="L114" s="184"/>
    </row>
    <row r="115" spans="1:12" x14ac:dyDescent="0.2">
      <c r="A115" s="184"/>
      <c r="B115" s="199"/>
      <c r="C115" s="193"/>
      <c r="D115" s="193"/>
      <c r="E115" s="338"/>
      <c r="F115" s="193"/>
      <c r="G115" s="193"/>
      <c r="H115" s="193"/>
      <c r="I115" s="193"/>
      <c r="J115" s="193"/>
      <c r="K115" s="194"/>
      <c r="L115" s="184"/>
    </row>
    <row r="116" spans="1:12" x14ac:dyDescent="0.2">
      <c r="A116" s="184"/>
      <c r="B116" s="199"/>
      <c r="C116" s="193" t="s">
        <v>639</v>
      </c>
      <c r="D116" s="193"/>
      <c r="E116" s="338"/>
      <c r="F116" s="193" t="s">
        <v>638</v>
      </c>
      <c r="G116" s="193"/>
      <c r="H116" s="193"/>
      <c r="I116" s="193"/>
      <c r="J116" s="193"/>
      <c r="K116" s="194"/>
      <c r="L116" s="184"/>
    </row>
    <row r="117" spans="1:12" x14ac:dyDescent="0.2">
      <c r="A117" s="184"/>
      <c r="B117" s="199" t="s">
        <v>642</v>
      </c>
      <c r="C117" s="1140">
        <v>50000</v>
      </c>
      <c r="D117" s="1140"/>
      <c r="E117" s="338" t="s">
        <v>615</v>
      </c>
      <c r="F117" s="403">
        <f>H114</f>
        <v>312000</v>
      </c>
      <c r="G117" s="338" t="s">
        <v>614</v>
      </c>
      <c r="H117" s="201">
        <f>C117/F117</f>
        <v>0.16025641025641027</v>
      </c>
      <c r="I117" s="193" t="s">
        <v>640</v>
      </c>
      <c r="J117" s="193"/>
      <c r="K117" s="194"/>
      <c r="L117" s="184"/>
    </row>
    <row r="118" spans="1:12" x14ac:dyDescent="0.2">
      <c r="A118" s="184"/>
      <c r="B118" s="199"/>
      <c r="C118" s="193"/>
      <c r="D118" s="193"/>
      <c r="E118" s="338"/>
      <c r="F118" s="193"/>
      <c r="G118" s="193"/>
      <c r="H118" s="193"/>
      <c r="I118" s="193"/>
      <c r="J118" s="193"/>
      <c r="K118" s="194"/>
      <c r="L118" s="184"/>
    </row>
    <row r="119" spans="1:12" x14ac:dyDescent="0.2">
      <c r="A119" s="184"/>
      <c r="B119" s="207"/>
      <c r="C119" s="208" t="s">
        <v>649</v>
      </c>
      <c r="D119" s="208"/>
      <c r="E119" s="340"/>
      <c r="F119" s="208"/>
      <c r="G119" s="208"/>
      <c r="H119" s="208"/>
      <c r="I119" s="208"/>
      <c r="J119" s="208"/>
      <c r="K119" s="209"/>
      <c r="L119" s="184"/>
    </row>
    <row r="120" spans="1:12" x14ac:dyDescent="0.2">
      <c r="A120" s="184"/>
      <c r="B120" s="199" t="s">
        <v>719</v>
      </c>
      <c r="C120" s="1140">
        <v>2500000</v>
      </c>
      <c r="D120" s="1140"/>
      <c r="E120" s="338" t="s">
        <v>13</v>
      </c>
      <c r="F120" s="223">
        <v>0.25</v>
      </c>
      <c r="G120" s="338" t="s">
        <v>614</v>
      </c>
      <c r="H120" s="336">
        <f>C120*F120</f>
        <v>625000</v>
      </c>
      <c r="I120" s="193" t="s">
        <v>643</v>
      </c>
      <c r="J120" s="193"/>
      <c r="K120" s="194"/>
      <c r="L120" s="184"/>
    </row>
    <row r="121" spans="1:12" x14ac:dyDescent="0.2">
      <c r="A121" s="184"/>
      <c r="B121" s="199"/>
      <c r="C121" s="193"/>
      <c r="D121" s="193"/>
      <c r="E121" s="338"/>
      <c r="F121" s="193"/>
      <c r="G121" s="193"/>
      <c r="H121" s="193"/>
      <c r="I121" s="193"/>
      <c r="J121" s="193"/>
      <c r="K121" s="194"/>
      <c r="L121" s="184"/>
    </row>
    <row r="122" spans="1:12" x14ac:dyDescent="0.2">
      <c r="A122" s="184"/>
      <c r="B122" s="207"/>
      <c r="C122" s="208" t="s">
        <v>644</v>
      </c>
      <c r="D122" s="208"/>
      <c r="E122" s="340"/>
      <c r="F122" s="208" t="s">
        <v>640</v>
      </c>
      <c r="G122" s="208"/>
      <c r="H122" s="208"/>
      <c r="I122" s="208"/>
      <c r="J122" s="208" t="s">
        <v>645</v>
      </c>
      <c r="K122" s="209"/>
      <c r="L122" s="184"/>
    </row>
    <row r="123" spans="1:12" x14ac:dyDescent="0.2">
      <c r="A123" s="184"/>
      <c r="B123" s="199" t="s">
        <v>720</v>
      </c>
      <c r="C123" s="1144">
        <f>H120</f>
        <v>625000</v>
      </c>
      <c r="D123" s="1144"/>
      <c r="E123" s="338" t="s">
        <v>13</v>
      </c>
      <c r="F123" s="201">
        <f>H117</f>
        <v>0.16025641025641027</v>
      </c>
      <c r="G123" s="338" t="s">
        <v>615</v>
      </c>
      <c r="H123" s="338">
        <v>1000</v>
      </c>
      <c r="I123" s="338" t="s">
        <v>614</v>
      </c>
      <c r="J123" s="337">
        <f>C123*F123/H123</f>
        <v>100.16025641025642</v>
      </c>
      <c r="K123" s="194"/>
      <c r="L123" s="184"/>
    </row>
    <row r="124" spans="1:12" ht="15" thickBot="1" x14ac:dyDescent="0.25">
      <c r="A124" s="184"/>
      <c r="B124" s="195"/>
      <c r="C124" s="210"/>
      <c r="D124" s="210"/>
      <c r="E124" s="211"/>
      <c r="F124" s="212"/>
      <c r="G124" s="211"/>
      <c r="H124" s="211"/>
      <c r="I124" s="211"/>
      <c r="J124" s="213"/>
      <c r="K124" s="197"/>
      <c r="L124" s="184"/>
    </row>
    <row r="125" spans="1:12" ht="40.5" customHeight="1" x14ac:dyDescent="0.2">
      <c r="A125" s="184"/>
      <c r="B125" s="1141" t="s">
        <v>606</v>
      </c>
      <c r="C125" s="1141"/>
      <c r="D125" s="1141"/>
      <c r="E125" s="1141"/>
      <c r="F125" s="1141"/>
      <c r="G125" s="1141"/>
      <c r="H125" s="1141"/>
      <c r="I125" s="1141"/>
      <c r="J125" s="1141"/>
      <c r="K125" s="1141"/>
      <c r="L125" s="226"/>
    </row>
    <row r="126" spans="1:12" x14ac:dyDescent="0.2">
      <c r="A126" s="184"/>
      <c r="B126" s="1142" t="s">
        <v>653</v>
      </c>
      <c r="C126" s="1142"/>
      <c r="D126" s="1142"/>
      <c r="E126" s="1142"/>
      <c r="F126" s="1142"/>
      <c r="G126" s="1142"/>
      <c r="H126" s="1142"/>
      <c r="I126" s="1142"/>
      <c r="J126" s="1142"/>
      <c r="K126" s="1142"/>
      <c r="L126" s="226"/>
    </row>
    <row r="127" spans="1:12" x14ac:dyDescent="0.2">
      <c r="A127" s="184"/>
      <c r="B127" s="344"/>
      <c r="C127" s="344"/>
      <c r="D127" s="344"/>
      <c r="E127" s="344"/>
      <c r="F127" s="344"/>
      <c r="G127" s="344"/>
      <c r="H127" s="344"/>
      <c r="I127" s="344"/>
      <c r="J127" s="344"/>
      <c r="K127" s="344"/>
      <c r="L127" s="226"/>
    </row>
    <row r="128" spans="1:12" x14ac:dyDescent="0.2">
      <c r="A128" s="184"/>
      <c r="B128" s="1142" t="s">
        <v>654</v>
      </c>
      <c r="C128" s="1142"/>
      <c r="D128" s="1142"/>
      <c r="E128" s="1142"/>
      <c r="F128" s="1142"/>
      <c r="G128" s="1142"/>
      <c r="H128" s="1142"/>
      <c r="I128" s="1142"/>
      <c r="J128" s="1142"/>
      <c r="K128" s="1142"/>
      <c r="L128" s="226"/>
    </row>
    <row r="129" spans="1:12" x14ac:dyDescent="0.2">
      <c r="A129" s="184"/>
      <c r="B129" s="341"/>
      <c r="C129" s="341"/>
      <c r="D129" s="341"/>
      <c r="E129" s="341"/>
      <c r="F129" s="341"/>
      <c r="G129" s="341"/>
      <c r="H129" s="341"/>
      <c r="I129" s="341"/>
      <c r="J129" s="341"/>
      <c r="K129" s="341"/>
      <c r="L129" s="226"/>
    </row>
    <row r="130" spans="1:12" ht="74.25" customHeight="1" x14ac:dyDescent="0.2">
      <c r="A130" s="184"/>
      <c r="B130" s="1143" t="s">
        <v>721</v>
      </c>
      <c r="C130" s="1143"/>
      <c r="D130" s="1143"/>
      <c r="E130" s="1143"/>
      <c r="F130" s="1143"/>
      <c r="G130" s="1143"/>
      <c r="H130" s="1143"/>
      <c r="I130" s="1143"/>
      <c r="J130" s="1143"/>
      <c r="K130" s="1143"/>
      <c r="L130" s="226"/>
    </row>
    <row r="131" spans="1:12" ht="15" thickBot="1" x14ac:dyDescent="0.25">
      <c r="A131" s="184"/>
      <c r="L131" s="184"/>
    </row>
    <row r="132" spans="1:12" x14ac:dyDescent="0.2">
      <c r="A132" s="184"/>
      <c r="B132" s="189" t="s">
        <v>610</v>
      </c>
      <c r="C132" s="190"/>
      <c r="D132" s="190"/>
      <c r="E132" s="190"/>
      <c r="F132" s="190"/>
      <c r="G132" s="190"/>
      <c r="H132" s="190"/>
      <c r="I132" s="190"/>
      <c r="J132" s="190"/>
      <c r="K132" s="191"/>
      <c r="L132" s="184"/>
    </row>
    <row r="133" spans="1:12" x14ac:dyDescent="0.2">
      <c r="A133" s="184"/>
      <c r="B133" s="199"/>
      <c r="C133" s="1145" t="s">
        <v>655</v>
      </c>
      <c r="D133" s="1145"/>
      <c r="E133" s="193"/>
      <c r="F133" s="338" t="s">
        <v>656</v>
      </c>
      <c r="G133" s="193"/>
      <c r="H133" s="1145" t="s">
        <v>643</v>
      </c>
      <c r="I133" s="1145"/>
      <c r="J133" s="193"/>
      <c r="K133" s="194"/>
      <c r="L133" s="184"/>
    </row>
    <row r="134" spans="1:12" x14ac:dyDescent="0.2">
      <c r="A134" s="184"/>
      <c r="B134" s="199" t="s">
        <v>637</v>
      </c>
      <c r="C134" s="1140">
        <v>100000</v>
      </c>
      <c r="D134" s="1140"/>
      <c r="E134" s="338" t="s">
        <v>13</v>
      </c>
      <c r="F134" s="338">
        <v>0.115</v>
      </c>
      <c r="G134" s="338" t="s">
        <v>614</v>
      </c>
      <c r="H134" s="1134">
        <f>C134*F134</f>
        <v>11500</v>
      </c>
      <c r="I134" s="1134"/>
      <c r="J134" s="193"/>
      <c r="K134" s="194"/>
      <c r="L134" s="184"/>
    </row>
    <row r="135" spans="1:12" x14ac:dyDescent="0.2">
      <c r="A135" s="184"/>
      <c r="B135" s="199"/>
      <c r="C135" s="193"/>
      <c r="D135" s="193"/>
      <c r="E135" s="193"/>
      <c r="F135" s="193"/>
      <c r="G135" s="193"/>
      <c r="H135" s="193"/>
      <c r="I135" s="193"/>
      <c r="J135" s="193"/>
      <c r="K135" s="194"/>
      <c r="L135" s="184"/>
    </row>
    <row r="136" spans="1:12" x14ac:dyDescent="0.2">
      <c r="A136" s="184"/>
      <c r="B136" s="207"/>
      <c r="C136" s="1139" t="s">
        <v>643</v>
      </c>
      <c r="D136" s="1139"/>
      <c r="E136" s="208"/>
      <c r="F136" s="340" t="s">
        <v>657</v>
      </c>
      <c r="G136" s="340"/>
      <c r="H136" s="208"/>
      <c r="I136" s="208"/>
      <c r="J136" s="208" t="s">
        <v>658</v>
      </c>
      <c r="K136" s="209"/>
      <c r="L136" s="184"/>
    </row>
    <row r="137" spans="1:12" x14ac:dyDescent="0.2">
      <c r="A137" s="184"/>
      <c r="B137" s="199" t="s">
        <v>642</v>
      </c>
      <c r="C137" s="1134">
        <f>H134</f>
        <v>11500</v>
      </c>
      <c r="D137" s="1134"/>
      <c r="E137" s="338" t="s">
        <v>13</v>
      </c>
      <c r="F137" s="227">
        <v>52.869</v>
      </c>
      <c r="G137" s="338" t="s">
        <v>615</v>
      </c>
      <c r="H137" s="338">
        <v>1000</v>
      </c>
      <c r="I137" s="338" t="s">
        <v>614</v>
      </c>
      <c r="J137" s="228">
        <f>C137*F137/H137</f>
        <v>607.99350000000004</v>
      </c>
      <c r="K137" s="194"/>
      <c r="L137" s="184"/>
    </row>
    <row r="138" spans="1:12" ht="15" thickBot="1" x14ac:dyDescent="0.25">
      <c r="A138" s="184"/>
      <c r="B138" s="195"/>
      <c r="C138" s="270"/>
      <c r="D138" s="270"/>
      <c r="E138" s="211"/>
      <c r="F138" s="271"/>
      <c r="G138" s="211"/>
      <c r="H138" s="211"/>
      <c r="I138" s="211"/>
      <c r="J138" s="272"/>
      <c r="K138" s="197"/>
      <c r="L138" s="184"/>
    </row>
    <row r="139" spans="1:12" ht="40.5" customHeight="1" x14ac:dyDescent="0.2">
      <c r="A139" s="184"/>
      <c r="B139" s="257" t="s">
        <v>606</v>
      </c>
      <c r="C139" s="258"/>
      <c r="D139" s="258"/>
      <c r="E139" s="259"/>
      <c r="F139" s="260"/>
      <c r="G139" s="259"/>
      <c r="H139" s="259"/>
      <c r="I139" s="259"/>
      <c r="J139" s="261"/>
      <c r="K139" s="262"/>
      <c r="L139" s="184"/>
    </row>
    <row r="140" spans="1:12" x14ac:dyDescent="0.2">
      <c r="A140" s="184"/>
      <c r="B140" s="263" t="s">
        <v>722</v>
      </c>
      <c r="C140" s="264"/>
      <c r="D140" s="264"/>
      <c r="E140" s="265"/>
      <c r="F140" s="266"/>
      <c r="G140" s="265"/>
      <c r="H140" s="265"/>
      <c r="I140" s="265"/>
      <c r="J140" s="267"/>
      <c r="K140" s="268"/>
      <c r="L140" s="184"/>
    </row>
    <row r="141" spans="1:12" x14ac:dyDescent="0.2">
      <c r="A141" s="184"/>
      <c r="B141" s="199"/>
      <c r="C141" s="336"/>
      <c r="D141" s="336"/>
      <c r="E141" s="338"/>
      <c r="F141" s="273"/>
      <c r="G141" s="338"/>
      <c r="H141" s="338"/>
      <c r="I141" s="338"/>
      <c r="J141" s="228"/>
      <c r="K141" s="194"/>
      <c r="L141" s="184"/>
    </row>
    <row r="142" spans="1:12" x14ac:dyDescent="0.2">
      <c r="A142" s="184"/>
      <c r="B142" s="263" t="s">
        <v>723</v>
      </c>
      <c r="C142" s="264"/>
      <c r="D142" s="264"/>
      <c r="E142" s="265"/>
      <c r="F142" s="266"/>
      <c r="G142" s="265"/>
      <c r="H142" s="265"/>
      <c r="I142" s="265"/>
      <c r="J142" s="267"/>
      <c r="K142" s="268"/>
      <c r="L142" s="184"/>
    </row>
    <row r="143" spans="1:12" x14ac:dyDescent="0.2">
      <c r="A143" s="184"/>
      <c r="B143" s="199"/>
      <c r="C143" s="336"/>
      <c r="D143" s="336"/>
      <c r="E143" s="338"/>
      <c r="F143" s="273"/>
      <c r="G143" s="338"/>
      <c r="H143" s="338"/>
      <c r="I143" s="338"/>
      <c r="J143" s="228"/>
      <c r="K143" s="194"/>
      <c r="L143" s="184"/>
    </row>
    <row r="144" spans="1:12" ht="76.5" customHeight="1" x14ac:dyDescent="0.2">
      <c r="A144" s="184"/>
      <c r="B144" s="1131" t="s">
        <v>724</v>
      </c>
      <c r="C144" s="1132"/>
      <c r="D144" s="1132"/>
      <c r="E144" s="1132"/>
      <c r="F144" s="1132"/>
      <c r="G144" s="1132"/>
      <c r="H144" s="1132"/>
      <c r="I144" s="1132"/>
      <c r="J144" s="1132"/>
      <c r="K144" s="1133"/>
      <c r="L144" s="184"/>
    </row>
    <row r="145" spans="1:12" ht="15" thickBot="1" x14ac:dyDescent="0.25">
      <c r="A145" s="184"/>
      <c r="B145" s="199"/>
      <c r="C145" s="336"/>
      <c r="D145" s="336"/>
      <c r="E145" s="338"/>
      <c r="F145" s="273"/>
      <c r="G145" s="338"/>
      <c r="H145" s="338"/>
      <c r="I145" s="338"/>
      <c r="J145" s="228"/>
      <c r="K145" s="194"/>
      <c r="L145" s="184"/>
    </row>
    <row r="146" spans="1:12" x14ac:dyDescent="0.2">
      <c r="A146" s="184"/>
      <c r="B146" s="189" t="s">
        <v>610</v>
      </c>
      <c r="C146" s="274"/>
      <c r="D146" s="274"/>
      <c r="E146" s="275"/>
      <c r="F146" s="276"/>
      <c r="G146" s="275"/>
      <c r="H146" s="275"/>
      <c r="I146" s="275"/>
      <c r="J146" s="277"/>
      <c r="K146" s="191"/>
      <c r="L146" s="184"/>
    </row>
    <row r="147" spans="1:12" x14ac:dyDescent="0.2">
      <c r="A147" s="184"/>
      <c r="B147" s="199"/>
      <c r="C147" s="1134" t="s">
        <v>725</v>
      </c>
      <c r="D147" s="1134"/>
      <c r="E147" s="338"/>
      <c r="F147" s="273" t="s">
        <v>726</v>
      </c>
      <c r="G147" s="338"/>
      <c r="H147" s="338"/>
      <c r="I147" s="338"/>
      <c r="J147" s="1135" t="s">
        <v>727</v>
      </c>
      <c r="K147" s="1136"/>
      <c r="L147" s="184"/>
    </row>
    <row r="148" spans="1:12" x14ac:dyDescent="0.2">
      <c r="A148" s="184"/>
      <c r="B148" s="199"/>
      <c r="C148" s="1137">
        <v>52.869</v>
      </c>
      <c r="D148" s="1137"/>
      <c r="E148" s="338" t="s">
        <v>13</v>
      </c>
      <c r="F148" s="339">
        <v>312000000</v>
      </c>
      <c r="G148" s="278" t="s">
        <v>615</v>
      </c>
      <c r="H148" s="338">
        <v>1000</v>
      </c>
      <c r="I148" s="338" t="s">
        <v>614</v>
      </c>
      <c r="J148" s="1135">
        <f>C148*(F148/1000)</f>
        <v>16495128</v>
      </c>
      <c r="K148" s="1138"/>
      <c r="L148" s="184"/>
    </row>
    <row r="149" spans="1:12" ht="15" thickBot="1" x14ac:dyDescent="0.25">
      <c r="A149" s="184"/>
      <c r="B149" s="195"/>
      <c r="C149" s="270"/>
      <c r="D149" s="270"/>
      <c r="E149" s="211"/>
      <c r="F149" s="271"/>
      <c r="G149" s="211"/>
      <c r="H149" s="211"/>
      <c r="I149" s="211"/>
      <c r="J149" s="272"/>
      <c r="K149" s="197"/>
      <c r="L149" s="184"/>
    </row>
    <row r="150" spans="1:12" ht="15" thickBot="1" x14ac:dyDescent="0.25">
      <c r="A150" s="184"/>
      <c r="B150" s="195"/>
      <c r="C150" s="196"/>
      <c r="D150" s="196"/>
      <c r="E150" s="196"/>
      <c r="F150" s="196"/>
      <c r="G150" s="196"/>
      <c r="H150" s="196"/>
      <c r="I150" s="196"/>
      <c r="J150" s="196"/>
      <c r="K150" s="197"/>
      <c r="L150" s="184"/>
    </row>
    <row r="151" spans="1:12" x14ac:dyDescent="0.2">
      <c r="A151" s="184"/>
      <c r="B151" s="184"/>
      <c r="C151" s="184"/>
      <c r="D151" s="184"/>
      <c r="E151" s="184"/>
      <c r="F151" s="184"/>
      <c r="G151" s="184"/>
      <c r="H151" s="184"/>
      <c r="I151" s="184"/>
      <c r="J151" s="184"/>
      <c r="K151" s="184"/>
      <c r="L151" s="184"/>
    </row>
    <row r="152" spans="1:12" x14ac:dyDescent="0.2">
      <c r="A152" s="184"/>
      <c r="B152" s="184"/>
      <c r="C152" s="184"/>
      <c r="D152" s="184"/>
      <c r="E152" s="184"/>
      <c r="F152" s="184"/>
      <c r="G152" s="184"/>
      <c r="H152" s="184"/>
      <c r="I152" s="184"/>
      <c r="J152" s="184"/>
      <c r="K152" s="184"/>
      <c r="L152" s="184"/>
    </row>
    <row r="153" spans="1:12" x14ac:dyDescent="0.2">
      <c r="A153" s="184"/>
      <c r="B153" s="184"/>
      <c r="C153" s="184"/>
      <c r="D153" s="184"/>
      <c r="E153" s="184"/>
      <c r="F153" s="184"/>
      <c r="G153" s="184"/>
      <c r="H153" s="184"/>
      <c r="I153" s="184"/>
      <c r="J153" s="184"/>
      <c r="K153" s="184"/>
      <c r="L153" s="184"/>
    </row>
    <row r="154" spans="1:12" x14ac:dyDescent="0.2">
      <c r="A154" s="229"/>
      <c r="B154" s="229"/>
      <c r="C154" s="229"/>
      <c r="D154" s="229"/>
      <c r="E154" s="229"/>
      <c r="F154" s="229"/>
      <c r="G154" s="229"/>
      <c r="H154" s="229"/>
      <c r="I154" s="229"/>
      <c r="J154" s="229"/>
      <c r="K154" s="229"/>
      <c r="L154" s="229"/>
    </row>
    <row r="155" spans="1:12" x14ac:dyDescent="0.2">
      <c r="A155" s="229"/>
      <c r="B155" s="229"/>
      <c r="C155" s="229"/>
      <c r="D155" s="229"/>
      <c r="E155" s="229"/>
      <c r="F155" s="229"/>
      <c r="G155" s="229"/>
      <c r="H155" s="229"/>
      <c r="I155" s="229"/>
      <c r="J155" s="229"/>
      <c r="K155" s="229"/>
      <c r="L155" s="229"/>
    </row>
    <row r="156" spans="1:12" x14ac:dyDescent="0.2">
      <c r="A156" s="229"/>
      <c r="B156" s="229"/>
      <c r="C156" s="229"/>
      <c r="D156" s="229"/>
      <c r="E156" s="229"/>
      <c r="F156" s="229"/>
      <c r="G156" s="229"/>
      <c r="H156" s="229"/>
      <c r="I156" s="229"/>
      <c r="J156" s="229"/>
      <c r="K156" s="229"/>
      <c r="L156" s="229"/>
    </row>
    <row r="157" spans="1:12" x14ac:dyDescent="0.2">
      <c r="A157" s="229"/>
      <c r="B157" s="229"/>
      <c r="C157" s="229"/>
      <c r="D157" s="229"/>
      <c r="E157" s="229"/>
      <c r="F157" s="229"/>
      <c r="G157" s="229"/>
      <c r="H157" s="229"/>
      <c r="I157" s="229"/>
      <c r="J157" s="229"/>
      <c r="K157" s="229"/>
      <c r="L157" s="229"/>
    </row>
    <row r="158" spans="1:12" x14ac:dyDescent="0.2">
      <c r="A158" s="229"/>
      <c r="B158" s="229"/>
      <c r="C158" s="229"/>
      <c r="D158" s="229"/>
      <c r="E158" s="229"/>
      <c r="F158" s="229"/>
      <c r="G158" s="229"/>
      <c r="H158" s="229"/>
      <c r="I158" s="229"/>
      <c r="J158" s="229"/>
      <c r="K158" s="229"/>
      <c r="L158" s="229"/>
    </row>
    <row r="159" spans="1:12" x14ac:dyDescent="0.2">
      <c r="A159" s="229"/>
      <c r="B159" s="229"/>
      <c r="C159" s="229"/>
      <c r="D159" s="229"/>
      <c r="E159" s="229"/>
      <c r="F159" s="229"/>
      <c r="G159" s="229"/>
      <c r="H159" s="229"/>
      <c r="I159" s="229"/>
      <c r="J159" s="229"/>
      <c r="K159" s="229"/>
      <c r="L159" s="229"/>
    </row>
    <row r="160" spans="1:12" x14ac:dyDescent="0.2">
      <c r="A160" s="229"/>
      <c r="B160" s="229"/>
      <c r="C160" s="229"/>
      <c r="D160" s="229"/>
      <c r="E160" s="229"/>
      <c r="F160" s="229"/>
      <c r="G160" s="229"/>
      <c r="H160" s="229"/>
      <c r="I160" s="229"/>
      <c r="J160" s="229"/>
      <c r="K160" s="229"/>
      <c r="L160" s="229"/>
    </row>
    <row r="161" spans="1:12" x14ac:dyDescent="0.2">
      <c r="A161" s="229"/>
      <c r="B161" s="229"/>
      <c r="C161" s="229"/>
      <c r="D161" s="229"/>
      <c r="E161" s="229"/>
      <c r="F161" s="229"/>
      <c r="G161" s="229"/>
      <c r="H161" s="229"/>
      <c r="I161" s="229"/>
      <c r="J161" s="229"/>
      <c r="K161" s="229"/>
      <c r="L161" s="229"/>
    </row>
    <row r="162" spans="1:12" x14ac:dyDescent="0.2">
      <c r="A162" s="229"/>
      <c r="B162" s="229"/>
      <c r="C162" s="229"/>
      <c r="D162" s="229"/>
      <c r="E162" s="229"/>
      <c r="F162" s="229"/>
      <c r="G162" s="229"/>
      <c r="H162" s="229"/>
      <c r="I162" s="229"/>
      <c r="J162" s="229"/>
      <c r="K162" s="229"/>
      <c r="L162" s="229"/>
    </row>
    <row r="163" spans="1:12" x14ac:dyDescent="0.2">
      <c r="A163" s="229"/>
      <c r="B163" s="229"/>
      <c r="C163" s="229"/>
      <c r="D163" s="229"/>
      <c r="E163" s="229"/>
      <c r="F163" s="229"/>
      <c r="G163" s="229"/>
      <c r="H163" s="229"/>
      <c r="I163" s="229"/>
      <c r="J163" s="229"/>
      <c r="K163" s="229"/>
      <c r="L163" s="229"/>
    </row>
    <row r="164" spans="1:12" x14ac:dyDescent="0.2">
      <c r="A164" s="229"/>
      <c r="B164" s="229"/>
      <c r="C164" s="229"/>
      <c r="D164" s="229"/>
      <c r="E164" s="229"/>
      <c r="F164" s="229"/>
      <c r="G164" s="229"/>
      <c r="H164" s="229"/>
      <c r="I164" s="229"/>
      <c r="J164" s="229"/>
      <c r="K164" s="229"/>
      <c r="L164" s="229"/>
    </row>
    <row r="165" spans="1:12" x14ac:dyDescent="0.2">
      <c r="A165" s="229"/>
      <c r="B165" s="229"/>
      <c r="C165" s="229"/>
      <c r="D165" s="229"/>
      <c r="E165" s="229"/>
      <c r="F165" s="229"/>
      <c r="G165" s="229"/>
      <c r="H165" s="229"/>
      <c r="I165" s="229"/>
      <c r="J165" s="229"/>
      <c r="K165" s="229"/>
      <c r="L165" s="229"/>
    </row>
    <row r="166" spans="1:12" x14ac:dyDescent="0.2">
      <c r="A166" s="229"/>
      <c r="B166" s="229"/>
      <c r="C166" s="229"/>
      <c r="D166" s="229"/>
      <c r="E166" s="229"/>
      <c r="F166" s="229"/>
      <c r="G166" s="229"/>
      <c r="H166" s="229"/>
      <c r="I166" s="229"/>
      <c r="J166" s="229"/>
      <c r="K166" s="229"/>
      <c r="L166" s="229"/>
    </row>
    <row r="167" spans="1:12" x14ac:dyDescent="0.2">
      <c r="A167" s="229"/>
      <c r="B167" s="229"/>
      <c r="C167" s="229"/>
      <c r="D167" s="229"/>
      <c r="E167" s="229"/>
      <c r="F167" s="229"/>
      <c r="G167" s="229"/>
      <c r="H167" s="229"/>
      <c r="I167" s="229"/>
      <c r="J167" s="229"/>
      <c r="K167" s="229"/>
      <c r="L167" s="229"/>
    </row>
    <row r="168" spans="1:12" x14ac:dyDescent="0.2">
      <c r="A168" s="229"/>
      <c r="B168" s="229"/>
      <c r="C168" s="229"/>
      <c r="D168" s="229"/>
      <c r="E168" s="229"/>
      <c r="F168" s="229"/>
      <c r="G168" s="229"/>
      <c r="H168" s="229"/>
      <c r="I168" s="229"/>
      <c r="J168" s="229"/>
      <c r="K168" s="229"/>
      <c r="L168" s="229"/>
    </row>
    <row r="169" spans="1:12" x14ac:dyDescent="0.2">
      <c r="A169" s="229"/>
      <c r="B169" s="229"/>
      <c r="C169" s="229"/>
      <c r="D169" s="229"/>
      <c r="E169" s="229"/>
      <c r="F169" s="229"/>
      <c r="G169" s="229"/>
      <c r="H169" s="229"/>
      <c r="I169" s="229"/>
      <c r="J169" s="229"/>
      <c r="K169" s="229"/>
      <c r="L169" s="229"/>
    </row>
    <row r="170" spans="1:12" x14ac:dyDescent="0.2">
      <c r="A170" s="229"/>
      <c r="B170" s="229"/>
      <c r="C170" s="229"/>
      <c r="D170" s="229"/>
      <c r="E170" s="229"/>
      <c r="F170" s="229"/>
      <c r="G170" s="229"/>
      <c r="H170" s="229"/>
      <c r="I170" s="229"/>
      <c r="J170" s="229"/>
      <c r="K170" s="229"/>
      <c r="L170" s="229"/>
    </row>
    <row r="171" spans="1:12" x14ac:dyDescent="0.2">
      <c r="A171" s="229"/>
      <c r="B171" s="229"/>
      <c r="C171" s="229"/>
      <c r="D171" s="229"/>
      <c r="E171" s="229"/>
      <c r="F171" s="229"/>
      <c r="G171" s="229"/>
      <c r="H171" s="229"/>
      <c r="I171" s="229"/>
      <c r="J171" s="229"/>
      <c r="K171" s="229"/>
      <c r="L171" s="229"/>
    </row>
    <row r="172" spans="1:12" x14ac:dyDescent="0.2">
      <c r="A172" s="229"/>
      <c r="B172" s="229"/>
      <c r="C172" s="229"/>
      <c r="D172" s="229"/>
      <c r="E172" s="229"/>
      <c r="F172" s="229"/>
      <c r="G172" s="229"/>
      <c r="H172" s="229"/>
      <c r="I172" s="229"/>
      <c r="J172" s="229"/>
      <c r="K172" s="229"/>
      <c r="L172" s="229"/>
    </row>
    <row r="173" spans="1:12" x14ac:dyDescent="0.2">
      <c r="A173" s="229"/>
      <c r="B173" s="229"/>
      <c r="C173" s="229"/>
      <c r="D173" s="229"/>
      <c r="E173" s="229"/>
      <c r="F173" s="229"/>
      <c r="G173" s="229"/>
      <c r="H173" s="229"/>
      <c r="I173" s="229"/>
      <c r="J173" s="229"/>
      <c r="K173" s="229"/>
      <c r="L173" s="229"/>
    </row>
    <row r="174" spans="1:12" x14ac:dyDescent="0.2">
      <c r="A174" s="229"/>
      <c r="B174" s="229"/>
      <c r="C174" s="229"/>
      <c r="D174" s="229"/>
      <c r="E174" s="229"/>
      <c r="F174" s="229"/>
      <c r="G174" s="229"/>
      <c r="H174" s="229"/>
      <c r="I174" s="229"/>
      <c r="J174" s="229"/>
      <c r="K174" s="229"/>
      <c r="L174" s="229"/>
    </row>
    <row r="175" spans="1:12" x14ac:dyDescent="0.2">
      <c r="A175" s="229"/>
      <c r="B175" s="229"/>
      <c r="C175" s="229"/>
      <c r="D175" s="229"/>
      <c r="E175" s="229"/>
      <c r="F175" s="229"/>
      <c r="G175" s="229"/>
      <c r="H175" s="229"/>
      <c r="I175" s="229"/>
      <c r="J175" s="229"/>
      <c r="K175" s="229"/>
      <c r="L175" s="229"/>
    </row>
    <row r="176" spans="1:12" x14ac:dyDescent="0.2">
      <c r="A176" s="229"/>
      <c r="B176" s="229"/>
      <c r="C176" s="229"/>
      <c r="D176" s="229"/>
      <c r="E176" s="229"/>
      <c r="F176" s="229"/>
      <c r="G176" s="229"/>
      <c r="H176" s="229"/>
      <c r="I176" s="229"/>
      <c r="J176" s="229"/>
      <c r="K176" s="229"/>
      <c r="L176" s="229"/>
    </row>
    <row r="177" spans="1:12" x14ac:dyDescent="0.2">
      <c r="A177" s="229"/>
      <c r="B177" s="229"/>
      <c r="C177" s="229"/>
      <c r="D177" s="229"/>
      <c r="E177" s="229"/>
      <c r="F177" s="229"/>
      <c r="G177" s="229"/>
      <c r="H177" s="229"/>
      <c r="I177" s="229"/>
      <c r="J177" s="229"/>
      <c r="K177" s="229"/>
      <c r="L177" s="229"/>
    </row>
    <row r="178" spans="1:12" x14ac:dyDescent="0.2">
      <c r="A178" s="229"/>
      <c r="B178" s="229"/>
      <c r="C178" s="229"/>
      <c r="D178" s="229"/>
      <c r="E178" s="229"/>
      <c r="F178" s="229"/>
      <c r="G178" s="229"/>
      <c r="H178" s="229"/>
      <c r="I178" s="229"/>
      <c r="J178" s="229"/>
      <c r="K178" s="229"/>
      <c r="L178" s="229"/>
    </row>
    <row r="179" spans="1:12" x14ac:dyDescent="0.2">
      <c r="A179" s="229"/>
      <c r="B179" s="229"/>
      <c r="C179" s="229"/>
      <c r="D179" s="229"/>
      <c r="E179" s="229"/>
      <c r="F179" s="229"/>
      <c r="G179" s="229"/>
      <c r="H179" s="229"/>
      <c r="I179" s="229"/>
      <c r="J179" s="229"/>
      <c r="K179" s="229"/>
      <c r="L179" s="229"/>
    </row>
    <row r="180" spans="1:12" x14ac:dyDescent="0.2">
      <c r="A180" s="229"/>
      <c r="B180" s="229"/>
      <c r="C180" s="229"/>
      <c r="D180" s="229"/>
      <c r="E180" s="229"/>
      <c r="F180" s="229"/>
      <c r="G180" s="229"/>
      <c r="H180" s="229"/>
      <c r="I180" s="229"/>
      <c r="J180" s="229"/>
      <c r="K180" s="229"/>
      <c r="L180" s="229"/>
    </row>
    <row r="181" spans="1:12" x14ac:dyDescent="0.2">
      <c r="A181" s="229"/>
      <c r="B181" s="229"/>
      <c r="C181" s="229"/>
      <c r="D181" s="229"/>
      <c r="E181" s="229"/>
      <c r="F181" s="229"/>
      <c r="G181" s="229"/>
      <c r="H181" s="229"/>
      <c r="I181" s="229"/>
      <c r="J181" s="229"/>
      <c r="K181" s="229"/>
      <c r="L181" s="229"/>
    </row>
    <row r="182" spans="1:12" x14ac:dyDescent="0.2">
      <c r="A182" s="229"/>
      <c r="B182" s="229"/>
      <c r="C182" s="229"/>
      <c r="D182" s="229"/>
      <c r="E182" s="229"/>
      <c r="F182" s="229"/>
      <c r="G182" s="229"/>
      <c r="H182" s="229"/>
      <c r="I182" s="229"/>
      <c r="J182" s="229"/>
      <c r="K182" s="229"/>
      <c r="L182" s="229"/>
    </row>
    <row r="183" spans="1:12" x14ac:dyDescent="0.2">
      <c r="A183" s="229"/>
      <c r="B183" s="229"/>
      <c r="C183" s="229"/>
      <c r="D183" s="229"/>
      <c r="E183" s="229"/>
      <c r="F183" s="229"/>
      <c r="G183" s="229"/>
      <c r="H183" s="229"/>
      <c r="I183" s="229"/>
      <c r="J183" s="229"/>
      <c r="K183" s="229"/>
      <c r="L183" s="229"/>
    </row>
    <row r="184" spans="1:12" x14ac:dyDescent="0.2">
      <c r="A184" s="229"/>
      <c r="B184" s="229"/>
      <c r="C184" s="229"/>
      <c r="D184" s="229"/>
      <c r="E184" s="229"/>
      <c r="F184" s="229"/>
      <c r="G184" s="229"/>
      <c r="H184" s="229"/>
      <c r="I184" s="229"/>
      <c r="J184" s="229"/>
      <c r="K184" s="229"/>
      <c r="L184" s="229"/>
    </row>
    <row r="185" spans="1:12" x14ac:dyDescent="0.2">
      <c r="A185" s="229"/>
      <c r="B185" s="229"/>
      <c r="C185" s="229"/>
      <c r="D185" s="229"/>
      <c r="E185" s="229"/>
      <c r="F185" s="229"/>
      <c r="G185" s="229"/>
      <c r="H185" s="229"/>
      <c r="I185" s="229"/>
      <c r="J185" s="229"/>
      <c r="K185" s="229"/>
      <c r="L185" s="229"/>
    </row>
    <row r="186" spans="1:12" x14ac:dyDescent="0.2">
      <c r="A186" s="229"/>
      <c r="B186" s="229"/>
      <c r="C186" s="229"/>
      <c r="D186" s="229"/>
      <c r="E186" s="229"/>
      <c r="F186" s="229"/>
      <c r="G186" s="229"/>
      <c r="H186" s="229"/>
      <c r="I186" s="229"/>
      <c r="J186" s="229"/>
      <c r="K186" s="229"/>
      <c r="L186" s="229"/>
    </row>
    <row r="187" spans="1:12" x14ac:dyDescent="0.2">
      <c r="A187" s="229"/>
      <c r="B187" s="229"/>
      <c r="C187" s="229"/>
      <c r="D187" s="229"/>
      <c r="E187" s="229"/>
      <c r="F187" s="229"/>
      <c r="G187" s="229"/>
      <c r="H187" s="229"/>
      <c r="I187" s="229"/>
      <c r="J187" s="229"/>
      <c r="K187" s="229"/>
      <c r="L187" s="229"/>
    </row>
    <row r="188" spans="1:12" x14ac:dyDescent="0.2">
      <c r="A188" s="229"/>
      <c r="B188" s="229"/>
      <c r="C188" s="229"/>
      <c r="D188" s="229"/>
      <c r="E188" s="229"/>
      <c r="F188" s="229"/>
      <c r="G188" s="229"/>
      <c r="H188" s="229"/>
      <c r="I188" s="229"/>
      <c r="J188" s="229"/>
      <c r="K188" s="229"/>
      <c r="L188" s="229"/>
    </row>
    <row r="189" spans="1:12" x14ac:dyDescent="0.2">
      <c r="A189" s="229"/>
      <c r="B189" s="229"/>
      <c r="C189" s="229"/>
      <c r="D189" s="229"/>
      <c r="E189" s="229"/>
      <c r="F189" s="229"/>
      <c r="G189" s="229"/>
      <c r="H189" s="229"/>
      <c r="I189" s="229"/>
      <c r="J189" s="229"/>
      <c r="K189" s="229"/>
      <c r="L189" s="229"/>
    </row>
    <row r="190" spans="1:12" x14ac:dyDescent="0.2">
      <c r="A190" s="229"/>
      <c r="B190" s="229"/>
      <c r="C190" s="229"/>
      <c r="D190" s="229"/>
      <c r="E190" s="229"/>
      <c r="F190" s="229"/>
      <c r="G190" s="229"/>
      <c r="H190" s="229"/>
      <c r="I190" s="229"/>
      <c r="J190" s="229"/>
      <c r="K190" s="229"/>
      <c r="L190" s="229"/>
    </row>
    <row r="191" spans="1:12" x14ac:dyDescent="0.2">
      <c r="A191" s="229"/>
      <c r="B191" s="229"/>
      <c r="C191" s="229"/>
      <c r="D191" s="229"/>
      <c r="E191" s="229"/>
      <c r="F191" s="229"/>
      <c r="G191" s="229"/>
      <c r="H191" s="229"/>
      <c r="I191" s="229"/>
      <c r="J191" s="229"/>
      <c r="K191" s="229"/>
      <c r="L191" s="229"/>
    </row>
    <row r="192" spans="1:12" x14ac:dyDescent="0.2">
      <c r="A192" s="229"/>
      <c r="B192" s="229"/>
      <c r="C192" s="229"/>
      <c r="D192" s="229"/>
      <c r="E192" s="229"/>
      <c r="F192" s="229"/>
      <c r="G192" s="229"/>
      <c r="H192" s="229"/>
      <c r="I192" s="229"/>
      <c r="J192" s="229"/>
      <c r="K192" s="229"/>
      <c r="L192" s="229"/>
    </row>
    <row r="193" spans="1:12" x14ac:dyDescent="0.2">
      <c r="A193" s="229"/>
      <c r="B193" s="229"/>
      <c r="C193" s="229"/>
      <c r="D193" s="229"/>
      <c r="E193" s="229"/>
      <c r="F193" s="229"/>
      <c r="G193" s="229"/>
      <c r="H193" s="229"/>
      <c r="I193" s="229"/>
      <c r="J193" s="229"/>
      <c r="K193" s="229"/>
      <c r="L193" s="229"/>
    </row>
    <row r="194" spans="1:12" x14ac:dyDescent="0.2">
      <c r="A194" s="229"/>
      <c r="B194" s="229"/>
      <c r="C194" s="229"/>
      <c r="D194" s="229"/>
      <c r="E194" s="229"/>
      <c r="F194" s="229"/>
      <c r="G194" s="229"/>
      <c r="H194" s="229"/>
      <c r="I194" s="229"/>
      <c r="J194" s="229"/>
      <c r="K194" s="229"/>
      <c r="L194" s="229"/>
    </row>
    <row r="195" spans="1:12" x14ac:dyDescent="0.2">
      <c r="A195" s="229"/>
      <c r="B195" s="229"/>
      <c r="C195" s="229"/>
      <c r="D195" s="229"/>
      <c r="E195" s="229"/>
      <c r="F195" s="229"/>
      <c r="G195" s="229"/>
      <c r="H195" s="229"/>
      <c r="I195" s="229"/>
      <c r="J195" s="229"/>
      <c r="K195" s="229"/>
      <c r="L195" s="229"/>
    </row>
    <row r="196" spans="1:12" x14ac:dyDescent="0.2">
      <c r="A196" s="229"/>
      <c r="B196" s="229"/>
      <c r="C196" s="229"/>
      <c r="D196" s="229"/>
      <c r="E196" s="229"/>
      <c r="F196" s="229"/>
      <c r="G196" s="229"/>
      <c r="H196" s="229"/>
      <c r="I196" s="229"/>
      <c r="J196" s="229"/>
      <c r="K196" s="229"/>
      <c r="L196" s="229"/>
    </row>
    <row r="197" spans="1:12" x14ac:dyDescent="0.2">
      <c r="A197" s="229"/>
      <c r="B197" s="229"/>
      <c r="C197" s="229"/>
      <c r="D197" s="229"/>
      <c r="E197" s="229"/>
      <c r="F197" s="229"/>
      <c r="G197" s="229"/>
      <c r="H197" s="229"/>
      <c r="I197" s="229"/>
      <c r="J197" s="229"/>
      <c r="K197" s="229"/>
      <c r="L197" s="229"/>
    </row>
    <row r="198" spans="1:12" x14ac:dyDescent="0.2">
      <c r="A198" s="229"/>
      <c r="B198" s="229"/>
      <c r="C198" s="229"/>
      <c r="D198" s="229"/>
      <c r="E198" s="229"/>
      <c r="F198" s="229"/>
      <c r="G198" s="229"/>
      <c r="H198" s="229"/>
      <c r="I198" s="229"/>
      <c r="J198" s="229"/>
      <c r="K198" s="229"/>
      <c r="L198" s="229"/>
    </row>
    <row r="199" spans="1:12" x14ac:dyDescent="0.2">
      <c r="A199" s="229"/>
      <c r="B199" s="229"/>
      <c r="C199" s="229"/>
      <c r="D199" s="229"/>
      <c r="E199" s="229"/>
      <c r="F199" s="229"/>
      <c r="G199" s="229"/>
      <c r="H199" s="229"/>
      <c r="I199" s="229"/>
      <c r="J199" s="229"/>
      <c r="K199" s="229"/>
      <c r="L199" s="229"/>
    </row>
    <row r="200" spans="1:12" x14ac:dyDescent="0.2">
      <c r="A200" s="229"/>
      <c r="B200" s="229"/>
      <c r="C200" s="229"/>
      <c r="D200" s="229"/>
      <c r="E200" s="229"/>
      <c r="F200" s="229"/>
      <c r="G200" s="229"/>
      <c r="H200" s="229"/>
      <c r="I200" s="229"/>
      <c r="J200" s="229"/>
      <c r="K200" s="229"/>
      <c r="L200" s="229"/>
    </row>
    <row r="201" spans="1:12" x14ac:dyDescent="0.2">
      <c r="A201" s="229"/>
      <c r="B201" s="229"/>
      <c r="C201" s="229"/>
      <c r="D201" s="229"/>
      <c r="E201" s="229"/>
      <c r="F201" s="229"/>
      <c r="G201" s="229"/>
      <c r="H201" s="229"/>
      <c r="I201" s="229"/>
      <c r="J201" s="229"/>
      <c r="K201" s="229"/>
      <c r="L201" s="229"/>
    </row>
    <row r="202" spans="1:12" x14ac:dyDescent="0.2">
      <c r="A202" s="229"/>
      <c r="B202" s="229"/>
      <c r="C202" s="229"/>
      <c r="D202" s="229"/>
      <c r="E202" s="229"/>
      <c r="F202" s="229"/>
      <c r="G202" s="229"/>
      <c r="H202" s="229"/>
      <c r="I202" s="229"/>
      <c r="J202" s="229"/>
      <c r="K202" s="229"/>
      <c r="L202" s="229"/>
    </row>
    <row r="203" spans="1:12" x14ac:dyDescent="0.2">
      <c r="A203" s="229"/>
      <c r="B203" s="229"/>
      <c r="C203" s="229"/>
      <c r="D203" s="229"/>
      <c r="E203" s="229"/>
      <c r="F203" s="229"/>
      <c r="G203" s="229"/>
      <c r="H203" s="229"/>
      <c r="I203" s="229"/>
      <c r="J203" s="229"/>
      <c r="K203" s="229"/>
      <c r="L203" s="229"/>
    </row>
    <row r="204" spans="1:12" x14ac:dyDescent="0.2">
      <c r="A204" s="229"/>
      <c r="B204" s="229"/>
      <c r="C204" s="229"/>
      <c r="D204" s="229"/>
      <c r="E204" s="229"/>
      <c r="F204" s="229"/>
      <c r="G204" s="229"/>
      <c r="H204" s="229"/>
      <c r="I204" s="229"/>
      <c r="J204" s="229"/>
      <c r="K204" s="229"/>
      <c r="L204" s="229"/>
    </row>
    <row r="205" spans="1:12" x14ac:dyDescent="0.2">
      <c r="A205" s="229"/>
      <c r="B205" s="229"/>
      <c r="C205" s="229"/>
      <c r="D205" s="229"/>
      <c r="E205" s="229"/>
      <c r="F205" s="229"/>
      <c r="G205" s="229"/>
      <c r="H205" s="229"/>
      <c r="I205" s="229"/>
      <c r="J205" s="229"/>
      <c r="K205" s="229"/>
      <c r="L205" s="229"/>
    </row>
    <row r="206" spans="1:12" x14ac:dyDescent="0.2">
      <c r="A206" s="229"/>
      <c r="B206" s="229"/>
      <c r="C206" s="229"/>
      <c r="D206" s="229"/>
      <c r="E206" s="229"/>
      <c r="F206" s="229"/>
      <c r="G206" s="229"/>
      <c r="H206" s="229"/>
      <c r="I206" s="229"/>
      <c r="J206" s="229"/>
      <c r="K206" s="229"/>
      <c r="L206" s="229"/>
    </row>
    <row r="207" spans="1:12" x14ac:dyDescent="0.2">
      <c r="A207" s="229"/>
      <c r="B207" s="229"/>
      <c r="C207" s="229"/>
      <c r="D207" s="229"/>
      <c r="E207" s="229"/>
      <c r="F207" s="229"/>
      <c r="G207" s="229"/>
      <c r="H207" s="229"/>
      <c r="I207" s="229"/>
      <c r="J207" s="229"/>
      <c r="K207" s="229"/>
      <c r="L207" s="229"/>
    </row>
    <row r="208" spans="1:12" x14ac:dyDescent="0.2">
      <c r="A208" s="229"/>
      <c r="B208" s="229"/>
      <c r="C208" s="229"/>
      <c r="D208" s="229"/>
      <c r="E208" s="229"/>
      <c r="F208" s="229"/>
      <c r="G208" s="229"/>
      <c r="H208" s="229"/>
      <c r="I208" s="229"/>
      <c r="J208" s="229"/>
      <c r="K208" s="229"/>
      <c r="L208" s="229"/>
    </row>
    <row r="209" spans="1:12" x14ac:dyDescent="0.2">
      <c r="A209" s="229"/>
      <c r="B209" s="229"/>
      <c r="C209" s="229"/>
      <c r="D209" s="229"/>
      <c r="E209" s="229"/>
      <c r="F209" s="229"/>
      <c r="G209" s="229"/>
      <c r="H209" s="229"/>
      <c r="I209" s="229"/>
      <c r="J209" s="229"/>
      <c r="K209" s="229"/>
      <c r="L209" s="229"/>
    </row>
    <row r="210" spans="1:12" x14ac:dyDescent="0.2">
      <c r="A210" s="229"/>
      <c r="B210" s="229"/>
      <c r="C210" s="229"/>
      <c r="D210" s="229"/>
      <c r="E210" s="229"/>
      <c r="F210" s="229"/>
      <c r="G210" s="229"/>
      <c r="H210" s="229"/>
      <c r="I210" s="229"/>
      <c r="J210" s="229"/>
      <c r="K210" s="229"/>
      <c r="L210" s="229"/>
    </row>
    <row r="211" spans="1:12" x14ac:dyDescent="0.2">
      <c r="A211" s="229"/>
      <c r="B211" s="229"/>
      <c r="C211" s="229"/>
      <c r="D211" s="229"/>
      <c r="E211" s="229"/>
      <c r="F211" s="229"/>
      <c r="G211" s="229"/>
      <c r="H211" s="229"/>
      <c r="I211" s="229"/>
      <c r="J211" s="229"/>
      <c r="K211" s="229"/>
      <c r="L211" s="229"/>
    </row>
    <row r="212" spans="1:12" x14ac:dyDescent="0.2">
      <c r="A212" s="229"/>
      <c r="B212" s="229"/>
      <c r="C212" s="229"/>
      <c r="D212" s="229"/>
      <c r="E212" s="229"/>
      <c r="F212" s="229"/>
      <c r="G212" s="229"/>
      <c r="H212" s="229"/>
      <c r="I212" s="229"/>
      <c r="J212" s="229"/>
      <c r="K212" s="229"/>
      <c r="L212" s="229"/>
    </row>
    <row r="213" spans="1:12" x14ac:dyDescent="0.2">
      <c r="A213" s="229"/>
      <c r="B213" s="229"/>
      <c r="C213" s="229"/>
      <c r="D213" s="229"/>
      <c r="E213" s="229"/>
      <c r="F213" s="229"/>
      <c r="G213" s="229"/>
      <c r="H213" s="229"/>
      <c r="I213" s="229"/>
      <c r="J213" s="229"/>
      <c r="K213" s="229"/>
      <c r="L213" s="229"/>
    </row>
    <row r="214" spans="1:12" x14ac:dyDescent="0.2">
      <c r="A214" s="229"/>
      <c r="B214" s="229"/>
      <c r="C214" s="229"/>
      <c r="D214" s="229"/>
      <c r="E214" s="229"/>
      <c r="F214" s="229"/>
      <c r="G214" s="229"/>
      <c r="H214" s="229"/>
      <c r="I214" s="229"/>
      <c r="J214" s="229"/>
      <c r="K214" s="229"/>
      <c r="L214" s="229"/>
    </row>
    <row r="215" spans="1:12" x14ac:dyDescent="0.2">
      <c r="A215" s="229"/>
      <c r="B215" s="229"/>
      <c r="C215" s="229"/>
      <c r="D215" s="229"/>
      <c r="E215" s="229"/>
      <c r="F215" s="229"/>
      <c r="G215" s="229"/>
      <c r="H215" s="229"/>
      <c r="I215" s="229"/>
      <c r="J215" s="229"/>
      <c r="K215" s="229"/>
      <c r="L215" s="229"/>
    </row>
    <row r="216" spans="1:12" x14ac:dyDescent="0.2">
      <c r="A216" s="229"/>
      <c r="B216" s="229"/>
      <c r="C216" s="229"/>
      <c r="D216" s="229"/>
      <c r="E216" s="229"/>
      <c r="F216" s="229"/>
      <c r="G216" s="229"/>
      <c r="H216" s="229"/>
      <c r="I216" s="229"/>
      <c r="J216" s="229"/>
      <c r="K216" s="229"/>
      <c r="L216" s="229"/>
    </row>
    <row r="217" spans="1:12" x14ac:dyDescent="0.2">
      <c r="A217" s="229"/>
      <c r="B217" s="229"/>
      <c r="C217" s="229"/>
      <c r="D217" s="229"/>
      <c r="E217" s="229"/>
      <c r="F217" s="229"/>
      <c r="G217" s="229"/>
      <c r="H217" s="229"/>
      <c r="I217" s="229"/>
      <c r="J217" s="229"/>
      <c r="K217" s="229"/>
      <c r="L217" s="229"/>
    </row>
    <row r="218" spans="1:12" x14ac:dyDescent="0.2">
      <c r="A218" s="229"/>
      <c r="B218" s="229"/>
      <c r="C218" s="229"/>
      <c r="D218" s="229"/>
      <c r="E218" s="229"/>
      <c r="F218" s="229"/>
      <c r="G218" s="229"/>
      <c r="H218" s="229"/>
      <c r="I218" s="229"/>
      <c r="J218" s="229"/>
      <c r="K218" s="229"/>
      <c r="L218" s="229"/>
    </row>
    <row r="219" spans="1:12" x14ac:dyDescent="0.2">
      <c r="A219" s="229"/>
      <c r="B219" s="229"/>
      <c r="C219" s="229"/>
      <c r="D219" s="229"/>
      <c r="E219" s="229"/>
      <c r="F219" s="229"/>
      <c r="G219" s="229"/>
      <c r="H219" s="229"/>
      <c r="I219" s="229"/>
      <c r="J219" s="229"/>
      <c r="K219" s="229"/>
      <c r="L219" s="229"/>
    </row>
    <row r="220" spans="1:12" x14ac:dyDescent="0.2">
      <c r="A220" s="229"/>
      <c r="B220" s="229"/>
      <c r="C220" s="229"/>
      <c r="D220" s="229"/>
      <c r="E220" s="229"/>
      <c r="F220" s="229"/>
      <c r="G220" s="229"/>
      <c r="H220" s="229"/>
      <c r="I220" s="229"/>
      <c r="J220" s="229"/>
      <c r="K220" s="229"/>
      <c r="L220" s="229"/>
    </row>
    <row r="221" spans="1:12" x14ac:dyDescent="0.2">
      <c r="A221" s="229"/>
      <c r="B221" s="229"/>
      <c r="C221" s="229"/>
      <c r="D221" s="229"/>
      <c r="E221" s="229"/>
      <c r="F221" s="229"/>
      <c r="G221" s="229"/>
      <c r="H221" s="229"/>
      <c r="I221" s="229"/>
      <c r="J221" s="229"/>
      <c r="K221" s="229"/>
      <c r="L221" s="229"/>
    </row>
    <row r="222" spans="1:12" x14ac:dyDescent="0.2">
      <c r="A222" s="229"/>
      <c r="B222" s="229"/>
      <c r="C222" s="229"/>
      <c r="D222" s="229"/>
      <c r="E222" s="229"/>
      <c r="F222" s="229"/>
      <c r="G222" s="229"/>
      <c r="H222" s="229"/>
      <c r="I222" s="229"/>
      <c r="J222" s="229"/>
      <c r="K222" s="229"/>
      <c r="L222" s="229"/>
    </row>
    <row r="223" spans="1:12" x14ac:dyDescent="0.2">
      <c r="A223" s="229"/>
      <c r="B223" s="229"/>
      <c r="C223" s="229"/>
      <c r="D223" s="229"/>
      <c r="E223" s="229"/>
      <c r="F223" s="229"/>
      <c r="G223" s="229"/>
      <c r="H223" s="229"/>
      <c r="I223" s="229"/>
      <c r="J223" s="229"/>
      <c r="K223" s="229"/>
      <c r="L223" s="229"/>
    </row>
    <row r="224" spans="1:12" x14ac:dyDescent="0.2">
      <c r="A224" s="229"/>
      <c r="B224" s="229"/>
      <c r="C224" s="229"/>
      <c r="D224" s="229"/>
      <c r="E224" s="229"/>
      <c r="F224" s="229"/>
      <c r="G224" s="229"/>
      <c r="H224" s="229"/>
      <c r="I224" s="229"/>
      <c r="J224" s="229"/>
      <c r="K224" s="229"/>
      <c r="L224" s="229"/>
    </row>
    <row r="225" spans="1:12" x14ac:dyDescent="0.2">
      <c r="A225" s="229"/>
      <c r="B225" s="229"/>
      <c r="C225" s="229"/>
      <c r="D225" s="229"/>
      <c r="E225" s="229"/>
      <c r="F225" s="229"/>
      <c r="G225" s="229"/>
      <c r="H225" s="229"/>
      <c r="I225" s="229"/>
      <c r="J225" s="229"/>
      <c r="K225" s="229"/>
      <c r="L225" s="229"/>
    </row>
    <row r="226" spans="1:12" x14ac:dyDescent="0.2">
      <c r="A226" s="229"/>
      <c r="B226" s="229"/>
      <c r="C226" s="229"/>
      <c r="D226" s="229"/>
      <c r="E226" s="229"/>
      <c r="F226" s="229"/>
      <c r="G226" s="229"/>
      <c r="H226" s="229"/>
      <c r="I226" s="229"/>
      <c r="J226" s="229"/>
      <c r="K226" s="229"/>
      <c r="L226" s="229"/>
    </row>
    <row r="227" spans="1:12" x14ac:dyDescent="0.2">
      <c r="A227" s="229"/>
      <c r="B227" s="229"/>
      <c r="C227" s="229"/>
      <c r="D227" s="229"/>
      <c r="E227" s="229"/>
      <c r="F227" s="229"/>
      <c r="G227" s="229"/>
      <c r="H227" s="229"/>
      <c r="I227" s="229"/>
      <c r="J227" s="229"/>
      <c r="K227" s="229"/>
      <c r="L227" s="229"/>
    </row>
    <row r="228" spans="1:12" x14ac:dyDescent="0.2">
      <c r="A228" s="229"/>
      <c r="B228" s="229"/>
      <c r="C228" s="229"/>
      <c r="D228" s="229"/>
      <c r="E228" s="229"/>
      <c r="F228" s="229"/>
      <c r="G228" s="229"/>
      <c r="H228" s="229"/>
      <c r="I228" s="229"/>
      <c r="J228" s="229"/>
      <c r="K228" s="229"/>
      <c r="L228" s="229"/>
    </row>
    <row r="229" spans="1:12" x14ac:dyDescent="0.2">
      <c r="A229" s="229"/>
      <c r="B229" s="229"/>
      <c r="C229" s="229"/>
      <c r="D229" s="229"/>
      <c r="E229" s="229"/>
      <c r="F229" s="229"/>
      <c r="G229" s="229"/>
      <c r="H229" s="229"/>
      <c r="I229" s="229"/>
      <c r="J229" s="229"/>
      <c r="K229" s="229"/>
      <c r="L229" s="229"/>
    </row>
    <row r="230" spans="1:12" x14ac:dyDescent="0.2">
      <c r="A230" s="229"/>
      <c r="B230" s="229"/>
      <c r="C230" s="229"/>
      <c r="D230" s="229"/>
      <c r="E230" s="229"/>
      <c r="F230" s="229"/>
      <c r="G230" s="229"/>
      <c r="H230" s="229"/>
      <c r="I230" s="229"/>
      <c r="J230" s="229"/>
      <c r="K230" s="229"/>
      <c r="L230" s="229"/>
    </row>
    <row r="231" spans="1:12" x14ac:dyDescent="0.2">
      <c r="A231" s="229"/>
      <c r="B231" s="229"/>
      <c r="C231" s="229"/>
      <c r="D231" s="229"/>
      <c r="E231" s="229"/>
      <c r="F231" s="229"/>
      <c r="G231" s="229"/>
      <c r="H231" s="229"/>
      <c r="I231" s="229"/>
      <c r="J231" s="229"/>
      <c r="K231" s="229"/>
      <c r="L231" s="229"/>
    </row>
    <row r="232" spans="1:12" x14ac:dyDescent="0.2">
      <c r="A232" s="229"/>
      <c r="B232" s="229"/>
      <c r="C232" s="229"/>
      <c r="D232" s="229"/>
      <c r="E232" s="229"/>
      <c r="F232" s="229"/>
      <c r="G232" s="229"/>
      <c r="H232" s="229"/>
      <c r="I232" s="229"/>
      <c r="J232" s="229"/>
      <c r="K232" s="229"/>
      <c r="L232" s="229"/>
    </row>
    <row r="233" spans="1:12" x14ac:dyDescent="0.2">
      <c r="A233" s="229"/>
      <c r="B233" s="229"/>
      <c r="C233" s="229"/>
      <c r="D233" s="229"/>
      <c r="E233" s="229"/>
      <c r="F233" s="229"/>
      <c r="G233" s="229"/>
      <c r="H233" s="229"/>
      <c r="I233" s="229"/>
      <c r="J233" s="229"/>
      <c r="K233" s="229"/>
      <c r="L233" s="229"/>
    </row>
    <row r="234" spans="1:12" x14ac:dyDescent="0.2">
      <c r="A234" s="229"/>
      <c r="B234" s="229"/>
      <c r="C234" s="229"/>
      <c r="D234" s="229"/>
      <c r="E234" s="229"/>
      <c r="F234" s="229"/>
      <c r="G234" s="229"/>
      <c r="H234" s="229"/>
      <c r="I234" s="229"/>
      <c r="J234" s="229"/>
      <c r="K234" s="229"/>
      <c r="L234" s="229"/>
    </row>
    <row r="235" spans="1:12" x14ac:dyDescent="0.2">
      <c r="A235" s="229"/>
      <c r="B235" s="229"/>
      <c r="C235" s="229"/>
      <c r="D235" s="229"/>
      <c r="E235" s="229"/>
      <c r="F235" s="229"/>
      <c r="G235" s="229"/>
      <c r="H235" s="229"/>
      <c r="I235" s="229"/>
      <c r="J235" s="229"/>
      <c r="K235" s="229"/>
      <c r="L235" s="229"/>
    </row>
    <row r="236" spans="1:12" x14ac:dyDescent="0.2">
      <c r="A236" s="229"/>
      <c r="B236" s="229"/>
      <c r="C236" s="229"/>
      <c r="D236" s="229"/>
      <c r="E236" s="229"/>
      <c r="F236" s="229"/>
      <c r="G236" s="229"/>
      <c r="H236" s="229"/>
      <c r="I236" s="229"/>
      <c r="J236" s="229"/>
      <c r="K236" s="229"/>
      <c r="L236" s="229"/>
    </row>
    <row r="237" spans="1:12" x14ac:dyDescent="0.2">
      <c r="A237" s="229"/>
      <c r="B237" s="229"/>
      <c r="C237" s="229"/>
      <c r="D237" s="229"/>
      <c r="E237" s="229"/>
      <c r="F237" s="229"/>
      <c r="G237" s="229"/>
      <c r="H237" s="229"/>
      <c r="I237" s="229"/>
      <c r="J237" s="229"/>
      <c r="K237" s="229"/>
      <c r="L237" s="229"/>
    </row>
    <row r="238" spans="1:12" x14ac:dyDescent="0.2">
      <c r="A238" s="229"/>
      <c r="B238" s="229"/>
      <c r="C238" s="229"/>
      <c r="D238" s="229"/>
      <c r="E238" s="229"/>
      <c r="F238" s="229"/>
      <c r="G238" s="229"/>
      <c r="H238" s="229"/>
      <c r="I238" s="229"/>
      <c r="J238" s="229"/>
      <c r="K238" s="229"/>
      <c r="L238" s="229"/>
    </row>
    <row r="239" spans="1:12" x14ac:dyDescent="0.2">
      <c r="A239" s="229"/>
      <c r="B239" s="229"/>
      <c r="C239" s="229"/>
      <c r="D239" s="229"/>
      <c r="E239" s="229"/>
      <c r="F239" s="229"/>
      <c r="G239" s="229"/>
      <c r="H239" s="229"/>
      <c r="I239" s="229"/>
      <c r="J239" s="229"/>
      <c r="K239" s="229"/>
      <c r="L239" s="229"/>
    </row>
    <row r="240" spans="1:12" x14ac:dyDescent="0.2">
      <c r="A240" s="229"/>
      <c r="B240" s="229"/>
      <c r="C240" s="229"/>
      <c r="D240" s="229"/>
      <c r="E240" s="229"/>
      <c r="F240" s="229"/>
      <c r="G240" s="229"/>
      <c r="H240" s="229"/>
      <c r="I240" s="229"/>
      <c r="J240" s="229"/>
      <c r="K240" s="229"/>
      <c r="L240" s="229"/>
    </row>
    <row r="241" spans="1:12" x14ac:dyDescent="0.2">
      <c r="A241" s="229"/>
      <c r="B241" s="229"/>
      <c r="C241" s="229"/>
      <c r="D241" s="229"/>
      <c r="E241" s="229"/>
      <c r="F241" s="229"/>
      <c r="G241" s="229"/>
      <c r="H241" s="229"/>
      <c r="I241" s="229"/>
      <c r="J241" s="229"/>
      <c r="K241" s="229"/>
      <c r="L241" s="229"/>
    </row>
    <row r="242" spans="1:12" x14ac:dyDescent="0.2">
      <c r="A242" s="229"/>
      <c r="B242" s="229"/>
      <c r="C242" s="229"/>
      <c r="D242" s="229"/>
      <c r="E242" s="229"/>
      <c r="F242" s="229"/>
      <c r="G242" s="229"/>
      <c r="H242" s="229"/>
      <c r="I242" s="229"/>
      <c r="J242" s="229"/>
      <c r="K242" s="229"/>
      <c r="L242" s="229"/>
    </row>
    <row r="243" spans="1:12" x14ac:dyDescent="0.2">
      <c r="A243" s="229"/>
      <c r="B243" s="229"/>
      <c r="C243" s="229"/>
      <c r="D243" s="229"/>
      <c r="E243" s="229"/>
      <c r="F243" s="229"/>
      <c r="G243" s="229"/>
      <c r="H243" s="229"/>
      <c r="I243" s="229"/>
      <c r="J243" s="229"/>
      <c r="K243" s="229"/>
      <c r="L243" s="229"/>
    </row>
    <row r="244" spans="1:12" x14ac:dyDescent="0.2">
      <c r="A244" s="229"/>
      <c r="B244" s="229"/>
      <c r="C244" s="229"/>
      <c r="D244" s="229"/>
      <c r="E244" s="229"/>
      <c r="F244" s="229"/>
      <c r="G244" s="229"/>
      <c r="H244" s="229"/>
      <c r="I244" s="229"/>
      <c r="J244" s="229"/>
      <c r="K244" s="229"/>
      <c r="L244" s="229"/>
    </row>
    <row r="245" spans="1:12" x14ac:dyDescent="0.2">
      <c r="A245" s="229"/>
      <c r="B245" s="229"/>
      <c r="C245" s="229"/>
      <c r="D245" s="229"/>
      <c r="E245" s="229"/>
      <c r="F245" s="229"/>
      <c r="G245" s="229"/>
      <c r="H245" s="229"/>
      <c r="I245" s="229"/>
      <c r="J245" s="229"/>
      <c r="K245" s="229"/>
      <c r="L245" s="229"/>
    </row>
    <row r="246" spans="1:12" x14ac:dyDescent="0.2">
      <c r="A246" s="229"/>
      <c r="B246" s="229"/>
      <c r="C246" s="229"/>
      <c r="D246" s="229"/>
      <c r="E246" s="229"/>
      <c r="F246" s="229"/>
      <c r="G246" s="229"/>
      <c r="H246" s="229"/>
      <c r="I246" s="229"/>
      <c r="J246" s="229"/>
      <c r="K246" s="229"/>
      <c r="L246" s="229"/>
    </row>
    <row r="247" spans="1:12" x14ac:dyDescent="0.2">
      <c r="A247" s="229"/>
      <c r="B247" s="229"/>
      <c r="C247" s="229"/>
      <c r="D247" s="229"/>
      <c r="E247" s="229"/>
      <c r="F247" s="229"/>
      <c r="G247" s="229"/>
      <c r="H247" s="229"/>
      <c r="I247" s="229"/>
      <c r="J247" s="229"/>
      <c r="K247" s="229"/>
      <c r="L247" s="229"/>
    </row>
    <row r="248" spans="1:12" x14ac:dyDescent="0.2">
      <c r="A248" s="229"/>
      <c r="B248" s="229"/>
      <c r="C248" s="229"/>
      <c r="D248" s="229"/>
      <c r="E248" s="229"/>
      <c r="F248" s="229"/>
      <c r="G248" s="229"/>
      <c r="H248" s="229"/>
      <c r="I248" s="229"/>
      <c r="J248" s="229"/>
      <c r="K248" s="229"/>
      <c r="L248" s="229"/>
    </row>
    <row r="249" spans="1:12" x14ac:dyDescent="0.2">
      <c r="A249" s="229"/>
      <c r="B249" s="229"/>
      <c r="C249" s="229"/>
      <c r="D249" s="229"/>
      <c r="E249" s="229"/>
      <c r="F249" s="229"/>
      <c r="G249" s="229"/>
      <c r="H249" s="229"/>
      <c r="I249" s="229"/>
      <c r="J249" s="229"/>
      <c r="K249" s="229"/>
      <c r="L249" s="229"/>
    </row>
    <row r="250" spans="1:12" x14ac:dyDescent="0.2">
      <c r="A250" s="229"/>
      <c r="B250" s="229"/>
      <c r="C250" s="229"/>
      <c r="D250" s="229"/>
      <c r="E250" s="229"/>
      <c r="F250" s="229"/>
      <c r="G250" s="229"/>
      <c r="H250" s="229"/>
      <c r="I250" s="229"/>
      <c r="J250" s="229"/>
      <c r="K250" s="229"/>
      <c r="L250" s="229"/>
    </row>
    <row r="251" spans="1:12" x14ac:dyDescent="0.2">
      <c r="A251" s="229"/>
      <c r="B251" s="229"/>
      <c r="C251" s="229"/>
      <c r="D251" s="229"/>
      <c r="E251" s="229"/>
      <c r="F251" s="229"/>
      <c r="G251" s="229"/>
      <c r="H251" s="229"/>
      <c r="I251" s="229"/>
      <c r="J251" s="229"/>
      <c r="K251" s="229"/>
      <c r="L251" s="229"/>
    </row>
    <row r="252" spans="1:12" x14ac:dyDescent="0.2">
      <c r="A252" s="229"/>
      <c r="B252" s="229"/>
      <c r="C252" s="229"/>
      <c r="D252" s="229"/>
      <c r="E252" s="229"/>
      <c r="F252" s="229"/>
      <c r="G252" s="229"/>
      <c r="H252" s="229"/>
      <c r="I252" s="229"/>
      <c r="J252" s="229"/>
      <c r="K252" s="229"/>
      <c r="L252" s="229"/>
    </row>
    <row r="253" spans="1:12" x14ac:dyDescent="0.2">
      <c r="A253" s="229"/>
      <c r="B253" s="229"/>
      <c r="C253" s="229"/>
      <c r="D253" s="229"/>
      <c r="E253" s="229"/>
      <c r="F253" s="229"/>
      <c r="G253" s="229"/>
      <c r="H253" s="229"/>
      <c r="I253" s="229"/>
      <c r="J253" s="229"/>
      <c r="K253" s="229"/>
      <c r="L253" s="229"/>
    </row>
    <row r="254" spans="1:12" x14ac:dyDescent="0.2">
      <c r="A254" s="229"/>
      <c r="B254" s="229"/>
      <c r="C254" s="229"/>
      <c r="D254" s="229"/>
      <c r="E254" s="229"/>
      <c r="F254" s="229"/>
      <c r="G254" s="229"/>
      <c r="H254" s="229"/>
      <c r="I254" s="229"/>
      <c r="J254" s="229"/>
      <c r="K254" s="229"/>
      <c r="L254" s="229"/>
    </row>
    <row r="255" spans="1:12" x14ac:dyDescent="0.2">
      <c r="A255" s="229"/>
      <c r="B255" s="229"/>
      <c r="C255" s="229"/>
      <c r="D255" s="229"/>
      <c r="E255" s="229"/>
      <c r="F255" s="229"/>
      <c r="G255" s="229"/>
      <c r="H255" s="229"/>
      <c r="I255" s="229"/>
      <c r="J255" s="229"/>
      <c r="K255" s="229"/>
      <c r="L255" s="229"/>
    </row>
    <row r="256" spans="1:12" x14ac:dyDescent="0.2">
      <c r="A256" s="229"/>
      <c r="B256" s="229"/>
      <c r="C256" s="229"/>
      <c r="D256" s="229"/>
      <c r="E256" s="229"/>
      <c r="F256" s="229"/>
      <c r="G256" s="229"/>
      <c r="H256" s="229"/>
      <c r="I256" s="229"/>
      <c r="J256" s="229"/>
      <c r="K256" s="229"/>
      <c r="L256" s="229"/>
    </row>
    <row r="257" spans="1:12" x14ac:dyDescent="0.2">
      <c r="A257" s="229"/>
      <c r="B257" s="229"/>
      <c r="C257" s="229"/>
      <c r="D257" s="229"/>
      <c r="E257" s="229"/>
      <c r="F257" s="229"/>
      <c r="G257" s="229"/>
      <c r="H257" s="229"/>
      <c r="I257" s="229"/>
      <c r="J257" s="229"/>
      <c r="K257" s="229"/>
      <c r="L257" s="229"/>
    </row>
    <row r="258" spans="1:12" x14ac:dyDescent="0.2">
      <c r="A258" s="229"/>
      <c r="B258" s="229"/>
      <c r="C258" s="229"/>
      <c r="D258" s="229"/>
      <c r="E258" s="229"/>
      <c r="F258" s="229"/>
      <c r="G258" s="229"/>
      <c r="H258" s="229"/>
      <c r="I258" s="229"/>
      <c r="J258" s="229"/>
      <c r="K258" s="229"/>
      <c r="L258" s="229"/>
    </row>
    <row r="259" spans="1:12" x14ac:dyDescent="0.2">
      <c r="A259" s="229"/>
      <c r="B259" s="229"/>
      <c r="C259" s="229"/>
      <c r="D259" s="229"/>
      <c r="E259" s="229"/>
      <c r="F259" s="229"/>
      <c r="G259" s="229"/>
      <c r="H259" s="229"/>
      <c r="I259" s="229"/>
      <c r="J259" s="229"/>
      <c r="K259" s="229"/>
      <c r="L259" s="229"/>
    </row>
    <row r="260" spans="1:12" x14ac:dyDescent="0.2">
      <c r="A260" s="229"/>
      <c r="B260" s="229"/>
      <c r="C260" s="229"/>
      <c r="D260" s="229"/>
      <c r="E260" s="229"/>
      <c r="F260" s="229"/>
      <c r="G260" s="229"/>
      <c r="H260" s="229"/>
      <c r="I260" s="229"/>
      <c r="J260" s="229"/>
      <c r="K260" s="229"/>
      <c r="L260" s="229"/>
    </row>
    <row r="261" spans="1:12" x14ac:dyDescent="0.2">
      <c r="A261" s="229"/>
      <c r="B261" s="229"/>
      <c r="C261" s="229"/>
      <c r="D261" s="229"/>
      <c r="E261" s="229"/>
      <c r="F261" s="229"/>
      <c r="G261" s="229"/>
      <c r="H261" s="229"/>
      <c r="I261" s="229"/>
      <c r="J261" s="229"/>
      <c r="K261" s="229"/>
      <c r="L261" s="229"/>
    </row>
    <row r="262" spans="1:12" x14ac:dyDescent="0.2">
      <c r="A262" s="229"/>
      <c r="B262" s="229"/>
      <c r="C262" s="229"/>
      <c r="D262" s="229"/>
      <c r="E262" s="229"/>
      <c r="F262" s="229"/>
      <c r="G262" s="229"/>
      <c r="H262" s="229"/>
      <c r="I262" s="229"/>
      <c r="J262" s="229"/>
      <c r="K262" s="229"/>
      <c r="L262" s="229"/>
    </row>
    <row r="263" spans="1:12" x14ac:dyDescent="0.2">
      <c r="A263" s="229"/>
      <c r="B263" s="229"/>
      <c r="C263" s="229"/>
      <c r="D263" s="229"/>
      <c r="E263" s="229"/>
      <c r="F263" s="229"/>
      <c r="G263" s="229"/>
      <c r="H263" s="229"/>
      <c r="I263" s="229"/>
      <c r="J263" s="229"/>
      <c r="K263" s="229"/>
      <c r="L263" s="229"/>
    </row>
    <row r="264" spans="1:12" x14ac:dyDescent="0.2">
      <c r="A264" s="229"/>
      <c r="B264" s="229"/>
      <c r="C264" s="229"/>
      <c r="D264" s="229"/>
      <c r="E264" s="229"/>
      <c r="F264" s="229"/>
      <c r="G264" s="229"/>
      <c r="H264" s="229"/>
      <c r="I264" s="229"/>
      <c r="J264" s="229"/>
      <c r="K264" s="229"/>
      <c r="L264" s="229"/>
    </row>
    <row r="265" spans="1:12" x14ac:dyDescent="0.2">
      <c r="A265" s="229"/>
      <c r="B265" s="229"/>
      <c r="C265" s="229"/>
      <c r="D265" s="229"/>
      <c r="E265" s="229"/>
      <c r="F265" s="229"/>
      <c r="G265" s="229"/>
      <c r="H265" s="229"/>
      <c r="I265" s="229"/>
      <c r="J265" s="229"/>
      <c r="K265" s="229"/>
      <c r="L265" s="229"/>
    </row>
    <row r="266" spans="1:12" x14ac:dyDescent="0.2">
      <c r="A266" s="229"/>
      <c r="B266" s="229"/>
      <c r="C266" s="229"/>
      <c r="D266" s="229"/>
      <c r="E266" s="229"/>
      <c r="F266" s="229"/>
      <c r="G266" s="229"/>
      <c r="H266" s="229"/>
      <c r="I266" s="229"/>
      <c r="J266" s="229"/>
      <c r="K266" s="229"/>
      <c r="L266" s="229"/>
    </row>
    <row r="267" spans="1:12" x14ac:dyDescent="0.2">
      <c r="A267" s="229"/>
      <c r="B267" s="229"/>
      <c r="C267" s="229"/>
      <c r="D267" s="229"/>
      <c r="E267" s="229"/>
      <c r="F267" s="229"/>
      <c r="G267" s="229"/>
      <c r="H267" s="229"/>
      <c r="I267" s="229"/>
      <c r="J267" s="229"/>
      <c r="K267" s="229"/>
      <c r="L267" s="229"/>
    </row>
    <row r="268" spans="1:12" x14ac:dyDescent="0.2">
      <c r="A268" s="229"/>
      <c r="B268" s="229"/>
      <c r="C268" s="229"/>
      <c r="D268" s="229"/>
      <c r="E268" s="229"/>
      <c r="F268" s="229"/>
      <c r="G268" s="229"/>
      <c r="H268" s="229"/>
      <c r="I268" s="229"/>
      <c r="J268" s="229"/>
      <c r="K268" s="229"/>
      <c r="L268" s="229"/>
    </row>
    <row r="269" spans="1:12" x14ac:dyDescent="0.2">
      <c r="A269" s="229"/>
      <c r="B269" s="229"/>
      <c r="C269" s="229"/>
      <c r="D269" s="229"/>
      <c r="E269" s="229"/>
      <c r="F269" s="229"/>
      <c r="G269" s="229"/>
      <c r="H269" s="229"/>
      <c r="I269" s="229"/>
      <c r="J269" s="229"/>
      <c r="K269" s="229"/>
      <c r="L269" s="229"/>
    </row>
    <row r="270" spans="1:12" x14ac:dyDescent="0.2">
      <c r="A270" s="229"/>
      <c r="B270" s="229"/>
      <c r="C270" s="229"/>
      <c r="D270" s="229"/>
      <c r="E270" s="229"/>
      <c r="F270" s="229"/>
      <c r="G270" s="229"/>
      <c r="H270" s="229"/>
      <c r="I270" s="229"/>
      <c r="J270" s="229"/>
      <c r="K270" s="229"/>
      <c r="L270" s="229"/>
    </row>
    <row r="271" spans="1:12" x14ac:dyDescent="0.2">
      <c r="A271" s="229"/>
      <c r="B271" s="229"/>
      <c r="C271" s="229"/>
      <c r="D271" s="229"/>
      <c r="E271" s="229"/>
      <c r="F271" s="229"/>
      <c r="G271" s="229"/>
      <c r="H271" s="229"/>
      <c r="I271" s="229"/>
      <c r="J271" s="229"/>
      <c r="K271" s="229"/>
      <c r="L271" s="229"/>
    </row>
    <row r="272" spans="1:12" x14ac:dyDescent="0.2">
      <c r="A272" s="229"/>
      <c r="B272" s="229"/>
      <c r="C272" s="229"/>
      <c r="D272" s="229"/>
      <c r="E272" s="229"/>
      <c r="F272" s="229"/>
      <c r="G272" s="229"/>
      <c r="H272" s="229"/>
      <c r="I272" s="229"/>
      <c r="J272" s="229"/>
      <c r="K272" s="229"/>
      <c r="L272" s="229"/>
    </row>
    <row r="273" spans="1:12" x14ac:dyDescent="0.2">
      <c r="A273" s="229"/>
      <c r="B273" s="229"/>
      <c r="C273" s="229"/>
      <c r="D273" s="229"/>
      <c r="E273" s="229"/>
      <c r="F273" s="229"/>
      <c r="G273" s="229"/>
      <c r="H273" s="229"/>
      <c r="I273" s="229"/>
      <c r="J273" s="229"/>
      <c r="K273" s="229"/>
      <c r="L273" s="229"/>
    </row>
    <row r="274" spans="1:12" x14ac:dyDescent="0.2">
      <c r="A274" s="229"/>
      <c r="B274" s="229"/>
      <c r="C274" s="229"/>
      <c r="D274" s="229"/>
      <c r="E274" s="229"/>
      <c r="F274" s="229"/>
      <c r="G274" s="229"/>
      <c r="H274" s="229"/>
      <c r="I274" s="229"/>
      <c r="J274" s="229"/>
      <c r="K274" s="229"/>
      <c r="L274" s="229"/>
    </row>
    <row r="275" spans="1:12" x14ac:dyDescent="0.2">
      <c r="A275" s="229"/>
      <c r="B275" s="229"/>
      <c r="C275" s="229"/>
      <c r="D275" s="229"/>
      <c r="E275" s="229"/>
      <c r="F275" s="229"/>
      <c r="G275" s="229"/>
      <c r="H275" s="229"/>
      <c r="I275" s="229"/>
      <c r="J275" s="229"/>
      <c r="K275" s="229"/>
      <c r="L275" s="229"/>
    </row>
    <row r="276" spans="1:12" x14ac:dyDescent="0.2">
      <c r="A276" s="229"/>
      <c r="B276" s="229"/>
      <c r="C276" s="229"/>
      <c r="D276" s="229"/>
      <c r="E276" s="229"/>
      <c r="F276" s="229"/>
      <c r="G276" s="229"/>
      <c r="H276" s="229"/>
      <c r="I276" s="229"/>
      <c r="J276" s="229"/>
      <c r="K276" s="229"/>
      <c r="L276" s="229"/>
    </row>
    <row r="277" spans="1:12" x14ac:dyDescent="0.2">
      <c r="A277" s="229"/>
      <c r="B277" s="229"/>
      <c r="C277" s="229"/>
      <c r="D277" s="229"/>
      <c r="E277" s="229"/>
      <c r="F277" s="229"/>
      <c r="G277" s="229"/>
      <c r="H277" s="229"/>
      <c r="I277" s="229"/>
      <c r="J277" s="229"/>
      <c r="K277" s="229"/>
      <c r="L277" s="229"/>
    </row>
    <row r="278" spans="1:12" x14ac:dyDescent="0.2">
      <c r="A278" s="229"/>
      <c r="B278" s="229"/>
      <c r="C278" s="229"/>
      <c r="D278" s="229"/>
      <c r="E278" s="229"/>
      <c r="F278" s="229"/>
      <c r="G278" s="229"/>
      <c r="H278" s="229"/>
      <c r="I278" s="229"/>
      <c r="J278" s="229"/>
      <c r="K278" s="229"/>
      <c r="L278" s="229"/>
    </row>
    <row r="279" spans="1:12" x14ac:dyDescent="0.2">
      <c r="A279" s="229"/>
      <c r="B279" s="229"/>
      <c r="C279" s="229"/>
      <c r="D279" s="229"/>
      <c r="E279" s="229"/>
      <c r="F279" s="229"/>
      <c r="G279" s="229"/>
      <c r="H279" s="229"/>
      <c r="I279" s="229"/>
      <c r="J279" s="229"/>
      <c r="K279" s="229"/>
      <c r="L279" s="229"/>
    </row>
    <row r="280" spans="1:12" x14ac:dyDescent="0.2">
      <c r="A280" s="229"/>
      <c r="B280" s="229"/>
      <c r="C280" s="229"/>
      <c r="D280" s="229"/>
      <c r="E280" s="229"/>
      <c r="F280" s="229"/>
      <c r="G280" s="229"/>
      <c r="H280" s="229"/>
      <c r="I280" s="229"/>
      <c r="J280" s="229"/>
      <c r="K280" s="229"/>
      <c r="L280" s="229"/>
    </row>
    <row r="281" spans="1:12" x14ac:dyDescent="0.2">
      <c r="A281" s="229"/>
      <c r="B281" s="229"/>
      <c r="C281" s="229"/>
      <c r="D281" s="229"/>
      <c r="E281" s="229"/>
      <c r="F281" s="229"/>
      <c r="G281" s="229"/>
      <c r="H281" s="229"/>
      <c r="I281" s="229"/>
      <c r="J281" s="229"/>
      <c r="K281" s="229"/>
      <c r="L281" s="229"/>
    </row>
    <row r="282" spans="1:12" x14ac:dyDescent="0.2">
      <c r="A282" s="229"/>
      <c r="B282" s="229"/>
      <c r="C282" s="229"/>
      <c r="D282" s="229"/>
      <c r="E282" s="229"/>
      <c r="F282" s="229"/>
      <c r="G282" s="229"/>
      <c r="H282" s="229"/>
      <c r="I282" s="229"/>
      <c r="J282" s="229"/>
      <c r="K282" s="229"/>
      <c r="L282" s="229"/>
    </row>
    <row r="283" spans="1:12" x14ac:dyDescent="0.2">
      <c r="A283" s="229"/>
      <c r="B283" s="229"/>
      <c r="C283" s="229"/>
      <c r="D283" s="229"/>
      <c r="E283" s="229"/>
      <c r="F283" s="229"/>
      <c r="G283" s="229"/>
      <c r="H283" s="229"/>
      <c r="I283" s="229"/>
      <c r="J283" s="229"/>
      <c r="K283" s="229"/>
      <c r="L283" s="229"/>
    </row>
    <row r="284" spans="1:12" x14ac:dyDescent="0.2">
      <c r="A284" s="229"/>
      <c r="B284" s="229"/>
      <c r="C284" s="229"/>
      <c r="D284" s="229"/>
      <c r="E284" s="229"/>
      <c r="F284" s="229"/>
      <c r="G284" s="229"/>
      <c r="H284" s="229"/>
      <c r="I284" s="229"/>
      <c r="J284" s="229"/>
      <c r="K284" s="229"/>
      <c r="L284" s="229"/>
    </row>
    <row r="285" spans="1:12" x14ac:dyDescent="0.2">
      <c r="A285" s="229"/>
      <c r="B285" s="229"/>
      <c r="C285" s="229"/>
      <c r="D285" s="229"/>
      <c r="E285" s="229"/>
      <c r="F285" s="229"/>
      <c r="G285" s="229"/>
      <c r="H285" s="229"/>
      <c r="I285" s="229"/>
      <c r="J285" s="229"/>
      <c r="K285" s="229"/>
      <c r="L285" s="229"/>
    </row>
    <row r="286" spans="1:12" x14ac:dyDescent="0.2">
      <c r="A286" s="229"/>
      <c r="B286" s="229"/>
      <c r="C286" s="229"/>
      <c r="D286" s="229"/>
      <c r="E286" s="229"/>
      <c r="F286" s="229"/>
      <c r="G286" s="229"/>
      <c r="H286" s="229"/>
      <c r="I286" s="229"/>
      <c r="J286" s="229"/>
      <c r="K286" s="229"/>
      <c r="L286" s="229"/>
    </row>
    <row r="287" spans="1:12" x14ac:dyDescent="0.2">
      <c r="A287" s="229"/>
      <c r="B287" s="229"/>
      <c r="C287" s="229"/>
      <c r="D287" s="229"/>
      <c r="E287" s="229"/>
      <c r="F287" s="229"/>
      <c r="G287" s="229"/>
      <c r="H287" s="229"/>
      <c r="I287" s="229"/>
      <c r="J287" s="229"/>
      <c r="K287" s="229"/>
      <c r="L287" s="229"/>
    </row>
    <row r="288" spans="1:12" x14ac:dyDescent="0.2">
      <c r="A288" s="229"/>
      <c r="B288" s="229"/>
      <c r="C288" s="229"/>
      <c r="D288" s="229"/>
      <c r="E288" s="229"/>
      <c r="F288" s="229"/>
      <c r="G288" s="229"/>
      <c r="H288" s="229"/>
      <c r="I288" s="229"/>
      <c r="J288" s="229"/>
      <c r="K288" s="229"/>
      <c r="L288" s="229"/>
    </row>
    <row r="289" spans="1:12" x14ac:dyDescent="0.2">
      <c r="A289" s="229"/>
      <c r="B289" s="229"/>
      <c r="C289" s="229"/>
      <c r="D289" s="229"/>
      <c r="E289" s="229"/>
      <c r="F289" s="229"/>
      <c r="G289" s="229"/>
      <c r="H289" s="229"/>
      <c r="I289" s="229"/>
      <c r="J289" s="229"/>
      <c r="K289" s="229"/>
      <c r="L289" s="229"/>
    </row>
    <row r="290" spans="1:12" x14ac:dyDescent="0.2">
      <c r="A290" s="229"/>
      <c r="B290" s="229"/>
      <c r="C290" s="229"/>
      <c r="D290" s="229"/>
      <c r="E290" s="229"/>
      <c r="F290" s="229"/>
      <c r="G290" s="229"/>
      <c r="H290" s="229"/>
      <c r="I290" s="229"/>
      <c r="J290" s="229"/>
      <c r="K290" s="229"/>
      <c r="L290" s="229"/>
    </row>
    <row r="291" spans="1:12" x14ac:dyDescent="0.2">
      <c r="A291" s="229"/>
      <c r="B291" s="229"/>
      <c r="C291" s="229"/>
      <c r="D291" s="229"/>
      <c r="E291" s="229"/>
      <c r="F291" s="229"/>
      <c r="G291" s="229"/>
      <c r="H291" s="229"/>
      <c r="I291" s="229"/>
      <c r="J291" s="229"/>
      <c r="K291" s="229"/>
      <c r="L291" s="229"/>
    </row>
    <row r="292" spans="1:12" x14ac:dyDescent="0.2">
      <c r="A292" s="229"/>
      <c r="B292" s="229"/>
      <c r="C292" s="229"/>
      <c r="D292" s="229"/>
      <c r="E292" s="229"/>
      <c r="F292" s="229"/>
      <c r="G292" s="229"/>
      <c r="H292" s="229"/>
      <c r="I292" s="229"/>
      <c r="J292" s="229"/>
      <c r="K292" s="229"/>
      <c r="L292" s="229"/>
    </row>
    <row r="293" spans="1:12" x14ac:dyDescent="0.2">
      <c r="A293" s="229"/>
      <c r="B293" s="229"/>
      <c r="C293" s="229"/>
      <c r="D293" s="229"/>
      <c r="E293" s="229"/>
      <c r="F293" s="229"/>
      <c r="G293" s="229"/>
      <c r="H293" s="229"/>
      <c r="I293" s="229"/>
      <c r="J293" s="229"/>
      <c r="K293" s="229"/>
      <c r="L293" s="229"/>
    </row>
    <row r="294" spans="1:12" x14ac:dyDescent="0.2">
      <c r="A294" s="229"/>
      <c r="B294" s="229"/>
      <c r="C294" s="229"/>
      <c r="D294" s="229"/>
      <c r="E294" s="229"/>
      <c r="F294" s="229"/>
      <c r="G294" s="229"/>
      <c r="H294" s="229"/>
      <c r="I294" s="229"/>
      <c r="J294" s="229"/>
      <c r="K294" s="229"/>
      <c r="L294" s="229"/>
    </row>
    <row r="295" spans="1:12" x14ac:dyDescent="0.2">
      <c r="A295" s="229"/>
      <c r="B295" s="229"/>
      <c r="C295" s="229"/>
      <c r="D295" s="229"/>
      <c r="E295" s="229"/>
      <c r="F295" s="229"/>
      <c r="G295" s="229"/>
      <c r="H295" s="229"/>
      <c r="I295" s="229"/>
      <c r="J295" s="229"/>
      <c r="K295" s="229"/>
      <c r="L295" s="229"/>
    </row>
    <row r="296" spans="1:12" x14ac:dyDescent="0.2">
      <c r="A296" s="229"/>
      <c r="B296" s="229"/>
      <c r="C296" s="229"/>
      <c r="D296" s="229"/>
      <c r="E296" s="229"/>
      <c r="F296" s="229"/>
      <c r="G296" s="229"/>
      <c r="H296" s="229"/>
      <c r="I296" s="229"/>
      <c r="J296" s="229"/>
      <c r="K296" s="229"/>
      <c r="L296" s="229"/>
    </row>
    <row r="297" spans="1:12" x14ac:dyDescent="0.2">
      <c r="A297" s="229"/>
      <c r="B297" s="229"/>
      <c r="C297" s="229"/>
      <c r="D297" s="229"/>
      <c r="E297" s="229"/>
      <c r="F297" s="229"/>
      <c r="G297" s="229"/>
      <c r="H297" s="229"/>
      <c r="I297" s="229"/>
      <c r="J297" s="229"/>
      <c r="K297" s="229"/>
      <c r="L297" s="229"/>
    </row>
    <row r="298" spans="1:12" x14ac:dyDescent="0.2">
      <c r="A298" s="229"/>
      <c r="B298" s="229"/>
      <c r="C298" s="229"/>
      <c r="D298" s="229"/>
      <c r="E298" s="229"/>
      <c r="F298" s="229"/>
      <c r="G298" s="229"/>
      <c r="H298" s="229"/>
      <c r="I298" s="229"/>
      <c r="J298" s="229"/>
      <c r="K298" s="229"/>
      <c r="L298" s="229"/>
    </row>
    <row r="299" spans="1:12" x14ac:dyDescent="0.2">
      <c r="A299" s="229"/>
      <c r="B299" s="229"/>
      <c r="C299" s="229"/>
      <c r="D299" s="229"/>
      <c r="E299" s="229"/>
      <c r="F299" s="229"/>
      <c r="G299" s="229"/>
      <c r="H299" s="229"/>
      <c r="I299" s="229"/>
      <c r="J299" s="229"/>
      <c r="K299" s="229"/>
      <c r="L299" s="229"/>
    </row>
    <row r="300" spans="1:12" x14ac:dyDescent="0.2">
      <c r="A300" s="229"/>
      <c r="B300" s="229"/>
      <c r="C300" s="229"/>
      <c r="D300" s="229"/>
      <c r="E300" s="229"/>
      <c r="F300" s="229"/>
      <c r="G300" s="229"/>
      <c r="H300" s="229"/>
      <c r="I300" s="229"/>
      <c r="J300" s="229"/>
      <c r="K300" s="229"/>
      <c r="L300" s="229"/>
    </row>
    <row r="301" spans="1:12" x14ac:dyDescent="0.2">
      <c r="A301" s="229"/>
      <c r="B301" s="229"/>
      <c r="C301" s="229"/>
      <c r="D301" s="229"/>
      <c r="E301" s="229"/>
      <c r="F301" s="229"/>
      <c r="G301" s="229"/>
      <c r="H301" s="229"/>
      <c r="I301" s="229"/>
      <c r="J301" s="229"/>
      <c r="K301" s="229"/>
      <c r="L301" s="229"/>
    </row>
    <row r="302" spans="1:12" x14ac:dyDescent="0.2">
      <c r="A302" s="229"/>
      <c r="B302" s="229"/>
      <c r="C302" s="229"/>
      <c r="D302" s="229"/>
      <c r="E302" s="229"/>
      <c r="F302" s="229"/>
      <c r="G302" s="229"/>
      <c r="H302" s="229"/>
      <c r="I302" s="229"/>
      <c r="J302" s="229"/>
      <c r="K302" s="229"/>
      <c r="L302" s="229"/>
    </row>
    <row r="303" spans="1:12" x14ac:dyDescent="0.2">
      <c r="A303" s="229"/>
      <c r="B303" s="229"/>
      <c r="C303" s="229"/>
      <c r="D303" s="229"/>
      <c r="E303" s="229"/>
      <c r="F303" s="229"/>
      <c r="G303" s="229"/>
      <c r="H303" s="229"/>
      <c r="I303" s="229"/>
      <c r="J303" s="229"/>
      <c r="K303" s="229"/>
      <c r="L303" s="229"/>
    </row>
    <row r="304" spans="1:12" x14ac:dyDescent="0.2">
      <c r="A304" s="229"/>
      <c r="B304" s="229"/>
      <c r="C304" s="229"/>
      <c r="D304" s="229"/>
      <c r="E304" s="229"/>
      <c r="F304" s="229"/>
      <c r="G304" s="229"/>
      <c r="H304" s="229"/>
      <c r="I304" s="229"/>
      <c r="J304" s="229"/>
      <c r="K304" s="229"/>
      <c r="L304" s="229"/>
    </row>
    <row r="305" spans="1:12" x14ac:dyDescent="0.2">
      <c r="A305" s="229"/>
      <c r="B305" s="229"/>
      <c r="C305" s="229"/>
      <c r="D305" s="229"/>
      <c r="E305" s="229"/>
      <c r="F305" s="229"/>
      <c r="G305" s="229"/>
      <c r="H305" s="229"/>
      <c r="I305" s="229"/>
      <c r="J305" s="229"/>
      <c r="K305" s="229"/>
      <c r="L305" s="229"/>
    </row>
    <row r="306" spans="1:12" x14ac:dyDescent="0.2">
      <c r="A306" s="229"/>
      <c r="B306" s="229"/>
      <c r="C306" s="229"/>
      <c r="D306" s="229"/>
      <c r="E306" s="229"/>
      <c r="F306" s="229"/>
      <c r="G306" s="229"/>
      <c r="H306" s="229"/>
      <c r="I306" s="229"/>
      <c r="J306" s="229"/>
      <c r="K306" s="229"/>
      <c r="L306" s="229"/>
    </row>
    <row r="307" spans="1:12" x14ac:dyDescent="0.2">
      <c r="A307" s="229"/>
      <c r="B307" s="229"/>
      <c r="C307" s="229"/>
      <c r="D307" s="229"/>
      <c r="E307" s="229"/>
      <c r="F307" s="229"/>
      <c r="G307" s="229"/>
      <c r="H307" s="229"/>
      <c r="I307" s="229"/>
      <c r="J307" s="229"/>
      <c r="K307" s="229"/>
      <c r="L307" s="229"/>
    </row>
    <row r="308" spans="1:12" x14ac:dyDescent="0.2">
      <c r="A308" s="229"/>
      <c r="B308" s="229"/>
      <c r="C308" s="229"/>
      <c r="D308" s="229"/>
      <c r="E308" s="229"/>
      <c r="F308" s="229"/>
      <c r="G308" s="229"/>
      <c r="H308" s="229"/>
      <c r="I308" s="229"/>
      <c r="J308" s="229"/>
      <c r="K308" s="229"/>
      <c r="L308" s="229"/>
    </row>
    <row r="309" spans="1:12" x14ac:dyDescent="0.2">
      <c r="A309" s="229"/>
      <c r="B309" s="229"/>
      <c r="C309" s="229"/>
      <c r="D309" s="229"/>
      <c r="E309" s="229"/>
      <c r="F309" s="229"/>
      <c r="G309" s="229"/>
      <c r="H309" s="229"/>
      <c r="I309" s="229"/>
      <c r="J309" s="229"/>
      <c r="K309" s="229"/>
      <c r="L309" s="229"/>
    </row>
    <row r="310" spans="1:12" x14ac:dyDescent="0.2">
      <c r="A310" s="229"/>
      <c r="B310" s="229"/>
      <c r="C310" s="229"/>
      <c r="D310" s="229"/>
      <c r="E310" s="229"/>
      <c r="F310" s="229"/>
      <c r="G310" s="229"/>
      <c r="H310" s="229"/>
      <c r="I310" s="229"/>
      <c r="J310" s="229"/>
      <c r="K310" s="229"/>
      <c r="L310" s="229"/>
    </row>
    <row r="311" spans="1:12" x14ac:dyDescent="0.2">
      <c r="A311" s="229"/>
      <c r="B311" s="229"/>
      <c r="C311" s="229"/>
      <c r="D311" s="229"/>
      <c r="E311" s="229"/>
      <c r="F311" s="229"/>
      <c r="G311" s="229"/>
      <c r="H311" s="229"/>
      <c r="I311" s="229"/>
      <c r="J311" s="229"/>
      <c r="K311" s="229"/>
      <c r="L311" s="229"/>
    </row>
    <row r="312" spans="1:12" x14ac:dyDescent="0.2">
      <c r="A312" s="229"/>
      <c r="B312" s="229"/>
      <c r="C312" s="229"/>
      <c r="D312" s="229"/>
      <c r="E312" s="229"/>
      <c r="F312" s="229"/>
      <c r="G312" s="229"/>
      <c r="H312" s="229"/>
      <c r="I312" s="229"/>
      <c r="J312" s="229"/>
      <c r="K312" s="229"/>
      <c r="L312" s="229"/>
    </row>
    <row r="313" spans="1:12" x14ac:dyDescent="0.2">
      <c r="A313" s="229"/>
      <c r="B313" s="229"/>
      <c r="C313" s="229"/>
      <c r="D313" s="229"/>
      <c r="E313" s="229"/>
      <c r="F313" s="229"/>
      <c r="G313" s="229"/>
      <c r="H313" s="229"/>
      <c r="I313" s="229"/>
      <c r="J313" s="229"/>
      <c r="K313" s="229"/>
      <c r="L313" s="229"/>
    </row>
    <row r="314" spans="1:12" x14ac:dyDescent="0.2">
      <c r="A314" s="229"/>
      <c r="B314" s="229"/>
      <c r="C314" s="229"/>
      <c r="D314" s="229"/>
      <c r="E314" s="229"/>
      <c r="F314" s="229"/>
      <c r="G314" s="229"/>
      <c r="H314" s="229"/>
      <c r="I314" s="229"/>
      <c r="J314" s="229"/>
      <c r="K314" s="229"/>
      <c r="L314" s="229"/>
    </row>
    <row r="315" spans="1:12" x14ac:dyDescent="0.2">
      <c r="A315" s="229"/>
      <c r="B315" s="229"/>
      <c r="C315" s="229"/>
      <c r="D315" s="229"/>
      <c r="E315" s="229"/>
      <c r="F315" s="229"/>
      <c r="G315" s="229"/>
      <c r="H315" s="229"/>
      <c r="I315" s="229"/>
      <c r="J315" s="229"/>
      <c r="K315" s="229"/>
      <c r="L315" s="229"/>
    </row>
    <row r="316" spans="1:12" x14ac:dyDescent="0.2">
      <c r="A316" s="229"/>
      <c r="B316" s="229"/>
      <c r="C316" s="229"/>
      <c r="D316" s="229"/>
      <c r="E316" s="229"/>
      <c r="F316" s="229"/>
      <c r="G316" s="229"/>
      <c r="H316" s="229"/>
      <c r="I316" s="229"/>
      <c r="J316" s="229"/>
      <c r="K316" s="229"/>
      <c r="L316" s="229"/>
    </row>
    <row r="317" spans="1:12" x14ac:dyDescent="0.2">
      <c r="A317" s="229"/>
      <c r="B317" s="229"/>
      <c r="C317" s="229"/>
      <c r="D317" s="229"/>
      <c r="E317" s="229"/>
      <c r="F317" s="229"/>
      <c r="G317" s="229"/>
      <c r="H317" s="229"/>
      <c r="I317" s="229"/>
      <c r="J317" s="229"/>
      <c r="K317" s="229"/>
      <c r="L317" s="229"/>
    </row>
    <row r="318" spans="1:12" x14ac:dyDescent="0.2">
      <c r="A318" s="229"/>
      <c r="B318" s="229"/>
      <c r="C318" s="229"/>
      <c r="D318" s="229"/>
      <c r="E318" s="229"/>
      <c r="F318" s="229"/>
      <c r="G318" s="229"/>
      <c r="H318" s="229"/>
      <c r="I318" s="229"/>
      <c r="J318" s="229"/>
      <c r="K318" s="229"/>
      <c r="L318" s="229"/>
    </row>
    <row r="319" spans="1:12" x14ac:dyDescent="0.2">
      <c r="A319" s="229"/>
      <c r="B319" s="229"/>
      <c r="C319" s="229"/>
      <c r="D319" s="229"/>
      <c r="E319" s="229"/>
      <c r="F319" s="229"/>
      <c r="G319" s="229"/>
      <c r="H319" s="229"/>
      <c r="I319" s="229"/>
      <c r="J319" s="229"/>
      <c r="K319" s="229"/>
      <c r="L319" s="229"/>
    </row>
    <row r="320" spans="1:12" x14ac:dyDescent="0.2">
      <c r="A320" s="229"/>
      <c r="B320" s="229"/>
      <c r="C320" s="229"/>
      <c r="D320" s="229"/>
      <c r="E320" s="229"/>
      <c r="F320" s="229"/>
      <c r="G320" s="229"/>
      <c r="H320" s="229"/>
      <c r="I320" s="229"/>
      <c r="J320" s="229"/>
      <c r="K320" s="229"/>
      <c r="L320" s="229"/>
    </row>
    <row r="321" spans="1:12" x14ac:dyDescent="0.2">
      <c r="A321" s="229"/>
      <c r="B321" s="229"/>
      <c r="C321" s="229"/>
      <c r="D321" s="229"/>
      <c r="E321" s="229"/>
      <c r="F321" s="229"/>
      <c r="G321" s="229"/>
      <c r="H321" s="229"/>
      <c r="I321" s="229"/>
      <c r="J321" s="229"/>
      <c r="K321" s="229"/>
      <c r="L321" s="229"/>
    </row>
    <row r="322" spans="1:12" x14ac:dyDescent="0.2">
      <c r="A322" s="229"/>
      <c r="B322" s="229"/>
      <c r="C322" s="229"/>
      <c r="D322" s="229"/>
      <c r="E322" s="229"/>
      <c r="F322" s="229"/>
      <c r="G322" s="229"/>
      <c r="H322" s="229"/>
      <c r="I322" s="229"/>
      <c r="J322" s="229"/>
      <c r="K322" s="229"/>
      <c r="L322" s="229"/>
    </row>
    <row r="323" spans="1:12" x14ac:dyDescent="0.2">
      <c r="A323" s="229"/>
      <c r="B323" s="229"/>
      <c r="C323" s="229"/>
      <c r="D323" s="229"/>
      <c r="E323" s="229"/>
      <c r="F323" s="229"/>
      <c r="G323" s="229"/>
      <c r="H323" s="229"/>
      <c r="I323" s="229"/>
      <c r="J323" s="229"/>
      <c r="K323" s="229"/>
      <c r="L323" s="229"/>
    </row>
    <row r="324" spans="1:12" x14ac:dyDescent="0.2">
      <c r="A324" s="229"/>
      <c r="B324" s="229"/>
      <c r="C324" s="229"/>
      <c r="D324" s="229"/>
      <c r="E324" s="229"/>
      <c r="F324" s="229"/>
      <c r="G324" s="229"/>
      <c r="H324" s="229"/>
      <c r="I324" s="229"/>
      <c r="J324" s="229"/>
      <c r="K324" s="229"/>
      <c r="L324" s="229"/>
    </row>
    <row r="325" spans="1:12" x14ac:dyDescent="0.2">
      <c r="A325" s="229"/>
      <c r="B325" s="229"/>
      <c r="C325" s="229"/>
      <c r="D325" s="229"/>
      <c r="E325" s="229"/>
      <c r="F325" s="229"/>
      <c r="G325" s="229"/>
      <c r="H325" s="229"/>
      <c r="I325" s="229"/>
      <c r="J325" s="229"/>
      <c r="K325" s="229"/>
      <c r="L325" s="229"/>
    </row>
    <row r="326" spans="1:12" x14ac:dyDescent="0.2">
      <c r="A326" s="229"/>
      <c r="B326" s="229"/>
      <c r="C326" s="229"/>
      <c r="D326" s="229"/>
      <c r="E326" s="229"/>
      <c r="F326" s="229"/>
      <c r="G326" s="229"/>
      <c r="H326" s="229"/>
      <c r="I326" s="229"/>
      <c r="J326" s="229"/>
      <c r="K326" s="229"/>
      <c r="L326" s="229"/>
    </row>
    <row r="327" spans="1:12" x14ac:dyDescent="0.2">
      <c r="A327" s="229"/>
      <c r="B327" s="229"/>
      <c r="C327" s="229"/>
      <c r="D327" s="229"/>
      <c r="E327" s="229"/>
      <c r="F327" s="229"/>
      <c r="G327" s="229"/>
      <c r="H327" s="229"/>
      <c r="I327" s="229"/>
      <c r="J327" s="229"/>
      <c r="K327" s="229"/>
      <c r="L327" s="229"/>
    </row>
    <row r="328" spans="1:12" x14ac:dyDescent="0.2">
      <c r="A328" s="229"/>
      <c r="B328" s="229"/>
      <c r="C328" s="229"/>
      <c r="D328" s="229"/>
      <c r="E328" s="229"/>
      <c r="F328" s="229"/>
      <c r="G328" s="229"/>
      <c r="H328" s="229"/>
      <c r="I328" s="229"/>
      <c r="J328" s="229"/>
      <c r="K328" s="229"/>
      <c r="L328" s="229"/>
    </row>
    <row r="329" spans="1:12" x14ac:dyDescent="0.2">
      <c r="A329" s="229"/>
      <c r="B329" s="229"/>
      <c r="C329" s="229"/>
      <c r="D329" s="229"/>
      <c r="E329" s="229"/>
      <c r="F329" s="229"/>
      <c r="G329" s="229"/>
      <c r="H329" s="229"/>
      <c r="I329" s="229"/>
      <c r="J329" s="229"/>
      <c r="K329" s="229"/>
      <c r="L329" s="229"/>
    </row>
    <row r="330" spans="1:12" x14ac:dyDescent="0.2">
      <c r="A330" s="229"/>
      <c r="B330" s="229"/>
      <c r="C330" s="229"/>
      <c r="D330" s="229"/>
      <c r="E330" s="229"/>
      <c r="F330" s="229"/>
      <c r="G330" s="229"/>
      <c r="H330" s="229"/>
      <c r="I330" s="229"/>
      <c r="J330" s="229"/>
      <c r="K330" s="229"/>
      <c r="L330" s="229"/>
    </row>
    <row r="331" spans="1:12" x14ac:dyDescent="0.2">
      <c r="A331" s="229"/>
      <c r="B331" s="229"/>
      <c r="C331" s="229"/>
      <c r="D331" s="229"/>
      <c r="E331" s="229"/>
      <c r="F331" s="229"/>
      <c r="G331" s="229"/>
      <c r="H331" s="229"/>
      <c r="I331" s="229"/>
      <c r="J331" s="229"/>
      <c r="K331" s="229"/>
      <c r="L331" s="229"/>
    </row>
    <row r="332" spans="1:12" x14ac:dyDescent="0.2">
      <c r="A332" s="229"/>
      <c r="B332" s="229"/>
      <c r="C332" s="229"/>
      <c r="D332" s="229"/>
      <c r="E332" s="229"/>
      <c r="F332" s="229"/>
      <c r="G332" s="229"/>
      <c r="H332" s="229"/>
      <c r="I332" s="229"/>
      <c r="J332" s="229"/>
      <c r="K332" s="229"/>
      <c r="L332" s="229"/>
    </row>
    <row r="333" spans="1:12" x14ac:dyDescent="0.2">
      <c r="A333" s="229"/>
      <c r="B333" s="229"/>
      <c r="C333" s="229"/>
      <c r="D333" s="229"/>
      <c r="E333" s="229"/>
      <c r="F333" s="229"/>
      <c r="G333" s="229"/>
      <c r="H333" s="229"/>
      <c r="I333" s="229"/>
      <c r="J333" s="229"/>
      <c r="K333" s="229"/>
      <c r="L333" s="229"/>
    </row>
    <row r="334" spans="1:12" x14ac:dyDescent="0.2">
      <c r="A334" s="229"/>
      <c r="B334" s="229"/>
      <c r="C334" s="229"/>
      <c r="D334" s="229"/>
      <c r="E334" s="229"/>
      <c r="F334" s="229"/>
      <c r="G334" s="229"/>
      <c r="H334" s="229"/>
      <c r="I334" s="229"/>
      <c r="J334" s="229"/>
      <c r="K334" s="229"/>
      <c r="L334" s="229"/>
    </row>
    <row r="335" spans="1:12" x14ac:dyDescent="0.2">
      <c r="A335" s="229"/>
      <c r="B335" s="229"/>
      <c r="C335" s="229"/>
      <c r="D335" s="229"/>
      <c r="E335" s="229"/>
      <c r="F335" s="229"/>
      <c r="G335" s="229"/>
      <c r="H335" s="229"/>
      <c r="I335" s="229"/>
      <c r="J335" s="229"/>
      <c r="K335" s="229"/>
      <c r="L335" s="229"/>
    </row>
    <row r="336" spans="1:12" x14ac:dyDescent="0.2">
      <c r="A336" s="229"/>
      <c r="B336" s="229"/>
      <c r="C336" s="229"/>
      <c r="D336" s="229"/>
      <c r="E336" s="229"/>
      <c r="F336" s="229"/>
      <c r="G336" s="229"/>
      <c r="H336" s="229"/>
      <c r="I336" s="229"/>
      <c r="J336" s="229"/>
      <c r="K336" s="229"/>
      <c r="L336" s="229"/>
    </row>
    <row r="337" spans="1:12" x14ac:dyDescent="0.2">
      <c r="A337" s="229"/>
      <c r="B337" s="229"/>
      <c r="C337" s="229"/>
      <c r="D337" s="229"/>
      <c r="E337" s="229"/>
      <c r="F337" s="229"/>
      <c r="G337" s="229"/>
      <c r="H337" s="229"/>
      <c r="I337" s="229"/>
      <c r="J337" s="229"/>
      <c r="K337" s="229"/>
      <c r="L337" s="229"/>
    </row>
    <row r="338" spans="1:12" x14ac:dyDescent="0.2">
      <c r="A338" s="229"/>
      <c r="B338" s="229"/>
      <c r="C338" s="229"/>
      <c r="D338" s="229"/>
      <c r="E338" s="229"/>
      <c r="F338" s="229"/>
      <c r="G338" s="229"/>
      <c r="H338" s="229"/>
      <c r="I338" s="229"/>
      <c r="J338" s="229"/>
      <c r="K338" s="229"/>
      <c r="L338" s="229"/>
    </row>
    <row r="339" spans="1:12" x14ac:dyDescent="0.2">
      <c r="A339" s="229"/>
      <c r="B339" s="229"/>
      <c r="C339" s="229"/>
      <c r="D339" s="229"/>
      <c r="E339" s="229"/>
      <c r="F339" s="229"/>
      <c r="G339" s="229"/>
      <c r="H339" s="229"/>
      <c r="I339" s="229"/>
      <c r="J339" s="229"/>
      <c r="K339" s="229"/>
      <c r="L339" s="229"/>
    </row>
    <row r="340" spans="1:12" x14ac:dyDescent="0.2">
      <c r="A340" s="229"/>
      <c r="B340" s="229"/>
      <c r="C340" s="229"/>
      <c r="D340" s="229"/>
      <c r="E340" s="229"/>
      <c r="F340" s="229"/>
      <c r="G340" s="229"/>
      <c r="H340" s="229"/>
      <c r="I340" s="229"/>
      <c r="J340" s="229"/>
      <c r="K340" s="229"/>
      <c r="L340" s="229"/>
    </row>
    <row r="341" spans="1:12" x14ac:dyDescent="0.2">
      <c r="A341" s="229"/>
      <c r="B341" s="229"/>
      <c r="C341" s="229"/>
      <c r="D341" s="229"/>
      <c r="E341" s="229"/>
      <c r="F341" s="229"/>
      <c r="G341" s="229"/>
      <c r="H341" s="229"/>
      <c r="I341" s="229"/>
      <c r="J341" s="229"/>
      <c r="K341" s="229"/>
      <c r="L341" s="229"/>
    </row>
    <row r="342" spans="1:12" x14ac:dyDescent="0.2">
      <c r="A342" s="229"/>
      <c r="B342" s="229"/>
      <c r="C342" s="229"/>
      <c r="D342" s="229"/>
      <c r="E342" s="229"/>
      <c r="F342" s="229"/>
      <c r="G342" s="229"/>
      <c r="H342" s="229"/>
      <c r="I342" s="229"/>
      <c r="J342" s="229"/>
      <c r="K342" s="229"/>
      <c r="L342" s="229"/>
    </row>
    <row r="343" spans="1:12" x14ac:dyDescent="0.2">
      <c r="A343" s="229"/>
      <c r="B343" s="229"/>
      <c r="C343" s="229"/>
      <c r="D343" s="229"/>
      <c r="E343" s="229"/>
      <c r="F343" s="229"/>
      <c r="G343" s="229"/>
      <c r="H343" s="229"/>
      <c r="I343" s="229"/>
      <c r="J343" s="229"/>
      <c r="K343" s="229"/>
      <c r="L343" s="229"/>
    </row>
    <row r="344" spans="1:12" x14ac:dyDescent="0.2">
      <c r="A344" s="229"/>
      <c r="B344" s="229"/>
      <c r="C344" s="229"/>
      <c r="D344" s="229"/>
      <c r="E344" s="229"/>
      <c r="F344" s="229"/>
      <c r="G344" s="229"/>
      <c r="H344" s="229"/>
      <c r="I344" s="229"/>
      <c r="J344" s="229"/>
      <c r="K344" s="229"/>
      <c r="L344" s="229"/>
    </row>
    <row r="345" spans="1:12" x14ac:dyDescent="0.2">
      <c r="A345" s="229"/>
      <c r="B345" s="229"/>
      <c r="C345" s="229"/>
      <c r="D345" s="229"/>
      <c r="E345" s="229"/>
      <c r="F345" s="229"/>
      <c r="G345" s="229"/>
      <c r="H345" s="229"/>
      <c r="I345" s="229"/>
      <c r="J345" s="229"/>
      <c r="K345" s="229"/>
      <c r="L345" s="229"/>
    </row>
    <row r="346" spans="1:12" x14ac:dyDescent="0.2">
      <c r="A346" s="229"/>
      <c r="B346" s="229"/>
      <c r="C346" s="229"/>
      <c r="D346" s="229"/>
      <c r="E346" s="229"/>
      <c r="F346" s="229"/>
      <c r="G346" s="229"/>
      <c r="H346" s="229"/>
      <c r="I346" s="229"/>
      <c r="J346" s="229"/>
      <c r="K346" s="229"/>
      <c r="L346" s="229"/>
    </row>
    <row r="347" spans="1:12" x14ac:dyDescent="0.2">
      <c r="A347" s="229"/>
      <c r="B347" s="229"/>
      <c r="C347" s="229"/>
      <c r="D347" s="229"/>
      <c r="E347" s="229"/>
      <c r="F347" s="229"/>
      <c r="G347" s="229"/>
      <c r="H347" s="229"/>
      <c r="I347" s="229"/>
      <c r="J347" s="229"/>
      <c r="K347" s="229"/>
      <c r="L347" s="229"/>
    </row>
    <row r="348" spans="1:12" x14ac:dyDescent="0.2">
      <c r="A348" s="229"/>
      <c r="B348" s="229"/>
      <c r="C348" s="229"/>
      <c r="D348" s="229"/>
      <c r="E348" s="229"/>
      <c r="F348" s="229"/>
      <c r="G348" s="229"/>
      <c r="H348" s="229"/>
      <c r="I348" s="229"/>
      <c r="J348" s="229"/>
      <c r="K348" s="229"/>
      <c r="L348" s="229"/>
    </row>
    <row r="349" spans="1:12" x14ac:dyDescent="0.2">
      <c r="A349" s="229"/>
      <c r="B349" s="229"/>
      <c r="C349" s="229"/>
      <c r="D349" s="229"/>
      <c r="E349" s="229"/>
      <c r="F349" s="229"/>
      <c r="G349" s="229"/>
      <c r="H349" s="229"/>
      <c r="I349" s="229"/>
      <c r="J349" s="229"/>
      <c r="K349" s="229"/>
      <c r="L349" s="229"/>
    </row>
    <row r="350" spans="1:12" x14ac:dyDescent="0.2">
      <c r="A350" s="229"/>
      <c r="B350" s="229"/>
      <c r="C350" s="229"/>
      <c r="D350" s="229"/>
      <c r="E350" s="229"/>
      <c r="F350" s="229"/>
      <c r="G350" s="229"/>
      <c r="H350" s="229"/>
      <c r="I350" s="229"/>
      <c r="J350" s="229"/>
      <c r="K350" s="229"/>
      <c r="L350" s="229"/>
    </row>
    <row r="351" spans="1:12" x14ac:dyDescent="0.2">
      <c r="A351" s="229"/>
      <c r="B351" s="229"/>
      <c r="C351" s="229"/>
      <c r="D351" s="229"/>
      <c r="E351" s="229"/>
      <c r="F351" s="229"/>
      <c r="G351" s="229"/>
      <c r="H351" s="229"/>
      <c r="I351" s="229"/>
      <c r="J351" s="229"/>
      <c r="K351" s="229"/>
      <c r="L351" s="229"/>
    </row>
    <row r="352" spans="1:12" x14ac:dyDescent="0.2">
      <c r="A352" s="229"/>
      <c r="B352" s="229"/>
      <c r="C352" s="229"/>
      <c r="D352" s="229"/>
      <c r="E352" s="229"/>
      <c r="F352" s="229"/>
      <c r="G352" s="229"/>
      <c r="H352" s="229"/>
      <c r="I352" s="229"/>
      <c r="J352" s="229"/>
      <c r="K352" s="229"/>
      <c r="L352" s="229"/>
    </row>
    <row r="353" spans="1:12" x14ac:dyDescent="0.2">
      <c r="A353" s="229"/>
      <c r="B353" s="229"/>
      <c r="C353" s="229"/>
      <c r="D353" s="229"/>
      <c r="E353" s="229"/>
      <c r="F353" s="229"/>
      <c r="G353" s="229"/>
      <c r="H353" s="229"/>
      <c r="I353" s="229"/>
      <c r="J353" s="229"/>
      <c r="K353" s="229"/>
      <c r="L353" s="229"/>
    </row>
    <row r="354" spans="1:12" x14ac:dyDescent="0.2">
      <c r="A354" s="229"/>
      <c r="B354" s="229"/>
      <c r="C354" s="229"/>
      <c r="D354" s="229"/>
      <c r="E354" s="229"/>
      <c r="F354" s="229"/>
      <c r="G354" s="229"/>
      <c r="H354" s="229"/>
      <c r="I354" s="229"/>
      <c r="J354" s="229"/>
      <c r="K354" s="229"/>
      <c r="L354" s="229"/>
    </row>
  </sheetData>
  <sheetProtection sheet="1" objects="1" scenarios="1"/>
  <mergeCells count="55">
    <mergeCell ref="B110:K110"/>
    <mergeCell ref="C120:D120"/>
    <mergeCell ref="B106:K106"/>
    <mergeCell ref="B108:K108"/>
    <mergeCell ref="B6:K6"/>
    <mergeCell ref="B7:K7"/>
    <mergeCell ref="B8:K8"/>
    <mergeCell ref="B10:K10"/>
    <mergeCell ref="B12:K12"/>
    <mergeCell ref="C25:D25"/>
    <mergeCell ref="F23:G23"/>
    <mergeCell ref="B30:K30"/>
    <mergeCell ref="B31:K31"/>
    <mergeCell ref="B33:K33"/>
    <mergeCell ref="B35:K35"/>
    <mergeCell ref="C41:D41"/>
    <mergeCell ref="B48:C48"/>
    <mergeCell ref="G50:H50"/>
    <mergeCell ref="I51:K51"/>
    <mergeCell ref="B52:K52"/>
    <mergeCell ref="B53:K53"/>
    <mergeCell ref="B58:K58"/>
    <mergeCell ref="B55:K55"/>
    <mergeCell ref="B57:K57"/>
    <mergeCell ref="C74:D74"/>
    <mergeCell ref="C77:D77"/>
    <mergeCell ref="C80:D80"/>
    <mergeCell ref="C83:D83"/>
    <mergeCell ref="B85:K85"/>
    <mergeCell ref="B86:K86"/>
    <mergeCell ref="B88:K88"/>
    <mergeCell ref="B90:K90"/>
    <mergeCell ref="C94:D94"/>
    <mergeCell ref="C97:D97"/>
    <mergeCell ref="C100:D100"/>
    <mergeCell ref="B105:K105"/>
    <mergeCell ref="C103:D103"/>
    <mergeCell ref="C136:D136"/>
    <mergeCell ref="C137:D137"/>
    <mergeCell ref="C114:D114"/>
    <mergeCell ref="C117:D117"/>
    <mergeCell ref="B125:K125"/>
    <mergeCell ref="B126:K126"/>
    <mergeCell ref="B128:K128"/>
    <mergeCell ref="B130:K130"/>
    <mergeCell ref="C123:D123"/>
    <mergeCell ref="C133:D133"/>
    <mergeCell ref="H133:I133"/>
    <mergeCell ref="C134:D134"/>
    <mergeCell ref="H134:I134"/>
    <mergeCell ref="B144:K144"/>
    <mergeCell ref="C147:D147"/>
    <mergeCell ref="J147:K147"/>
    <mergeCell ref="C148:D148"/>
    <mergeCell ref="J148:K148"/>
  </mergeCells>
  <pageMargins left="0.7" right="0.7" top="0.75" bottom="0.75" header="0.3" footer="0.3"/>
  <pageSetup scale="71"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40"/>
  <sheetViews>
    <sheetView workbookViewId="0">
      <selection activeCell="N82" sqref="N82"/>
    </sheetView>
  </sheetViews>
  <sheetFormatPr defaultRowHeight="15" x14ac:dyDescent="0.2"/>
  <cols>
    <col min="1" max="1" width="71.21875" customWidth="1"/>
  </cols>
  <sheetData>
    <row r="1" spans="1:1" ht="16.5" x14ac:dyDescent="0.25">
      <c r="A1" s="250" t="s">
        <v>585</v>
      </c>
    </row>
    <row r="3" spans="1:1" ht="31.5" x14ac:dyDescent="0.25">
      <c r="A3" s="251" t="s">
        <v>586</v>
      </c>
    </row>
    <row r="4" spans="1:1" ht="15.75" x14ac:dyDescent="0.25">
      <c r="A4" s="252" t="s">
        <v>587</v>
      </c>
    </row>
    <row r="7" spans="1:1" ht="31.5" x14ac:dyDescent="0.25">
      <c r="A7" s="251" t="s">
        <v>588</v>
      </c>
    </row>
    <row r="8" spans="1:1" ht="15.75" x14ac:dyDescent="0.25">
      <c r="A8" s="252" t="s">
        <v>589</v>
      </c>
    </row>
    <row r="11" spans="1:1" ht="15.75" x14ac:dyDescent="0.25">
      <c r="A11" s="178" t="s">
        <v>590</v>
      </c>
    </row>
    <row r="12" spans="1:1" ht="15.75" x14ac:dyDescent="0.25">
      <c r="A12" s="252" t="s">
        <v>591</v>
      </c>
    </row>
    <row r="15" spans="1:1" ht="15.75" x14ac:dyDescent="0.25">
      <c r="A15" s="178" t="s">
        <v>592</v>
      </c>
    </row>
    <row r="16" spans="1:1" ht="15.75" x14ac:dyDescent="0.25">
      <c r="A16" s="252" t="s">
        <v>593</v>
      </c>
    </row>
    <row r="19" spans="1:1" ht="15.75" x14ac:dyDescent="0.25">
      <c r="A19" s="178" t="s">
        <v>594</v>
      </c>
    </row>
    <row r="20" spans="1:1" ht="15.75" x14ac:dyDescent="0.25">
      <c r="A20" s="252" t="s">
        <v>595</v>
      </c>
    </row>
    <row r="23" spans="1:1" ht="15.75" x14ac:dyDescent="0.25">
      <c r="A23" s="178" t="s">
        <v>596</v>
      </c>
    </row>
    <row r="24" spans="1:1" ht="15.75" x14ac:dyDescent="0.25">
      <c r="A24" s="252" t="s">
        <v>597</v>
      </c>
    </row>
    <row r="27" spans="1:1" ht="15.75" x14ac:dyDescent="0.25">
      <c r="A27" s="178" t="s">
        <v>598</v>
      </c>
    </row>
    <row r="28" spans="1:1" ht="15.75" x14ac:dyDescent="0.25">
      <c r="A28" s="252" t="s">
        <v>599</v>
      </c>
    </row>
    <row r="31" spans="1:1" ht="15.75" x14ac:dyDescent="0.25">
      <c r="A31" s="178" t="s">
        <v>600</v>
      </c>
    </row>
    <row r="32" spans="1:1" ht="15.75" x14ac:dyDescent="0.25">
      <c r="A32" s="252" t="s">
        <v>601</v>
      </c>
    </row>
    <row r="35" spans="1:1" ht="15.75" x14ac:dyDescent="0.25">
      <c r="A35" s="178" t="s">
        <v>602</v>
      </c>
    </row>
    <row r="36" spans="1:1" ht="15.75" x14ac:dyDescent="0.25">
      <c r="A36" s="252" t="s">
        <v>603</v>
      </c>
    </row>
    <row r="39" spans="1:1" ht="15.75" x14ac:dyDescent="0.25">
      <c r="A39" s="178" t="s">
        <v>604</v>
      </c>
    </row>
    <row r="40" spans="1:1" ht="15.75" x14ac:dyDescent="0.25">
      <c r="A40" s="252" t="s">
        <v>605</v>
      </c>
    </row>
  </sheetData>
  <sheetProtection sheet="1" objects="1" scenarios="1"/>
  <hyperlinks>
    <hyperlink ref="A4" r:id="rId1" xr:uid="{00000000-0004-0000-1F00-000000000000}"/>
    <hyperlink ref="A8" r:id="rId2" xr:uid="{00000000-0004-0000-1F00-000001000000}"/>
    <hyperlink ref="A12" r:id="rId3" xr:uid="{00000000-0004-0000-1F00-000002000000}"/>
    <hyperlink ref="A16" r:id="rId4" xr:uid="{00000000-0004-0000-1F00-000003000000}"/>
    <hyperlink ref="A20" r:id="rId5" xr:uid="{00000000-0004-0000-1F00-000004000000}"/>
    <hyperlink ref="A24" r:id="rId6" xr:uid="{00000000-0004-0000-1F00-000005000000}"/>
    <hyperlink ref="A28" r:id="rId7" xr:uid="{00000000-0004-0000-1F00-000006000000}"/>
    <hyperlink ref="A32" r:id="rId8" xr:uid="{00000000-0004-0000-1F00-000007000000}"/>
    <hyperlink ref="A36" r:id="rId9" xr:uid="{00000000-0004-0000-1F00-000008000000}"/>
    <hyperlink ref="A40" r:id="rId10" xr:uid="{00000000-0004-0000-1F00-000009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258"/>
  <sheetViews>
    <sheetView workbookViewId="0">
      <selection activeCell="H22" sqref="H22"/>
    </sheetView>
  </sheetViews>
  <sheetFormatPr defaultColWidth="8.88671875" defaultRowHeight="15.75" x14ac:dyDescent="0.2"/>
  <cols>
    <col min="1" max="1" width="82.88671875" style="3" customWidth="1"/>
    <col min="2" max="16384" width="8.88671875" style="3"/>
  </cols>
  <sheetData>
    <row r="1" spans="1:1" x14ac:dyDescent="0.25">
      <c r="A1" s="491" t="s">
        <v>1050</v>
      </c>
    </row>
    <row r="2" spans="1:1" x14ac:dyDescent="0.2">
      <c r="A2" s="3" t="s">
        <v>1044</v>
      </c>
    </row>
    <row r="3" spans="1:1" x14ac:dyDescent="0.2">
      <c r="A3" s="3" t="s">
        <v>1045</v>
      </c>
    </row>
    <row r="4" spans="1:1" x14ac:dyDescent="0.2">
      <c r="A4" s="3" t="s">
        <v>1046</v>
      </c>
    </row>
    <row r="5" spans="1:1" x14ac:dyDescent="0.2">
      <c r="A5" s="3" t="s">
        <v>1047</v>
      </c>
    </row>
    <row r="6" spans="1:1" x14ac:dyDescent="0.2">
      <c r="A6" s="3" t="s">
        <v>1048</v>
      </c>
    </row>
    <row r="7" spans="1:1" x14ac:dyDescent="0.2">
      <c r="A7" s="3" t="s">
        <v>1049</v>
      </c>
    </row>
    <row r="9" spans="1:1" x14ac:dyDescent="0.25">
      <c r="A9" s="491" t="s">
        <v>1029</v>
      </c>
    </row>
    <row r="10" spans="1:1" x14ac:dyDescent="0.2">
      <c r="A10" s="3" t="s">
        <v>1030</v>
      </c>
    </row>
    <row r="11" spans="1:1" x14ac:dyDescent="0.2">
      <c r="A11" s="3" t="s">
        <v>1031</v>
      </c>
    </row>
    <row r="12" spans="1:1" x14ac:dyDescent="0.2">
      <c r="A12" s="3" t="s">
        <v>1032</v>
      </c>
    </row>
    <row r="13" spans="1:1" x14ac:dyDescent="0.2">
      <c r="A13" s="3" t="s">
        <v>1033</v>
      </c>
    </row>
    <row r="14" spans="1:1" x14ac:dyDescent="0.2">
      <c r="A14" s="3" t="s">
        <v>1034</v>
      </c>
    </row>
    <row r="15" spans="1:1" x14ac:dyDescent="0.2">
      <c r="A15" s="3" t="s">
        <v>1035</v>
      </c>
    </row>
    <row r="16" spans="1:1" x14ac:dyDescent="0.2">
      <c r="A16" s="3" t="s">
        <v>1036</v>
      </c>
    </row>
    <row r="17" spans="1:1" x14ac:dyDescent="0.2">
      <c r="A17" s="3" t="s">
        <v>1037</v>
      </c>
    </row>
    <row r="19" spans="1:1" x14ac:dyDescent="0.25">
      <c r="A19" s="491" t="s">
        <v>976</v>
      </c>
    </row>
    <row r="20" spans="1:1" x14ac:dyDescent="0.2">
      <c r="A20" s="402" t="s">
        <v>978</v>
      </c>
    </row>
    <row r="21" spans="1:1" x14ac:dyDescent="0.2">
      <c r="A21" s="402" t="s">
        <v>977</v>
      </c>
    </row>
    <row r="23" spans="1:1" x14ac:dyDescent="0.25">
      <c r="A23" s="455" t="s">
        <v>974</v>
      </c>
    </row>
    <row r="24" spans="1:1" x14ac:dyDescent="0.25">
      <c r="A24" s="1" t="s">
        <v>975</v>
      </c>
    </row>
    <row r="26" spans="1:1" x14ac:dyDescent="0.25">
      <c r="A26" s="455" t="s">
        <v>972</v>
      </c>
    </row>
    <row r="27" spans="1:1" x14ac:dyDescent="0.25">
      <c r="A27" s="1" t="s">
        <v>967</v>
      </c>
    </row>
    <row r="28" spans="1:1" x14ac:dyDescent="0.25">
      <c r="A28" s="1" t="s">
        <v>968</v>
      </c>
    </row>
    <row r="29" spans="1:1" x14ac:dyDescent="0.25">
      <c r="A29" s="1" t="s">
        <v>969</v>
      </c>
    </row>
    <row r="30" spans="1:1" x14ac:dyDescent="0.25">
      <c r="A30" s="1" t="s">
        <v>970</v>
      </c>
    </row>
    <row r="31" spans="1:1" x14ac:dyDescent="0.25">
      <c r="A31" s="1" t="s">
        <v>971</v>
      </c>
    </row>
    <row r="32" spans="1:1" x14ac:dyDescent="0.25">
      <c r="A32" s="490" t="s">
        <v>973</v>
      </c>
    </row>
    <row r="34" spans="1:1" x14ac:dyDescent="0.2">
      <c r="A34" s="179" t="s">
        <v>964</v>
      </c>
    </row>
    <row r="35" spans="1:1" x14ac:dyDescent="0.2">
      <c r="A35" s="402" t="s">
        <v>966</v>
      </c>
    </row>
    <row r="36" spans="1:1" x14ac:dyDescent="0.2">
      <c r="A36" s="3" t="s">
        <v>965</v>
      </c>
    </row>
    <row r="38" spans="1:1" x14ac:dyDescent="0.2">
      <c r="A38" s="179" t="s">
        <v>962</v>
      </c>
    </row>
    <row r="39" spans="1:1" x14ac:dyDescent="0.2">
      <c r="A39" s="402" t="s">
        <v>961</v>
      </c>
    </row>
    <row r="41" spans="1:1" x14ac:dyDescent="0.2">
      <c r="A41" s="179" t="s">
        <v>938</v>
      </c>
    </row>
    <row r="42" spans="1:1" x14ac:dyDescent="0.2">
      <c r="A42" s="402" t="s">
        <v>937</v>
      </c>
    </row>
    <row r="44" spans="1:1" x14ac:dyDescent="0.2">
      <c r="A44" s="179" t="s">
        <v>935</v>
      </c>
    </row>
    <row r="45" spans="1:1" x14ac:dyDescent="0.2">
      <c r="A45" s="402" t="s">
        <v>936</v>
      </c>
    </row>
    <row r="47" spans="1:1" x14ac:dyDescent="0.2">
      <c r="A47" s="179" t="s">
        <v>912</v>
      </c>
    </row>
    <row r="48" spans="1:1" x14ac:dyDescent="0.2">
      <c r="A48" s="402" t="s">
        <v>913</v>
      </c>
    </row>
    <row r="50" spans="1:1" x14ac:dyDescent="0.2">
      <c r="A50" s="179" t="s">
        <v>914</v>
      </c>
    </row>
    <row r="51" spans="1:1" x14ac:dyDescent="0.2">
      <c r="A51" s="392" t="s">
        <v>903</v>
      </c>
    </row>
    <row r="53" spans="1:1" x14ac:dyDescent="0.2">
      <c r="A53" s="179" t="s">
        <v>915</v>
      </c>
    </row>
    <row r="54" spans="1:1" x14ac:dyDescent="0.2">
      <c r="A54" s="3" t="s">
        <v>902</v>
      </c>
    </row>
    <row r="56" spans="1:1" x14ac:dyDescent="0.2">
      <c r="A56" s="179" t="s">
        <v>916</v>
      </c>
    </row>
    <row r="57" spans="1:1" x14ac:dyDescent="0.2">
      <c r="A57" s="3" t="s">
        <v>901</v>
      </c>
    </row>
    <row r="59" spans="1:1" x14ac:dyDescent="0.2">
      <c r="A59" s="179" t="s">
        <v>917</v>
      </c>
    </row>
    <row r="60" spans="1:1" x14ac:dyDescent="0.2">
      <c r="A60" s="376" t="s">
        <v>900</v>
      </c>
    </row>
    <row r="62" spans="1:1" x14ac:dyDescent="0.2">
      <c r="A62" s="179" t="s">
        <v>918</v>
      </c>
    </row>
    <row r="63" spans="1:1" x14ac:dyDescent="0.2">
      <c r="A63" s="3" t="s">
        <v>899</v>
      </c>
    </row>
    <row r="65" spans="1:1" x14ac:dyDescent="0.2">
      <c r="A65" s="179" t="s">
        <v>919</v>
      </c>
    </row>
    <row r="66" spans="1:1" x14ac:dyDescent="0.2">
      <c r="A66" s="3" t="s">
        <v>898</v>
      </c>
    </row>
    <row r="68" spans="1:1" x14ac:dyDescent="0.2">
      <c r="A68" s="179" t="s">
        <v>920</v>
      </c>
    </row>
    <row r="69" spans="1:1" x14ac:dyDescent="0.2">
      <c r="A69" s="3" t="s">
        <v>896</v>
      </c>
    </row>
    <row r="70" spans="1:1" x14ac:dyDescent="0.2">
      <c r="A70" s="3" t="s">
        <v>897</v>
      </c>
    </row>
    <row r="72" spans="1:1" x14ac:dyDescent="0.2">
      <c r="A72" s="179" t="s">
        <v>921</v>
      </c>
    </row>
    <row r="73" spans="1:1" x14ac:dyDescent="0.2">
      <c r="A73" s="376" t="s">
        <v>823</v>
      </c>
    </row>
    <row r="74" spans="1:1" x14ac:dyDescent="0.2">
      <c r="A74" s="3" t="s">
        <v>824</v>
      </c>
    </row>
    <row r="75" spans="1:1" x14ac:dyDescent="0.2">
      <c r="A75" s="3" t="s">
        <v>825</v>
      </c>
    </row>
    <row r="76" spans="1:1" x14ac:dyDescent="0.2">
      <c r="A76" s="3" t="s">
        <v>826</v>
      </c>
    </row>
    <row r="77" spans="1:1" x14ac:dyDescent="0.2">
      <c r="A77" s="3" t="s">
        <v>827</v>
      </c>
    </row>
    <row r="78" spans="1:1" x14ac:dyDescent="0.2">
      <c r="A78" s="3" t="s">
        <v>828</v>
      </c>
    </row>
    <row r="79" spans="1:1" x14ac:dyDescent="0.2">
      <c r="A79" s="3" t="s">
        <v>829</v>
      </c>
    </row>
    <row r="80" spans="1:1" x14ac:dyDescent="0.2">
      <c r="A80" s="3" t="s">
        <v>830</v>
      </c>
    </row>
    <row r="81" spans="1:1" x14ac:dyDescent="0.2">
      <c r="A81" s="3" t="s">
        <v>831</v>
      </c>
    </row>
    <row r="82" spans="1:1" x14ac:dyDescent="0.2">
      <c r="A82" s="3" t="s">
        <v>832</v>
      </c>
    </row>
    <row r="83" spans="1:1" x14ac:dyDescent="0.2">
      <c r="A83" s="3" t="s">
        <v>833</v>
      </c>
    </row>
    <row r="84" spans="1:1" x14ac:dyDescent="0.2">
      <c r="A84" s="3" t="s">
        <v>834</v>
      </c>
    </row>
    <row r="85" spans="1:1" x14ac:dyDescent="0.2">
      <c r="A85" s="3" t="s">
        <v>835</v>
      </c>
    </row>
    <row r="86" spans="1:1" x14ac:dyDescent="0.2">
      <c r="A86" s="3" t="s">
        <v>836</v>
      </c>
    </row>
    <row r="87" spans="1:1" x14ac:dyDescent="0.2">
      <c r="A87" s="3" t="s">
        <v>837</v>
      </c>
    </row>
    <row r="88" spans="1:1" x14ac:dyDescent="0.2">
      <c r="A88" s="3" t="s">
        <v>838</v>
      </c>
    </row>
    <row r="89" spans="1:1" ht="47.25" x14ac:dyDescent="0.2">
      <c r="A89" s="5" t="s">
        <v>839</v>
      </c>
    </row>
    <row r="90" spans="1:1" x14ac:dyDescent="0.2">
      <c r="A90" s="4" t="s">
        <v>840</v>
      </c>
    </row>
    <row r="91" spans="1:1" ht="31.5" x14ac:dyDescent="0.2">
      <c r="A91" s="5" t="s">
        <v>841</v>
      </c>
    </row>
    <row r="92" spans="1:1" x14ac:dyDescent="0.2">
      <c r="A92" s="3" t="s">
        <v>842</v>
      </c>
    </row>
    <row r="93" spans="1:1" x14ac:dyDescent="0.2">
      <c r="A93" s="3" t="s">
        <v>843</v>
      </c>
    </row>
    <row r="94" spans="1:1" x14ac:dyDescent="0.2">
      <c r="A94" s="3" t="s">
        <v>844</v>
      </c>
    </row>
    <row r="95" spans="1:1" x14ac:dyDescent="0.2">
      <c r="A95" s="3" t="s">
        <v>845</v>
      </c>
    </row>
    <row r="96" spans="1:1" x14ac:dyDescent="0.2">
      <c r="A96" s="3" t="s">
        <v>846</v>
      </c>
    </row>
    <row r="97" spans="1:1" x14ac:dyDescent="0.2">
      <c r="A97" s="3" t="s">
        <v>847</v>
      </c>
    </row>
    <row r="98" spans="1:1" x14ac:dyDescent="0.2">
      <c r="A98" s="3" t="s">
        <v>848</v>
      </c>
    </row>
    <row r="99" spans="1:1" x14ac:dyDescent="0.2">
      <c r="A99" s="3" t="s">
        <v>849</v>
      </c>
    </row>
    <row r="100" spans="1:1" x14ac:dyDescent="0.2">
      <c r="A100" s="3" t="s">
        <v>850</v>
      </c>
    </row>
    <row r="101" spans="1:1" x14ac:dyDescent="0.2">
      <c r="A101" s="3" t="s">
        <v>851</v>
      </c>
    </row>
    <row r="102" spans="1:1" x14ac:dyDescent="0.2">
      <c r="A102" s="3" t="s">
        <v>852</v>
      </c>
    </row>
    <row r="103" spans="1:1" x14ac:dyDescent="0.2">
      <c r="A103" s="3" t="s">
        <v>853</v>
      </c>
    </row>
    <row r="104" spans="1:1" x14ac:dyDescent="0.2">
      <c r="A104" s="3" t="s">
        <v>854</v>
      </c>
    </row>
    <row r="105" spans="1:1" x14ac:dyDescent="0.2">
      <c r="A105" s="3" t="s">
        <v>855</v>
      </c>
    </row>
    <row r="106" spans="1:1" x14ac:dyDescent="0.2">
      <c r="A106" s="3" t="s">
        <v>856</v>
      </c>
    </row>
    <row r="107" spans="1:1" x14ac:dyDescent="0.2">
      <c r="A107" s="3" t="s">
        <v>857</v>
      </c>
    </row>
    <row r="109" spans="1:1" x14ac:dyDescent="0.2">
      <c r="A109" s="179" t="s">
        <v>922</v>
      </c>
    </row>
    <row r="110" spans="1:1" x14ac:dyDescent="0.2">
      <c r="A110" s="3" t="s">
        <v>733</v>
      </c>
    </row>
    <row r="111" spans="1:1" x14ac:dyDescent="0.2">
      <c r="A111" s="3" t="s">
        <v>734</v>
      </c>
    </row>
    <row r="113" spans="1:1" x14ac:dyDescent="0.2">
      <c r="A113" s="179" t="s">
        <v>923</v>
      </c>
    </row>
    <row r="114" spans="1:1" x14ac:dyDescent="0.2">
      <c r="A114" s="3" t="s">
        <v>732</v>
      </c>
    </row>
    <row r="116" spans="1:1" x14ac:dyDescent="0.2">
      <c r="A116" s="179" t="s">
        <v>924</v>
      </c>
    </row>
    <row r="117" spans="1:1" x14ac:dyDescent="0.2">
      <c r="A117" s="3" t="s">
        <v>731</v>
      </c>
    </row>
    <row r="119" spans="1:1" x14ac:dyDescent="0.2">
      <c r="A119" s="179" t="s">
        <v>925</v>
      </c>
    </row>
    <row r="120" spans="1:1" x14ac:dyDescent="0.2">
      <c r="A120" s="181" t="s">
        <v>730</v>
      </c>
    </row>
    <row r="122" spans="1:1" x14ac:dyDescent="0.2">
      <c r="A122" s="179" t="s">
        <v>926</v>
      </c>
    </row>
    <row r="123" spans="1:1" x14ac:dyDescent="0.2">
      <c r="A123" s="181" t="s">
        <v>580</v>
      </c>
    </row>
    <row r="124" spans="1:1" x14ac:dyDescent="0.2">
      <c r="A124" s="181" t="s">
        <v>581</v>
      </c>
    </row>
    <row r="125" spans="1:1" ht="31.5" x14ac:dyDescent="0.2">
      <c r="A125" s="180" t="s">
        <v>582</v>
      </c>
    </row>
    <row r="126" spans="1:1" x14ac:dyDescent="0.2">
      <c r="A126" s="181" t="s">
        <v>694</v>
      </c>
    </row>
    <row r="127" spans="1:1" x14ac:dyDescent="0.2">
      <c r="A127" s="181" t="s">
        <v>695</v>
      </c>
    </row>
    <row r="128" spans="1:1" x14ac:dyDescent="0.2">
      <c r="A128" s="181" t="s">
        <v>696</v>
      </c>
    </row>
    <row r="129" spans="1:1" x14ac:dyDescent="0.2">
      <c r="A129" s="181" t="s">
        <v>697</v>
      </c>
    </row>
    <row r="130" spans="1:1" x14ac:dyDescent="0.2">
      <c r="A130" s="181" t="s">
        <v>698</v>
      </c>
    </row>
    <row r="131" spans="1:1" x14ac:dyDescent="0.2">
      <c r="A131" s="181" t="s">
        <v>699</v>
      </c>
    </row>
    <row r="132" spans="1:1" x14ac:dyDescent="0.2">
      <c r="A132" s="181" t="s">
        <v>700</v>
      </c>
    </row>
    <row r="133" spans="1:1" x14ac:dyDescent="0.2">
      <c r="A133" s="181" t="s">
        <v>701</v>
      </c>
    </row>
    <row r="134" spans="1:1" x14ac:dyDescent="0.2">
      <c r="A134" s="181" t="s">
        <v>702</v>
      </c>
    </row>
    <row r="135" spans="1:1" x14ac:dyDescent="0.2">
      <c r="A135" s="181" t="s">
        <v>703</v>
      </c>
    </row>
    <row r="136" spans="1:1" x14ac:dyDescent="0.2">
      <c r="A136" s="181" t="s">
        <v>704</v>
      </c>
    </row>
    <row r="137" spans="1:1" x14ac:dyDescent="0.2">
      <c r="A137" s="181" t="s">
        <v>705</v>
      </c>
    </row>
    <row r="138" spans="1:1" x14ac:dyDescent="0.2">
      <c r="A138" s="181" t="s">
        <v>706</v>
      </c>
    </row>
    <row r="139" spans="1:1" x14ac:dyDescent="0.2">
      <c r="A139" s="181" t="s">
        <v>707</v>
      </c>
    </row>
    <row r="140" spans="1:1" x14ac:dyDescent="0.2">
      <c r="A140" s="181" t="s">
        <v>708</v>
      </c>
    </row>
    <row r="141" spans="1:1" x14ac:dyDescent="0.2">
      <c r="A141" s="181" t="s">
        <v>709</v>
      </c>
    </row>
    <row r="142" spans="1:1" x14ac:dyDescent="0.2">
      <c r="A142" s="181" t="s">
        <v>710</v>
      </c>
    </row>
    <row r="143" spans="1:1" x14ac:dyDescent="0.2">
      <c r="A143" s="181" t="s">
        <v>711</v>
      </c>
    </row>
    <row r="144" spans="1:1" x14ac:dyDescent="0.2">
      <c r="A144" s="181" t="s">
        <v>712</v>
      </c>
    </row>
    <row r="145" spans="1:1" x14ac:dyDescent="0.2">
      <c r="A145" s="181" t="s">
        <v>713</v>
      </c>
    </row>
    <row r="146" spans="1:1" x14ac:dyDescent="0.2">
      <c r="A146" s="181" t="s">
        <v>714</v>
      </c>
    </row>
    <row r="147" spans="1:1" x14ac:dyDescent="0.2">
      <c r="A147" s="181" t="s">
        <v>715</v>
      </c>
    </row>
    <row r="148" spans="1:1" x14ac:dyDescent="0.2">
      <c r="A148" s="181" t="s">
        <v>716</v>
      </c>
    </row>
    <row r="149" spans="1:1" x14ac:dyDescent="0.2">
      <c r="A149" s="181" t="s">
        <v>717</v>
      </c>
    </row>
    <row r="150" spans="1:1" x14ac:dyDescent="0.2">
      <c r="A150" s="181" t="s">
        <v>718</v>
      </c>
    </row>
    <row r="152" spans="1:1" x14ac:dyDescent="0.2">
      <c r="A152" s="151" t="s">
        <v>927</v>
      </c>
    </row>
    <row r="153" spans="1:1" x14ac:dyDescent="0.2">
      <c r="A153" s="3" t="s">
        <v>566</v>
      </c>
    </row>
    <row r="154" spans="1:1" x14ac:dyDescent="0.2">
      <c r="A154" s="3" t="s">
        <v>567</v>
      </c>
    </row>
    <row r="155" spans="1:1" x14ac:dyDescent="0.2">
      <c r="A155" s="3" t="s">
        <v>568</v>
      </c>
    </row>
    <row r="157" spans="1:1" x14ac:dyDescent="0.2">
      <c r="A157" s="151" t="s">
        <v>928</v>
      </c>
    </row>
    <row r="158" spans="1:1" x14ac:dyDescent="0.2">
      <c r="A158" s="3" t="s">
        <v>565</v>
      </c>
    </row>
    <row r="160" spans="1:1" x14ac:dyDescent="0.2">
      <c r="A160" s="151" t="s">
        <v>929</v>
      </c>
    </row>
    <row r="161" spans="1:1" x14ac:dyDescent="0.2">
      <c r="A161" s="149" t="s">
        <v>547</v>
      </c>
    </row>
    <row r="162" spans="1:1" x14ac:dyDescent="0.2">
      <c r="A162" s="149" t="s">
        <v>548</v>
      </c>
    </row>
    <row r="163" spans="1:1" x14ac:dyDescent="0.2">
      <c r="A163" s="149" t="s">
        <v>549</v>
      </c>
    </row>
    <row r="165" spans="1:1" x14ac:dyDescent="0.2">
      <c r="A165" s="131" t="s">
        <v>930</v>
      </c>
    </row>
    <row r="166" spans="1:1" x14ac:dyDescent="0.2">
      <c r="A166" s="138" t="s">
        <v>322</v>
      </c>
    </row>
    <row r="167" spans="1:1" x14ac:dyDescent="0.2">
      <c r="A167" s="137" t="s">
        <v>323</v>
      </c>
    </row>
    <row r="168" spans="1:1" x14ac:dyDescent="0.2">
      <c r="A168" s="137" t="s">
        <v>324</v>
      </c>
    </row>
    <row r="169" spans="1:1" ht="15.75" customHeight="1" x14ac:dyDescent="0.2">
      <c r="A169" s="401" t="s">
        <v>325</v>
      </c>
    </row>
    <row r="170" spans="1:1" x14ac:dyDescent="0.2">
      <c r="A170" s="137" t="s">
        <v>326</v>
      </c>
    </row>
    <row r="171" spans="1:1" x14ac:dyDescent="0.2">
      <c r="A171" s="137" t="s">
        <v>327</v>
      </c>
    </row>
    <row r="172" spans="1:1" x14ac:dyDescent="0.2">
      <c r="A172" s="137" t="s">
        <v>328</v>
      </c>
    </row>
    <row r="173" spans="1:1" x14ac:dyDescent="0.2">
      <c r="A173" s="137" t="s">
        <v>329</v>
      </c>
    </row>
    <row r="174" spans="1:1" x14ac:dyDescent="0.2">
      <c r="A174" s="3" t="s">
        <v>330</v>
      </c>
    </row>
    <row r="176" spans="1:1" x14ac:dyDescent="0.2">
      <c r="A176" s="131" t="s">
        <v>931</v>
      </c>
    </row>
    <row r="177" spans="1:1" x14ac:dyDescent="0.2">
      <c r="A177" s="3" t="s">
        <v>295</v>
      </c>
    </row>
    <row r="178" spans="1:1" x14ac:dyDescent="0.2">
      <c r="A178" s="3" t="s">
        <v>296</v>
      </c>
    </row>
    <row r="179" spans="1:1" x14ac:dyDescent="0.2">
      <c r="A179" s="3" t="s">
        <v>297</v>
      </c>
    </row>
    <row r="180" spans="1:1" x14ac:dyDescent="0.2">
      <c r="A180" s="3" t="s">
        <v>298</v>
      </c>
    </row>
    <row r="182" spans="1:1" x14ac:dyDescent="0.2">
      <c r="A182" s="131" t="s">
        <v>292</v>
      </c>
    </row>
    <row r="183" spans="1:1" x14ac:dyDescent="0.2">
      <c r="A183" s="3" t="s">
        <v>293</v>
      </c>
    </row>
    <row r="184" spans="1:1" x14ac:dyDescent="0.2">
      <c r="A184" s="3" t="s">
        <v>294</v>
      </c>
    </row>
    <row r="186" spans="1:1" x14ac:dyDescent="0.2">
      <c r="A186" s="131" t="s">
        <v>274</v>
      </c>
    </row>
    <row r="187" spans="1:1" x14ac:dyDescent="0.2">
      <c r="A187" s="3" t="s">
        <v>262</v>
      </c>
    </row>
    <row r="188" spans="1:1" x14ac:dyDescent="0.2">
      <c r="A188" s="3" t="s">
        <v>263</v>
      </c>
    </row>
    <row r="189" spans="1:1" x14ac:dyDescent="0.2">
      <c r="A189" s="3" t="s">
        <v>264</v>
      </c>
    </row>
    <row r="190" spans="1:1" x14ac:dyDescent="0.2">
      <c r="A190" s="3" t="s">
        <v>259</v>
      </c>
    </row>
    <row r="191" spans="1:1" x14ac:dyDescent="0.2">
      <c r="A191" s="3" t="s">
        <v>265</v>
      </c>
    </row>
    <row r="192" spans="1:1" x14ac:dyDescent="0.2">
      <c r="A192" s="3" t="s">
        <v>266</v>
      </c>
    </row>
    <row r="193" spans="1:1" ht="31.5" x14ac:dyDescent="0.2">
      <c r="A193" s="5" t="s">
        <v>267</v>
      </c>
    </row>
    <row r="194" spans="1:1" ht="31.5" x14ac:dyDescent="0.2">
      <c r="A194" s="5" t="s">
        <v>268</v>
      </c>
    </row>
    <row r="195" spans="1:1" x14ac:dyDescent="0.2">
      <c r="A195" s="5" t="s">
        <v>275</v>
      </c>
    </row>
    <row r="196" spans="1:1" x14ac:dyDescent="0.2">
      <c r="A196" s="5" t="s">
        <v>269</v>
      </c>
    </row>
    <row r="197" spans="1:1" ht="31.5" x14ac:dyDescent="0.2">
      <c r="A197" s="5" t="s">
        <v>270</v>
      </c>
    </row>
    <row r="198" spans="1:1" x14ac:dyDescent="0.2">
      <c r="A198" s="3" t="s">
        <v>271</v>
      </c>
    </row>
    <row r="199" spans="1:1" ht="31.5" x14ac:dyDescent="0.2">
      <c r="A199" s="5" t="s">
        <v>276</v>
      </c>
    </row>
    <row r="200" spans="1:1" x14ac:dyDescent="0.2">
      <c r="A200" s="3" t="s">
        <v>158</v>
      </c>
    </row>
    <row r="201" spans="1:1" x14ac:dyDescent="0.2">
      <c r="A201" s="3" t="s">
        <v>272</v>
      </c>
    </row>
    <row r="202" spans="1:1" ht="35.25" customHeight="1" x14ac:dyDescent="0.2">
      <c r="A202" s="3" t="s">
        <v>273</v>
      </c>
    </row>
    <row r="203" spans="1:1" ht="20.25" customHeight="1" x14ac:dyDescent="0.2">
      <c r="A203" s="5" t="s">
        <v>157</v>
      </c>
    </row>
    <row r="204" spans="1:1" x14ac:dyDescent="0.2">
      <c r="A204" s="3" t="s">
        <v>159</v>
      </c>
    </row>
    <row r="205" spans="1:1" ht="31.5" x14ac:dyDescent="0.2">
      <c r="A205" s="5" t="s">
        <v>155</v>
      </c>
    </row>
    <row r="206" spans="1:1" x14ac:dyDescent="0.2">
      <c r="A206" s="3" t="s">
        <v>156</v>
      </c>
    </row>
    <row r="208" spans="1:1" x14ac:dyDescent="0.2">
      <c r="A208" s="131" t="s">
        <v>277</v>
      </c>
    </row>
    <row r="209" spans="1:1" x14ac:dyDescent="0.2">
      <c r="A209" s="3" t="s">
        <v>278</v>
      </c>
    </row>
    <row r="210" spans="1:1" x14ac:dyDescent="0.2">
      <c r="A210" s="3" t="s">
        <v>279</v>
      </c>
    </row>
    <row r="211" spans="1:1" x14ac:dyDescent="0.2">
      <c r="A211" s="3" t="s">
        <v>280</v>
      </c>
    </row>
    <row r="212" spans="1:1" x14ac:dyDescent="0.2">
      <c r="A212" s="3" t="s">
        <v>281</v>
      </c>
    </row>
    <row r="214" spans="1:1" x14ac:dyDescent="0.2">
      <c r="A214" s="131" t="s">
        <v>256</v>
      </c>
    </row>
    <row r="215" spans="1:1" x14ac:dyDescent="0.2">
      <c r="A215" s="3" t="s">
        <v>257</v>
      </c>
    </row>
    <row r="217" spans="1:1" x14ac:dyDescent="0.2">
      <c r="A217" s="131" t="s">
        <v>251</v>
      </c>
    </row>
    <row r="218" spans="1:1" ht="31.5" x14ac:dyDescent="0.2">
      <c r="A218" s="5" t="s">
        <v>252</v>
      </c>
    </row>
    <row r="219" spans="1:1" x14ac:dyDescent="0.2">
      <c r="A219" s="3" t="s">
        <v>253</v>
      </c>
    </row>
    <row r="220" spans="1:1" x14ac:dyDescent="0.2">
      <c r="A220" s="3" t="s">
        <v>255</v>
      </c>
    </row>
    <row r="221" spans="1:1" x14ac:dyDescent="0.2">
      <c r="A221" s="3" t="s">
        <v>254</v>
      </c>
    </row>
    <row r="222" spans="1:1" ht="18" customHeight="1" x14ac:dyDescent="0.2"/>
    <row r="223" spans="1:1" ht="48.75" customHeight="1" x14ac:dyDescent="0.2">
      <c r="A223" s="3" t="s">
        <v>186</v>
      </c>
    </row>
    <row r="224" spans="1:1" ht="47.25" x14ac:dyDescent="0.2">
      <c r="A224" s="5" t="s">
        <v>211</v>
      </c>
    </row>
    <row r="225" spans="1:1" x14ac:dyDescent="0.2">
      <c r="A225" s="3" t="s">
        <v>187</v>
      </c>
    </row>
    <row r="226" spans="1:1" x14ac:dyDescent="0.2">
      <c r="A226" s="3" t="s">
        <v>188</v>
      </c>
    </row>
    <row r="227" spans="1:1" x14ac:dyDescent="0.2">
      <c r="A227" s="3" t="s">
        <v>212</v>
      </c>
    </row>
    <row r="228" spans="1:1" x14ac:dyDescent="0.2">
      <c r="A228" s="3" t="s">
        <v>189</v>
      </c>
    </row>
    <row r="229" spans="1:1" x14ac:dyDescent="0.2">
      <c r="A229" s="3" t="s">
        <v>190</v>
      </c>
    </row>
    <row r="230" spans="1:1" x14ac:dyDescent="0.2">
      <c r="A230" s="3" t="s">
        <v>221</v>
      </c>
    </row>
    <row r="231" spans="1:1" x14ac:dyDescent="0.2">
      <c r="A231" s="3" t="s">
        <v>191</v>
      </c>
    </row>
    <row r="232" spans="1:1" x14ac:dyDescent="0.2">
      <c r="A232" s="3" t="s">
        <v>192</v>
      </c>
    </row>
    <row r="233" spans="1:1" ht="31.5" x14ac:dyDescent="0.2">
      <c r="A233" s="5" t="s">
        <v>193</v>
      </c>
    </row>
    <row r="234" spans="1:1" ht="31.5" x14ac:dyDescent="0.2">
      <c r="A234" s="5" t="s">
        <v>283</v>
      </c>
    </row>
    <row r="235" spans="1:1" x14ac:dyDescent="0.2">
      <c r="A235" s="3" t="s">
        <v>194</v>
      </c>
    </row>
    <row r="236" spans="1:1" x14ac:dyDescent="0.2">
      <c r="A236" s="3" t="s">
        <v>195</v>
      </c>
    </row>
    <row r="237" spans="1:1" x14ac:dyDescent="0.2">
      <c r="A237" s="3" t="s">
        <v>213</v>
      </c>
    </row>
    <row r="238" spans="1:1" x14ac:dyDescent="0.2">
      <c r="A238" s="3" t="s">
        <v>196</v>
      </c>
    </row>
    <row r="239" spans="1:1" x14ac:dyDescent="0.2">
      <c r="A239" s="3" t="s">
        <v>214</v>
      </c>
    </row>
    <row r="240" spans="1:1" ht="31.5" x14ac:dyDescent="0.2">
      <c r="A240" s="5" t="s">
        <v>215</v>
      </c>
    </row>
    <row r="241" spans="1:1" x14ac:dyDescent="0.2">
      <c r="A241" s="3" t="s">
        <v>202</v>
      </c>
    </row>
    <row r="242" spans="1:1" x14ac:dyDescent="0.2">
      <c r="A242" s="3" t="s">
        <v>203</v>
      </c>
    </row>
    <row r="243" spans="1:1" ht="31.5" x14ac:dyDescent="0.2">
      <c r="A243" s="5" t="s">
        <v>204</v>
      </c>
    </row>
    <row r="244" spans="1:1" x14ac:dyDescent="0.2">
      <c r="A244" s="3" t="s">
        <v>237</v>
      </c>
    </row>
    <row r="245" spans="1:1" x14ac:dyDescent="0.2">
      <c r="A245" s="3" t="s">
        <v>236</v>
      </c>
    </row>
    <row r="246" spans="1:1" x14ac:dyDescent="0.2">
      <c r="A246" s="3" t="s">
        <v>238</v>
      </c>
    </row>
    <row r="247" spans="1:1" x14ac:dyDescent="0.2">
      <c r="A247" s="3" t="s">
        <v>239</v>
      </c>
    </row>
    <row r="248" spans="1:1" x14ac:dyDescent="0.2">
      <c r="A248" s="3" t="s">
        <v>240</v>
      </c>
    </row>
    <row r="249" spans="1:1" x14ac:dyDescent="0.2">
      <c r="A249" s="3" t="s">
        <v>241</v>
      </c>
    </row>
    <row r="250" spans="1:1" x14ac:dyDescent="0.2">
      <c r="A250" s="3" t="s">
        <v>242</v>
      </c>
    </row>
    <row r="251" spans="1:1" x14ac:dyDescent="0.2">
      <c r="A251" s="3" t="s">
        <v>243</v>
      </c>
    </row>
    <row r="252" spans="1:1" x14ac:dyDescent="0.2">
      <c r="A252" s="3" t="s">
        <v>244</v>
      </c>
    </row>
    <row r="253" spans="1:1" x14ac:dyDescent="0.2">
      <c r="A253" s="3" t="s">
        <v>245</v>
      </c>
    </row>
    <row r="254" spans="1:1" x14ac:dyDescent="0.2">
      <c r="A254" s="3" t="s">
        <v>246</v>
      </c>
    </row>
    <row r="255" spans="1:1" x14ac:dyDescent="0.2">
      <c r="A255" s="3" t="s">
        <v>247</v>
      </c>
    </row>
    <row r="256" spans="1:1" x14ac:dyDescent="0.2">
      <c r="A256" s="3" t="s">
        <v>248</v>
      </c>
    </row>
    <row r="257" spans="1:1" x14ac:dyDescent="0.2">
      <c r="A257" s="3" t="s">
        <v>250</v>
      </c>
    </row>
    <row r="258" spans="1:1" x14ac:dyDescent="0.2">
      <c r="A258" s="3" t="s">
        <v>249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7"/>
  <sheetViews>
    <sheetView workbookViewId="0">
      <selection activeCell="B15" sqref="B15"/>
    </sheetView>
  </sheetViews>
  <sheetFormatPr defaultColWidth="8.88671875" defaultRowHeight="15" x14ac:dyDescent="0.2"/>
  <cols>
    <col min="1" max="1" width="13.77734375" style="350" customWidth="1"/>
    <col min="2" max="2" width="16.109375" style="350" customWidth="1"/>
    <col min="3" max="16384" width="8.88671875" style="350"/>
  </cols>
  <sheetData>
    <row r="1" spans="1:10" x14ac:dyDescent="0.2">
      <c r="J1" s="349" t="s">
        <v>802</v>
      </c>
    </row>
    <row r="2" spans="1:10" ht="54" customHeight="1" x14ac:dyDescent="0.2">
      <c r="A2" s="1039" t="s">
        <v>331</v>
      </c>
      <c r="B2" s="1040"/>
      <c r="C2" s="1040"/>
      <c r="D2" s="1040"/>
      <c r="E2" s="1040"/>
      <c r="F2" s="1040"/>
      <c r="J2" s="349" t="s">
        <v>803</v>
      </c>
    </row>
    <row r="3" spans="1:10" ht="15.75" x14ac:dyDescent="0.25">
      <c r="A3" s="348" t="s">
        <v>804</v>
      </c>
      <c r="B3" s="393" t="s">
        <v>1069</v>
      </c>
      <c r="C3" s="394"/>
      <c r="J3" s="349" t="s">
        <v>805</v>
      </c>
    </row>
    <row r="4" spans="1:10" ht="15.75" x14ac:dyDescent="0.25">
      <c r="A4" s="348"/>
      <c r="B4" s="366"/>
      <c r="J4" s="349" t="s">
        <v>806</v>
      </c>
    </row>
    <row r="5" spans="1:10" ht="15.75" x14ac:dyDescent="0.25">
      <c r="A5" s="348" t="s">
        <v>575</v>
      </c>
      <c r="B5" s="395" t="s">
        <v>1070</v>
      </c>
      <c r="J5" s="349" t="s">
        <v>807</v>
      </c>
    </row>
    <row r="6" spans="1:10" ht="15.75" x14ac:dyDescent="0.25">
      <c r="A6" s="354"/>
      <c r="B6" s="354"/>
      <c r="C6" s="354"/>
      <c r="D6" s="360" t="s">
        <v>808</v>
      </c>
      <c r="E6" s="354"/>
      <c r="F6" s="354"/>
      <c r="J6" s="349" t="s">
        <v>809</v>
      </c>
    </row>
    <row r="7" spans="1:10" ht="15.75" x14ac:dyDescent="0.25">
      <c r="A7" s="360" t="s">
        <v>332</v>
      </c>
      <c r="B7" s="395"/>
      <c r="C7" s="355"/>
      <c r="D7" s="347" t="str">
        <f>IF(B7="","",CONCATENATE("Latest date for notice to be published in your newspaper: ",G18," ",G22,", ",G23))</f>
        <v/>
      </c>
      <c r="E7" s="354"/>
      <c r="F7" s="354"/>
      <c r="J7" s="349" t="s">
        <v>810</v>
      </c>
    </row>
    <row r="8" spans="1:10" ht="15.75" x14ac:dyDescent="0.25">
      <c r="A8" s="360"/>
      <c r="B8" s="356"/>
      <c r="C8" s="357"/>
      <c r="D8" s="360"/>
      <c r="E8" s="354"/>
      <c r="F8" s="354"/>
      <c r="J8" s="349" t="s">
        <v>811</v>
      </c>
    </row>
    <row r="9" spans="1:10" ht="15.75" x14ac:dyDescent="0.25">
      <c r="A9" s="360" t="s">
        <v>333</v>
      </c>
      <c r="B9" s="395"/>
      <c r="C9" s="358"/>
      <c r="D9" s="360"/>
      <c r="E9" s="354"/>
      <c r="F9" s="354"/>
      <c r="J9" s="349" t="s">
        <v>812</v>
      </c>
    </row>
    <row r="10" spans="1:10" ht="15.75" x14ac:dyDescent="0.25">
      <c r="A10" s="360"/>
      <c r="B10" s="360"/>
      <c r="C10" s="360"/>
      <c r="D10" s="360"/>
      <c r="E10" s="354"/>
      <c r="F10" s="354"/>
      <c r="J10" s="349" t="s">
        <v>813</v>
      </c>
    </row>
    <row r="11" spans="1:10" ht="15.75" x14ac:dyDescent="0.25">
      <c r="A11" s="360" t="s">
        <v>334</v>
      </c>
      <c r="B11" s="396" t="s">
        <v>1071</v>
      </c>
      <c r="C11" s="397"/>
      <c r="D11" s="397"/>
      <c r="E11" s="398"/>
      <c r="F11" s="354"/>
      <c r="J11" s="349" t="s">
        <v>814</v>
      </c>
    </row>
    <row r="12" spans="1:10" ht="15.75" x14ac:dyDescent="0.25">
      <c r="A12" s="360"/>
      <c r="B12" s="360"/>
      <c r="C12" s="360"/>
      <c r="D12" s="360"/>
      <c r="E12" s="354"/>
      <c r="F12" s="354"/>
      <c r="J12" s="349" t="s">
        <v>815</v>
      </c>
    </row>
    <row r="13" spans="1:10" ht="15.75" x14ac:dyDescent="0.25">
      <c r="A13" s="360"/>
      <c r="B13" s="360"/>
      <c r="C13" s="360"/>
      <c r="D13" s="360"/>
      <c r="E13" s="354"/>
      <c r="F13" s="354"/>
    </row>
    <row r="14" spans="1:10" ht="15.75" x14ac:dyDescent="0.25">
      <c r="A14" s="360" t="s">
        <v>335</v>
      </c>
      <c r="B14" s="396" t="s">
        <v>1072</v>
      </c>
      <c r="C14" s="397"/>
      <c r="D14" s="397"/>
      <c r="E14" s="398"/>
      <c r="F14" s="354"/>
    </row>
    <row r="17" spans="1:7" ht="15.75" x14ac:dyDescent="0.25">
      <c r="A17" s="1041" t="s">
        <v>336</v>
      </c>
      <c r="B17" s="1041"/>
      <c r="C17" s="360"/>
      <c r="D17" s="360"/>
      <c r="E17" s="360"/>
      <c r="F17" s="354"/>
    </row>
    <row r="18" spans="1:7" ht="15.75" x14ac:dyDescent="0.25">
      <c r="A18" s="360"/>
      <c r="B18" s="360"/>
      <c r="C18" s="360"/>
      <c r="D18" s="360"/>
      <c r="E18" s="360"/>
      <c r="F18" s="354"/>
      <c r="G18" s="349" t="str">
        <f ca="1">IF(B7="","",INDIRECT(G19))</f>
        <v/>
      </c>
    </row>
    <row r="19" spans="1:7" ht="15.75" x14ac:dyDescent="0.25">
      <c r="A19" s="360" t="s">
        <v>575</v>
      </c>
      <c r="B19" s="360" t="s">
        <v>579</v>
      </c>
      <c r="C19" s="360"/>
      <c r="D19" s="360"/>
      <c r="E19" s="360"/>
      <c r="F19" s="354"/>
      <c r="G19" s="361" t="str">
        <f>IF(B7="","",CONCATENATE("J",G21))</f>
        <v/>
      </c>
    </row>
    <row r="20" spans="1:7" ht="15.75" x14ac:dyDescent="0.25">
      <c r="A20" s="360"/>
      <c r="B20" s="360"/>
      <c r="C20" s="360"/>
      <c r="D20" s="360"/>
      <c r="E20" s="360"/>
      <c r="F20" s="354"/>
      <c r="G20" s="362">
        <f>B7-10</f>
        <v>-10</v>
      </c>
    </row>
    <row r="21" spans="1:7" ht="15.75" x14ac:dyDescent="0.2">
      <c r="A21" s="360" t="s">
        <v>332</v>
      </c>
      <c r="B21" s="356" t="s">
        <v>337</v>
      </c>
      <c r="C21" s="360"/>
      <c r="D21" s="360"/>
      <c r="E21" s="360"/>
      <c r="G21" s="363" t="str">
        <f>IF(B7="","",MONTH(G20))</f>
        <v/>
      </c>
    </row>
    <row r="22" spans="1:7" ht="15.75" x14ac:dyDescent="0.2">
      <c r="A22" s="360"/>
      <c r="B22" s="360"/>
      <c r="C22" s="360"/>
      <c r="D22" s="360"/>
      <c r="E22" s="360"/>
      <c r="G22" s="364" t="str">
        <f>IF(B7="","",DAY(G20))</f>
        <v/>
      </c>
    </row>
    <row r="23" spans="1:7" ht="15.75" x14ac:dyDescent="0.2">
      <c r="A23" s="360" t="s">
        <v>333</v>
      </c>
      <c r="B23" s="360" t="s">
        <v>338</v>
      </c>
      <c r="C23" s="360"/>
      <c r="D23" s="360"/>
      <c r="E23" s="360"/>
      <c r="G23" s="365" t="str">
        <f>IF(B7="","",YEAR(G20))</f>
        <v/>
      </c>
    </row>
    <row r="24" spans="1:7" ht="15.75" x14ac:dyDescent="0.2">
      <c r="A24" s="360"/>
      <c r="B24" s="360"/>
      <c r="C24" s="360"/>
      <c r="D24" s="360"/>
      <c r="E24" s="360"/>
    </row>
    <row r="25" spans="1:7" ht="15.75" x14ac:dyDescent="0.2">
      <c r="A25" s="360" t="s">
        <v>334</v>
      </c>
      <c r="B25" s="360" t="s">
        <v>339</v>
      </c>
      <c r="C25" s="360"/>
      <c r="D25" s="360"/>
      <c r="E25" s="360"/>
    </row>
    <row r="26" spans="1:7" ht="15.75" x14ac:dyDescent="0.2">
      <c r="A26" s="360"/>
      <c r="B26" s="360"/>
      <c r="C26" s="360"/>
      <c r="D26" s="360"/>
      <c r="E26" s="360"/>
    </row>
    <row r="27" spans="1:7" ht="15.75" x14ac:dyDescent="0.2">
      <c r="A27" s="360" t="s">
        <v>335</v>
      </c>
      <c r="B27" s="360" t="s">
        <v>339</v>
      </c>
      <c r="C27" s="360"/>
      <c r="D27" s="360"/>
      <c r="E27" s="360"/>
    </row>
  </sheetData>
  <mergeCells count="2">
    <mergeCell ref="A2:F2"/>
    <mergeCell ref="A17:B17"/>
  </mergeCells>
  <pageMargins left="0.7" right="0.7" top="0.75" bottom="0.75" header="0.3" footer="0.3"/>
  <pageSetup scale="6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50"/>
  <sheetViews>
    <sheetView workbookViewId="0">
      <selection activeCell="E18" sqref="E18"/>
    </sheetView>
  </sheetViews>
  <sheetFormatPr defaultRowHeight="15" x14ac:dyDescent="0.2"/>
  <cols>
    <col min="1" max="1" width="78.21875" customWidth="1"/>
  </cols>
  <sheetData>
    <row r="1" spans="1:1" x14ac:dyDescent="0.2">
      <c r="A1" s="536" t="s">
        <v>1041</v>
      </c>
    </row>
    <row r="2" spans="1:1" x14ac:dyDescent="0.2">
      <c r="A2" s="173"/>
    </row>
    <row r="3" spans="1:1" x14ac:dyDescent="0.2">
      <c r="A3" s="173"/>
    </row>
    <row r="4" spans="1:1" x14ac:dyDescent="0.2">
      <c r="A4" s="173"/>
    </row>
    <row r="5" spans="1:1" x14ac:dyDescent="0.2">
      <c r="A5" s="173"/>
    </row>
    <row r="6" spans="1:1" x14ac:dyDescent="0.2">
      <c r="A6" s="173"/>
    </row>
    <row r="7" spans="1:1" x14ac:dyDescent="0.2">
      <c r="A7" s="173"/>
    </row>
    <row r="8" spans="1:1" x14ac:dyDescent="0.2">
      <c r="A8" s="173"/>
    </row>
    <row r="9" spans="1:1" x14ac:dyDescent="0.2">
      <c r="A9" s="173"/>
    </row>
    <row r="10" spans="1:1" x14ac:dyDescent="0.2">
      <c r="A10" s="173"/>
    </row>
    <row r="11" spans="1:1" x14ac:dyDescent="0.2">
      <c r="A11" s="173"/>
    </row>
    <row r="12" spans="1:1" x14ac:dyDescent="0.2">
      <c r="A12" s="173"/>
    </row>
    <row r="13" spans="1:1" x14ac:dyDescent="0.2">
      <c r="A13" s="173"/>
    </row>
    <row r="14" spans="1:1" x14ac:dyDescent="0.2">
      <c r="A14" s="173"/>
    </row>
    <row r="15" spans="1:1" x14ac:dyDescent="0.2">
      <c r="A15" s="173"/>
    </row>
    <row r="16" spans="1:1" x14ac:dyDescent="0.2">
      <c r="A16" s="173"/>
    </row>
    <row r="17" spans="1:1" x14ac:dyDescent="0.2">
      <c r="A17" s="173"/>
    </row>
    <row r="18" spans="1:1" x14ac:dyDescent="0.2">
      <c r="A18" s="173"/>
    </row>
    <row r="19" spans="1:1" x14ac:dyDescent="0.2">
      <c r="A19" s="173"/>
    </row>
    <row r="20" spans="1:1" x14ac:dyDescent="0.2">
      <c r="A20" s="173"/>
    </row>
    <row r="21" spans="1:1" x14ac:dyDescent="0.2">
      <c r="A21" s="173"/>
    </row>
    <row r="22" spans="1:1" x14ac:dyDescent="0.2">
      <c r="A22" s="173"/>
    </row>
    <row r="23" spans="1:1" x14ac:dyDescent="0.2">
      <c r="A23" s="173"/>
    </row>
    <row r="24" spans="1:1" x14ac:dyDescent="0.2">
      <c r="A24" s="173"/>
    </row>
    <row r="25" spans="1:1" x14ac:dyDescent="0.2">
      <c r="A25" s="173"/>
    </row>
    <row r="26" spans="1:1" x14ac:dyDescent="0.2">
      <c r="A26" s="173"/>
    </row>
    <row r="27" spans="1:1" x14ac:dyDescent="0.2">
      <c r="A27" s="173"/>
    </row>
    <row r="28" spans="1:1" x14ac:dyDescent="0.2">
      <c r="A28" s="173"/>
    </row>
    <row r="29" spans="1:1" x14ac:dyDescent="0.2">
      <c r="A29" s="173"/>
    </row>
    <row r="30" spans="1:1" x14ac:dyDescent="0.2">
      <c r="A30" s="173"/>
    </row>
    <row r="31" spans="1:1" x14ac:dyDescent="0.2">
      <c r="A31" s="173"/>
    </row>
    <row r="32" spans="1:1" x14ac:dyDescent="0.2">
      <c r="A32" s="173"/>
    </row>
    <row r="33" spans="1:1" x14ac:dyDescent="0.2">
      <c r="A33" s="173"/>
    </row>
    <row r="34" spans="1:1" x14ac:dyDescent="0.2">
      <c r="A34" s="173"/>
    </row>
    <row r="35" spans="1:1" x14ac:dyDescent="0.2">
      <c r="A35" s="173"/>
    </row>
    <row r="36" spans="1:1" x14ac:dyDescent="0.2">
      <c r="A36" s="173"/>
    </row>
    <row r="37" spans="1:1" x14ac:dyDescent="0.2">
      <c r="A37" s="173"/>
    </row>
    <row r="38" spans="1:1" x14ac:dyDescent="0.2">
      <c r="A38" s="173"/>
    </row>
    <row r="39" spans="1:1" x14ac:dyDescent="0.2">
      <c r="A39" s="173"/>
    </row>
    <row r="40" spans="1:1" x14ac:dyDescent="0.2">
      <c r="A40" s="173"/>
    </row>
    <row r="41" spans="1:1" x14ac:dyDescent="0.2">
      <c r="A41" s="173"/>
    </row>
    <row r="42" spans="1:1" x14ac:dyDescent="0.2">
      <c r="A42" s="173"/>
    </row>
    <row r="43" spans="1:1" x14ac:dyDescent="0.2">
      <c r="A43" s="173"/>
    </row>
    <row r="44" spans="1:1" x14ac:dyDescent="0.2">
      <c r="A44" s="173"/>
    </row>
    <row r="45" spans="1:1" x14ac:dyDescent="0.2">
      <c r="A45" s="537"/>
    </row>
    <row r="46" spans="1:1" x14ac:dyDescent="0.2">
      <c r="A46" s="537"/>
    </row>
    <row r="47" spans="1:1" x14ac:dyDescent="0.2">
      <c r="A47" s="537"/>
    </row>
    <row r="48" spans="1:1" x14ac:dyDescent="0.2">
      <c r="A48" s="537"/>
    </row>
    <row r="49" spans="1:1" x14ac:dyDescent="0.2">
      <c r="A49" s="537"/>
    </row>
    <row r="50" spans="1:1" x14ac:dyDescent="0.2">
      <c r="A50" s="537"/>
    </row>
  </sheetData>
  <pageMargins left="0.7" right="0.7" top="0.75" bottom="0.75" header="0.3" footer="0.3"/>
  <pageSetup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FAAB0-5E4A-4661-8C86-E0E7DFAC8354}">
  <sheetPr>
    <tabColor rgb="FF7030A0"/>
  </sheetPr>
  <dimension ref="A1"/>
  <sheetViews>
    <sheetView tabSelected="1" workbookViewId="0"/>
  </sheetViews>
  <sheetFormatPr defaultRowHeight="1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B1:G81"/>
  <sheetViews>
    <sheetView topLeftCell="B1" zoomScale="91" zoomScaleNormal="91" workbookViewId="0">
      <selection activeCell="G28" sqref="G28"/>
    </sheetView>
  </sheetViews>
  <sheetFormatPr defaultColWidth="8.88671875" defaultRowHeight="15.75" x14ac:dyDescent="0.2"/>
  <cols>
    <col min="1" max="1" width="0" style="541" hidden="1" customWidth="1"/>
    <col min="2" max="2" width="24.44140625" style="624" customWidth="1"/>
    <col min="3" max="3" width="10.77734375" style="624" customWidth="1"/>
    <col min="4" max="4" width="5.77734375" style="624" customWidth="1"/>
    <col min="5" max="5" width="14" style="624" customWidth="1"/>
    <col min="6" max="7" width="13.77734375" style="624" customWidth="1"/>
    <col min="8" max="16384" width="8.88671875" style="541"/>
  </cols>
  <sheetData>
    <row r="1" spans="2:7" x14ac:dyDescent="0.2">
      <c r="B1" s="540"/>
      <c r="C1" s="540"/>
      <c r="D1" s="540"/>
      <c r="E1" s="540"/>
      <c r="F1" s="540"/>
      <c r="G1" s="540">
        <f>inputPrYr!C6</f>
        <v>2020</v>
      </c>
    </row>
    <row r="2" spans="2:7" x14ac:dyDescent="0.2">
      <c r="B2" s="540"/>
      <c r="C2" s="540"/>
      <c r="D2" s="542" t="s">
        <v>82</v>
      </c>
      <c r="E2" s="540"/>
      <c r="F2" s="540"/>
      <c r="G2" s="543"/>
    </row>
    <row r="3" spans="2:7" x14ac:dyDescent="0.2">
      <c r="B3" s="1044" t="str">
        <f>CONCATENATE("To the Clerk of ",inputPrYr!D4,", State of Kansas")</f>
        <v>To the Clerk of GREELEY COUNTY, State of Kansas</v>
      </c>
      <c r="C3" s="1045"/>
      <c r="D3" s="1045"/>
      <c r="E3" s="1045"/>
      <c r="F3" s="1045"/>
      <c r="G3" s="1045"/>
    </row>
    <row r="4" spans="2:7" x14ac:dyDescent="0.2">
      <c r="B4" s="544" t="s">
        <v>569</v>
      </c>
      <c r="C4" s="545"/>
      <c r="D4" s="545"/>
      <c r="E4" s="545"/>
      <c r="F4" s="545"/>
      <c r="G4" s="545"/>
    </row>
    <row r="5" spans="2:7" x14ac:dyDescent="0.2">
      <c r="B5" s="1042" t="str">
        <f>(inputPrYr!D3)</f>
        <v>UNIFIED GREELEY COUNTY - MUNICIPAL SERVICE DISTRICT</v>
      </c>
      <c r="C5" s="1043"/>
      <c r="D5" s="1043"/>
      <c r="E5" s="1043"/>
      <c r="F5" s="1043"/>
      <c r="G5" s="1043"/>
    </row>
    <row r="6" spans="2:7" x14ac:dyDescent="0.2">
      <c r="B6" s="544" t="s">
        <v>291</v>
      </c>
      <c r="C6" s="545"/>
      <c r="D6" s="545"/>
      <c r="E6" s="545"/>
      <c r="F6" s="545"/>
      <c r="G6" s="545"/>
    </row>
    <row r="7" spans="2:7" x14ac:dyDescent="0.2">
      <c r="B7" s="544" t="s">
        <v>0</v>
      </c>
      <c r="C7" s="545"/>
      <c r="D7" s="545"/>
      <c r="E7" s="545"/>
      <c r="F7" s="545"/>
      <c r="G7" s="545"/>
    </row>
    <row r="8" spans="2:7" x14ac:dyDescent="0.2">
      <c r="B8" s="544" t="str">
        <f>CONCATENATE("maximum expenditures for the various funds for the year ",G1,"; and")</f>
        <v>maximum expenditures for the various funds for the year 2020; and</v>
      </c>
      <c r="C8" s="545"/>
      <c r="D8" s="545"/>
      <c r="E8" s="545"/>
      <c r="F8" s="545"/>
      <c r="G8" s="545"/>
    </row>
    <row r="9" spans="2:7" x14ac:dyDescent="0.2">
      <c r="B9" s="544" t="str">
        <f>CONCATENATE("(3) the Amount(s) of ",G1-1," Ad Valorem Tax are within statutory limitations.")</f>
        <v>(3) the Amount(s) of 2019 Ad Valorem Tax are within statutory limitations.</v>
      </c>
      <c r="C9" s="545"/>
      <c r="D9" s="545"/>
      <c r="E9" s="545"/>
      <c r="F9" s="545"/>
      <c r="G9" s="545"/>
    </row>
    <row r="10" spans="2:7" x14ac:dyDescent="0.2">
      <c r="B10" s="540"/>
      <c r="C10" s="540"/>
      <c r="D10" s="540"/>
      <c r="E10" s="546" t="str">
        <f>CONCATENATE("",G1," Adopted Budget")</f>
        <v>2020 Adopted Budget</v>
      </c>
      <c r="F10" s="547"/>
      <c r="G10" s="548"/>
    </row>
    <row r="11" spans="2:7" ht="21" customHeight="1" x14ac:dyDescent="0.2">
      <c r="B11" s="540"/>
      <c r="C11" s="540"/>
      <c r="D11" s="549"/>
      <c r="E11" s="550" t="s">
        <v>1</v>
      </c>
      <c r="F11" s="551" t="s">
        <v>151</v>
      </c>
      <c r="G11" s="551" t="s">
        <v>2</v>
      </c>
    </row>
    <row r="12" spans="2:7" x14ac:dyDescent="0.2">
      <c r="B12" s="552"/>
      <c r="C12" s="540"/>
      <c r="D12" s="551" t="s">
        <v>3</v>
      </c>
      <c r="E12" s="553" t="s">
        <v>223</v>
      </c>
      <c r="F12" s="554" t="str">
        <f>CONCATENATE("",G1-1," Ad")</f>
        <v>2019 Ad</v>
      </c>
      <c r="G12" s="553" t="s">
        <v>4</v>
      </c>
    </row>
    <row r="13" spans="2:7" x14ac:dyDescent="0.2">
      <c r="B13" s="555" t="s">
        <v>5</v>
      </c>
      <c r="C13" s="556"/>
      <c r="D13" s="557" t="s">
        <v>6</v>
      </c>
      <c r="E13" s="557" t="s">
        <v>576</v>
      </c>
      <c r="F13" s="558" t="s">
        <v>152</v>
      </c>
      <c r="G13" s="557" t="s">
        <v>7</v>
      </c>
    </row>
    <row r="14" spans="2:7" x14ac:dyDescent="0.2">
      <c r="B14" s="559" t="str">
        <f>CONCATENATE("Computation to Determine Limit for ",G1,"")</f>
        <v>Computation to Determine Limit for 2020</v>
      </c>
      <c r="C14" s="560"/>
      <c r="D14" s="561">
        <v>2</v>
      </c>
      <c r="E14" s="562"/>
      <c r="F14" s="562"/>
      <c r="G14" s="562"/>
    </row>
    <row r="15" spans="2:7" x14ac:dyDescent="0.2">
      <c r="B15" s="559" t="s">
        <v>739</v>
      </c>
      <c r="C15" s="556"/>
      <c r="D15" s="557">
        <v>3</v>
      </c>
      <c r="E15" s="553"/>
      <c r="F15" s="553"/>
      <c r="G15" s="553"/>
    </row>
    <row r="16" spans="2:7" x14ac:dyDescent="0.2">
      <c r="B16" s="559" t="s">
        <v>129</v>
      </c>
      <c r="C16" s="556"/>
      <c r="D16" s="557">
        <v>4</v>
      </c>
      <c r="E16" s="553"/>
      <c r="F16" s="553"/>
      <c r="G16" s="553"/>
    </row>
    <row r="17" spans="2:7" x14ac:dyDescent="0.2">
      <c r="B17" s="559" t="s">
        <v>8</v>
      </c>
      <c r="C17" s="560"/>
      <c r="D17" s="561">
        <v>5</v>
      </c>
      <c r="E17" s="563"/>
      <c r="F17" s="563"/>
      <c r="G17" s="563"/>
    </row>
    <row r="18" spans="2:7" x14ac:dyDescent="0.2">
      <c r="B18" s="559" t="s">
        <v>9</v>
      </c>
      <c r="C18" s="560"/>
      <c r="D18" s="561">
        <v>6</v>
      </c>
      <c r="E18" s="563"/>
      <c r="F18" s="563"/>
      <c r="G18" s="563"/>
    </row>
    <row r="19" spans="2:7" x14ac:dyDescent="0.2">
      <c r="B19" s="564" t="str">
        <f>IF(inputPrYr!D24="","","Computation to Determine State Library Grant")</f>
        <v/>
      </c>
      <c r="C19" s="560"/>
      <c r="D19" s="565" t="str">
        <f>IF(inputPrYr!D24="","",'Library Grant '!F40)</f>
        <v/>
      </c>
      <c r="E19" s="563"/>
      <c r="F19" s="563"/>
      <c r="G19" s="563"/>
    </row>
    <row r="20" spans="2:7" x14ac:dyDescent="0.2">
      <c r="B20" s="566" t="s">
        <v>10</v>
      </c>
      <c r="C20" s="567" t="s">
        <v>11</v>
      </c>
      <c r="D20" s="568"/>
      <c r="E20" s="569"/>
      <c r="F20" s="569"/>
      <c r="G20" s="569"/>
    </row>
    <row r="21" spans="2:7" x14ac:dyDescent="0.2">
      <c r="B21" s="570" t="str">
        <f>inputPrYr!B22</f>
        <v>General</v>
      </c>
      <c r="C21" s="571" t="str">
        <f>IF(inputPrYr!C22&gt;0,(inputPrYr!C22),"  ")</f>
        <v>12-101a</v>
      </c>
      <c r="D21" s="561">
        <f>IF(GEN!D65&gt;0,GEN!D65)</f>
        <v>7</v>
      </c>
      <c r="E21" s="572">
        <f>IF(GEN!$E$52&lt;&gt;0,GEN!$E$52,"  ")</f>
        <v>881100</v>
      </c>
      <c r="F21" s="539">
        <f>IF(GEN!$E$59&lt;&gt;0,GEN!$E$59,0)</f>
        <v>309256</v>
      </c>
      <c r="G21" s="573">
        <f t="shared" ref="G21" si="0">IF($G$36=0,"",ROUND(F21/$G$36*1000,3))</f>
        <v>63.456000000000003</v>
      </c>
    </row>
    <row r="22" spans="2:7" x14ac:dyDescent="0.2">
      <c r="B22" s="574" t="s">
        <v>1058</v>
      </c>
      <c r="C22" s="571" t="s">
        <v>1</v>
      </c>
      <c r="D22" s="561">
        <f>IF('SP-SS'!C57=0,"",'SP-SS'!C57)</f>
        <v>8</v>
      </c>
      <c r="E22" s="572">
        <f>IF('SP-SS'!E23&lt;&gt;0,'SP-SS'!E23,"  ")</f>
        <v>79833</v>
      </c>
      <c r="F22" s="539"/>
      <c r="G22" s="573"/>
    </row>
    <row r="23" spans="2:7" x14ac:dyDescent="0.2">
      <c r="B23" s="574" t="s">
        <v>1059</v>
      </c>
      <c r="C23" s="571" t="s">
        <v>1</v>
      </c>
      <c r="D23" s="561">
        <f>IF('SP-SS'!C57=0,"",'SP-SS'!C57)</f>
        <v>8</v>
      </c>
      <c r="E23" s="572">
        <f>IF('SP-SS'!E49&lt;&gt;0,'SP-SS'!E49,"  ")</f>
        <v>7422</v>
      </c>
      <c r="F23" s="539"/>
      <c r="G23" s="573"/>
    </row>
    <row r="24" spans="2:7" x14ac:dyDescent="0.2">
      <c r="B24" s="574" t="s">
        <v>1060</v>
      </c>
      <c r="C24" s="571" t="str">
        <f>IF(inputPrYr!C26&gt;0,(inputPrYr!C26),"  ")</f>
        <v xml:space="preserve">  </v>
      </c>
      <c r="D24" s="561">
        <f>IF('SAN-SEW'!C60&gt;0,'SAN-SEW'!C60,"  ")</f>
        <v>9</v>
      </c>
      <c r="E24" s="572">
        <f>IF('SAN-SEW'!E26&gt;0,'SAN-SEW'!E26,"  ")</f>
        <v>153214</v>
      </c>
      <c r="F24" s="539"/>
      <c r="G24" s="573"/>
    </row>
    <row r="25" spans="2:7" x14ac:dyDescent="0.2">
      <c r="B25" s="574" t="s">
        <v>1061</v>
      </c>
      <c r="C25" s="571" t="str">
        <f>IF(inputPrYr!C27&gt;0,(inputPrYr!C27),"  ")</f>
        <v xml:space="preserve">  </v>
      </c>
      <c r="D25" s="561">
        <f>IF('SAN-SEW'!C60&gt;0,'SAN-SEW'!C60,"  ")</f>
        <v>9</v>
      </c>
      <c r="E25" s="572">
        <f>IF('SAN-SEW'!E53&gt;0,'SAN-SEW'!E53,"  ")</f>
        <v>64627</v>
      </c>
      <c r="F25" s="539"/>
      <c r="G25" s="573"/>
    </row>
    <row r="26" spans="2:7" x14ac:dyDescent="0.2">
      <c r="B26" s="574" t="s">
        <v>1062</v>
      </c>
      <c r="C26" s="571" t="str">
        <f>IF(inputPrYr!C28&gt;0,(inputPrYr!C28),"  ")</f>
        <v xml:space="preserve">  </v>
      </c>
      <c r="D26" s="561">
        <f>IF(WW!C49&gt;0,WW!C49,"  ")</f>
        <v>10</v>
      </c>
      <c r="E26" s="572">
        <f>IF(WW!E41&gt;0,WW!E41,"  ")</f>
        <v>334508</v>
      </c>
      <c r="F26" s="539"/>
      <c r="G26" s="573"/>
    </row>
    <row r="27" spans="2:7" x14ac:dyDescent="0.2">
      <c r="B27" s="574" t="str">
        <f>IF(inputPrYr!$B29&gt;"  ",(inputPrYr!$B29),"  ")</f>
        <v xml:space="preserve">  </v>
      </c>
      <c r="C27" s="571" t="str">
        <f>IF(inputPrYr!C29&gt;0,(inputPrYr!C29),"  ")</f>
        <v xml:space="preserve">  </v>
      </c>
      <c r="D27" s="561"/>
      <c r="E27" s="572"/>
      <c r="F27" s="539"/>
      <c r="G27" s="573"/>
    </row>
    <row r="28" spans="2:7" x14ac:dyDescent="0.2">
      <c r="B28" s="574" t="str">
        <f>IF(inputPrYr!$B30&gt;"  ",(inputPrYr!$B30),"  ")</f>
        <v xml:space="preserve">  </v>
      </c>
      <c r="C28" s="571" t="str">
        <f>IF(inputPrYr!C30&gt;0,(inputPrYr!C30),"  ")</f>
        <v xml:space="preserve">  </v>
      </c>
      <c r="D28" s="561"/>
      <c r="E28" s="572"/>
      <c r="F28" s="539"/>
      <c r="G28" s="573"/>
    </row>
    <row r="29" spans="2:7" x14ac:dyDescent="0.2">
      <c r="B29" s="574" t="str">
        <f>IF(inputPrYr!$B31&gt;"  ",(inputPrYr!$B31),"  ")</f>
        <v xml:space="preserve">  </v>
      </c>
      <c r="C29" s="571" t="str">
        <f>IF(inputPrYr!C31&gt;0,(inputPrYr!C31),"  ")</f>
        <v xml:space="preserve">  </v>
      </c>
      <c r="D29" s="561"/>
      <c r="E29" s="572"/>
      <c r="F29" s="539"/>
      <c r="G29" s="573"/>
    </row>
    <row r="30" spans="2:7" x14ac:dyDescent="0.2">
      <c r="B30" s="574" t="str">
        <f>IF(inputPrYr!$B32&gt;"  ",(inputPrYr!$B32),"  ")</f>
        <v xml:space="preserve">  </v>
      </c>
      <c r="C30" s="571" t="str">
        <f>IF(inputPrYr!C32&gt;0,(inputPrYr!C32),"  ")</f>
        <v xml:space="preserve">  </v>
      </c>
      <c r="D30" s="561"/>
      <c r="E30" s="572"/>
      <c r="F30" s="539"/>
      <c r="G30" s="573"/>
    </row>
    <row r="31" spans="2:7" x14ac:dyDescent="0.2">
      <c r="B31" s="574" t="str">
        <f>IF(inputPrYr!$B33&gt;"  ",(inputPrYr!$B33),"  ")</f>
        <v xml:space="preserve">  </v>
      </c>
      <c r="C31" s="571" t="str">
        <f>IF(inputPrYr!C33&gt;0,(inputPrYr!C33),"  ")</f>
        <v xml:space="preserve">  </v>
      </c>
      <c r="D31" s="561"/>
      <c r="E31" s="572"/>
      <c r="F31" s="539"/>
      <c r="G31" s="573"/>
    </row>
    <row r="32" spans="2:7" x14ac:dyDescent="0.2">
      <c r="B32" s="575" t="str">
        <f>IF(inputPrYr!$B56&gt;"  ",(NONBUDA!$A3),"  ")</f>
        <v>Non-Budgeted Funds-A</v>
      </c>
      <c r="C32" s="577"/>
      <c r="D32" s="565">
        <f>IF(NONBUDA!F33&gt;0,NONBUDA!F33,"  ")</f>
        <v>11</v>
      </c>
      <c r="E32" s="572"/>
      <c r="F32" s="572"/>
      <c r="G32" s="576"/>
    </row>
    <row r="33" spans="2:7" ht="16.5" thickBot="1" x14ac:dyDescent="0.25">
      <c r="B33" s="575" t="str">
        <f>IF(inputPrYr!$B62&gt;"  ",(NONBUDB!$A3),"  ")</f>
        <v>Non-Budgeted Funds-B</v>
      </c>
      <c r="C33" s="577"/>
      <c r="D33" s="565">
        <f>IF(NONBUDB!F33&gt;0,NONBUDB!F33,"  ")</f>
        <v>12</v>
      </c>
      <c r="E33" s="572"/>
      <c r="F33" s="572"/>
      <c r="G33" s="576"/>
    </row>
    <row r="34" spans="2:7" ht="16.5" thickBot="1" x14ac:dyDescent="0.25">
      <c r="B34" s="578" t="s">
        <v>693</v>
      </c>
      <c r="C34" s="577"/>
      <c r="D34" s="579" t="s">
        <v>13</v>
      </c>
      <c r="E34" s="580">
        <f>SUM(E21:E33)</f>
        <v>1520704</v>
      </c>
      <c r="F34" s="580">
        <f>SUM(F21:F33)</f>
        <v>309256</v>
      </c>
      <c r="G34" s="581">
        <f>IF(SUM(G21:G33)=0,"",SUM(G21:G33))</f>
        <v>63.456000000000003</v>
      </c>
    </row>
    <row r="35" spans="2:7" ht="16.5" thickTop="1" x14ac:dyDescent="0.2">
      <c r="B35" s="582"/>
      <c r="C35" s="583"/>
      <c r="D35" s="584"/>
      <c r="E35" s="585"/>
      <c r="F35" s="586"/>
      <c r="G35" s="587" t="s">
        <v>133</v>
      </c>
    </row>
    <row r="36" spans="2:7" x14ac:dyDescent="0.2">
      <c r="B36" s="559" t="s">
        <v>207</v>
      </c>
      <c r="C36" s="560"/>
      <c r="D36" s="561">
        <f>SUMM!D45</f>
        <v>13</v>
      </c>
      <c r="E36" s="588"/>
      <c r="F36" s="540"/>
      <c r="G36" s="589">
        <v>4873537</v>
      </c>
    </row>
    <row r="37" spans="2:7" x14ac:dyDescent="0.2">
      <c r="B37" s="559" t="s">
        <v>227</v>
      </c>
      <c r="C37" s="560"/>
      <c r="D37" s="561">
        <f>IF(nhood!C40&gt;0,nhood!C40,"")</f>
        <v>14</v>
      </c>
      <c r="E37" s="588"/>
      <c r="F37" s="540"/>
      <c r="G37" s="1048" t="str">
        <f>CONCATENATE("Nov 1, ",G1-1," Total Assessed Valuation")</f>
        <v>Nov 1, 2019 Total Assessed Valuation</v>
      </c>
    </row>
    <row r="38" spans="2:7" x14ac:dyDescent="0.2">
      <c r="B38" s="590"/>
      <c r="C38" s="591"/>
      <c r="D38" s="592"/>
      <c r="E38" s="591"/>
      <c r="F38" s="593"/>
      <c r="G38" s="1049"/>
    </row>
    <row r="39" spans="2:7" x14ac:dyDescent="0.2">
      <c r="B39" s="594" t="s">
        <v>1038</v>
      </c>
      <c r="C39" s="591"/>
      <c r="D39" s="592"/>
      <c r="E39" s="591"/>
      <c r="F39" s="595">
        <f>Comp3!J18</f>
        <v>309258</v>
      </c>
      <c r="G39" s="593"/>
    </row>
    <row r="40" spans="2:7" x14ac:dyDescent="0.2">
      <c r="B40" s="594" t="s">
        <v>984</v>
      </c>
      <c r="C40" s="591"/>
      <c r="D40" s="592"/>
      <c r="E40" s="591"/>
      <c r="F40" s="596" t="str">
        <f>IF(F34&gt;F39,"YES","NO")</f>
        <v>NO</v>
      </c>
      <c r="G40" s="593"/>
    </row>
    <row r="41" spans="2:7" x14ac:dyDescent="0.2">
      <c r="B41" s="590"/>
      <c r="C41" s="591"/>
      <c r="D41" s="592"/>
      <c r="E41" s="591"/>
      <c r="F41" s="593"/>
      <c r="G41" s="593"/>
    </row>
    <row r="42" spans="2:7" x14ac:dyDescent="0.2">
      <c r="B42" s="597" t="s">
        <v>14</v>
      </c>
      <c r="C42" s="598"/>
      <c r="D42" s="540"/>
      <c r="E42" s="599"/>
      <c r="F42" s="598"/>
      <c r="G42" s="598"/>
    </row>
    <row r="43" spans="2:7" x14ac:dyDescent="0.2">
      <c r="B43" s="600"/>
      <c r="C43" s="598"/>
      <c r="D43" s="598" t="s">
        <v>738</v>
      </c>
      <c r="E43" s="601"/>
      <c r="F43" s="598"/>
      <c r="G43" s="598"/>
    </row>
    <row r="44" spans="2:7" x14ac:dyDescent="0.2">
      <c r="B44" s="602"/>
      <c r="C44" s="540"/>
      <c r="D44" s="597"/>
      <c r="E44" s="603"/>
      <c r="F44" s="598"/>
      <c r="G44" s="598"/>
    </row>
    <row r="45" spans="2:7" x14ac:dyDescent="0.2">
      <c r="B45" s="597" t="s">
        <v>136</v>
      </c>
      <c r="C45" s="598"/>
      <c r="D45" s="598" t="s">
        <v>738</v>
      </c>
      <c r="E45" s="604"/>
      <c r="F45" s="605"/>
      <c r="G45" s="605"/>
    </row>
    <row r="46" spans="2:7" x14ac:dyDescent="0.2">
      <c r="B46" s="600"/>
      <c r="C46" s="552"/>
      <c r="D46" s="598"/>
      <c r="E46" s="598"/>
      <c r="F46" s="540"/>
      <c r="G46" s="540"/>
    </row>
    <row r="47" spans="2:7" x14ac:dyDescent="0.2">
      <c r="B47" s="602"/>
      <c r="C47" s="606"/>
      <c r="D47" s="598" t="s">
        <v>738</v>
      </c>
      <c r="E47" s="598"/>
      <c r="F47" s="605"/>
      <c r="G47" s="605"/>
    </row>
    <row r="48" spans="2:7" x14ac:dyDescent="0.2">
      <c r="B48" s="597" t="s">
        <v>798</v>
      </c>
      <c r="C48" s="598"/>
      <c r="D48" s="540"/>
      <c r="E48" s="540"/>
      <c r="F48" s="540"/>
      <c r="G48" s="540"/>
    </row>
    <row r="49" spans="2:7" x14ac:dyDescent="0.2">
      <c r="B49" s="600"/>
      <c r="C49" s="607"/>
      <c r="D49" s="598" t="s">
        <v>738</v>
      </c>
      <c r="E49" s="598"/>
      <c r="F49" s="605"/>
      <c r="G49" s="605"/>
    </row>
    <row r="50" spans="2:7" x14ac:dyDescent="0.2">
      <c r="B50" s="608" t="s">
        <v>220</v>
      </c>
      <c r="C50" s="609">
        <f>G1-1</f>
        <v>2019</v>
      </c>
      <c r="D50" s="540"/>
      <c r="E50" s="540"/>
      <c r="F50" s="544"/>
      <c r="G50" s="540"/>
    </row>
    <row r="51" spans="2:7" x14ac:dyDescent="0.2">
      <c r="B51" s="610"/>
      <c r="C51" s="540"/>
      <c r="D51" s="598" t="s">
        <v>738</v>
      </c>
      <c r="E51" s="598"/>
      <c r="F51" s="598"/>
      <c r="G51" s="598"/>
    </row>
    <row r="52" spans="2:7" x14ac:dyDescent="0.2">
      <c r="B52" s="611" t="s">
        <v>16</v>
      </c>
      <c r="C52" s="540"/>
      <c r="D52" s="1046" t="s">
        <v>15</v>
      </c>
      <c r="E52" s="1047"/>
      <c r="F52" s="1047"/>
      <c r="G52" s="1047"/>
    </row>
    <row r="53" spans="2:7" x14ac:dyDescent="0.2">
      <c r="B53" s="590"/>
      <c r="C53" s="591"/>
      <c r="D53" s="592"/>
      <c r="E53" s="591"/>
      <c r="F53" s="593"/>
      <c r="G53" s="590"/>
    </row>
    <row r="54" spans="2:7" x14ac:dyDescent="0.2">
      <c r="B54" s="612" t="s">
        <v>979</v>
      </c>
      <c r="C54" s="613"/>
      <c r="D54" s="614"/>
      <c r="E54" s="613"/>
      <c r="F54" s="615"/>
      <c r="G54" s="616"/>
    </row>
    <row r="55" spans="2:7" x14ac:dyDescent="0.2">
      <c r="B55" s="617"/>
      <c r="C55" s="591"/>
      <c r="D55" s="592"/>
      <c r="E55" s="591"/>
      <c r="F55" s="593"/>
      <c r="G55" s="618"/>
    </row>
    <row r="56" spans="2:7" x14ac:dyDescent="0.2">
      <c r="B56" s="619"/>
      <c r="C56" s="620"/>
      <c r="D56" s="621"/>
      <c r="E56" s="620"/>
      <c r="F56" s="622"/>
      <c r="G56" s="623"/>
    </row>
    <row r="57" spans="2:7" x14ac:dyDescent="0.2">
      <c r="B57" s="590"/>
      <c r="C57" s="591"/>
      <c r="D57" s="592"/>
      <c r="E57" s="591"/>
      <c r="F57" s="593"/>
      <c r="G57" s="590"/>
    </row>
    <row r="63" spans="2:7" x14ac:dyDescent="0.2">
      <c r="B63" s="541"/>
      <c r="C63" s="541"/>
      <c r="D63" s="541"/>
      <c r="E63" s="541"/>
      <c r="F63" s="541"/>
      <c r="G63" s="541"/>
    </row>
    <row r="64" spans="2:7" x14ac:dyDescent="0.2">
      <c r="B64" s="541"/>
      <c r="C64" s="541"/>
      <c r="D64" s="541"/>
      <c r="E64" s="541"/>
      <c r="F64" s="541"/>
      <c r="G64" s="541"/>
    </row>
    <row r="65" spans="2:7" x14ac:dyDescent="0.2">
      <c r="B65" s="541"/>
      <c r="C65" s="541"/>
      <c r="D65" s="541"/>
      <c r="E65" s="541"/>
      <c r="F65" s="541"/>
      <c r="G65" s="541"/>
    </row>
    <row r="66" spans="2:7" x14ac:dyDescent="0.2">
      <c r="B66" s="541"/>
      <c r="C66" s="541"/>
      <c r="D66" s="541"/>
      <c r="E66" s="541"/>
      <c r="F66" s="541"/>
      <c r="G66" s="541"/>
    </row>
    <row r="67" spans="2:7" x14ac:dyDescent="0.2">
      <c r="B67" s="541"/>
      <c r="C67" s="541"/>
      <c r="D67" s="541"/>
      <c r="E67" s="541"/>
      <c r="F67" s="541"/>
      <c r="G67" s="541"/>
    </row>
    <row r="68" spans="2:7" x14ac:dyDescent="0.2">
      <c r="B68" s="541"/>
      <c r="C68" s="541"/>
      <c r="D68" s="541"/>
      <c r="E68" s="541"/>
      <c r="F68" s="541"/>
      <c r="G68" s="541"/>
    </row>
    <row r="69" spans="2:7" x14ac:dyDescent="0.2">
      <c r="B69" s="541"/>
      <c r="C69" s="541"/>
      <c r="D69" s="541"/>
      <c r="E69" s="541"/>
      <c r="F69" s="541"/>
      <c r="G69" s="541"/>
    </row>
    <row r="70" spans="2:7" x14ac:dyDescent="0.2">
      <c r="B70" s="541"/>
      <c r="C70" s="541"/>
      <c r="D70" s="541"/>
      <c r="E70" s="541"/>
      <c r="F70" s="541"/>
      <c r="G70" s="541"/>
    </row>
    <row r="71" spans="2:7" x14ac:dyDescent="0.2">
      <c r="B71" s="541"/>
      <c r="C71" s="541"/>
      <c r="D71" s="541"/>
      <c r="E71" s="541"/>
      <c r="F71" s="541"/>
      <c r="G71" s="541"/>
    </row>
    <row r="72" spans="2:7" x14ac:dyDescent="0.2">
      <c r="B72" s="541"/>
      <c r="C72" s="541"/>
      <c r="D72" s="541"/>
      <c r="E72" s="541"/>
      <c r="F72" s="541"/>
      <c r="G72" s="541"/>
    </row>
    <row r="73" spans="2:7" x14ac:dyDescent="0.2">
      <c r="B73" s="541"/>
      <c r="C73" s="541"/>
      <c r="D73" s="541"/>
      <c r="E73" s="541"/>
      <c r="F73" s="541"/>
      <c r="G73" s="541"/>
    </row>
    <row r="74" spans="2:7" x14ac:dyDescent="0.2">
      <c r="B74" s="541"/>
      <c r="C74" s="541"/>
      <c r="D74" s="541"/>
      <c r="E74" s="541"/>
      <c r="F74" s="541"/>
      <c r="G74" s="541"/>
    </row>
    <row r="75" spans="2:7" x14ac:dyDescent="0.2">
      <c r="B75" s="541"/>
      <c r="C75" s="541"/>
      <c r="D75" s="541"/>
      <c r="E75" s="541"/>
      <c r="F75" s="541"/>
      <c r="G75" s="541"/>
    </row>
    <row r="76" spans="2:7" x14ac:dyDescent="0.2">
      <c r="B76" s="541"/>
      <c r="C76" s="541"/>
      <c r="D76" s="541"/>
      <c r="E76" s="541"/>
      <c r="F76" s="541"/>
      <c r="G76" s="541"/>
    </row>
    <row r="77" spans="2:7" x14ac:dyDescent="0.2">
      <c r="B77" s="541"/>
      <c r="C77" s="541"/>
      <c r="D77" s="541"/>
      <c r="E77" s="541"/>
      <c r="F77" s="541"/>
      <c r="G77" s="541"/>
    </row>
    <row r="78" spans="2:7" x14ac:dyDescent="0.2">
      <c r="B78" s="541"/>
      <c r="C78" s="541"/>
      <c r="D78" s="541"/>
      <c r="E78" s="541"/>
      <c r="F78" s="541"/>
      <c r="G78" s="541"/>
    </row>
    <row r="81" spans="2:7" x14ac:dyDescent="0.2">
      <c r="B81" s="541"/>
      <c r="C81" s="541"/>
      <c r="D81" s="541"/>
      <c r="E81" s="541"/>
      <c r="F81" s="541"/>
      <c r="G81" s="541"/>
    </row>
  </sheetData>
  <mergeCells count="4">
    <mergeCell ref="B5:G5"/>
    <mergeCell ref="B3:G3"/>
    <mergeCell ref="D52:G52"/>
    <mergeCell ref="G37:G38"/>
  </mergeCells>
  <phoneticPr fontId="0" type="noConversion"/>
  <pageMargins left="1" right="0.5" top="0.75" bottom="0.5" header="0.5" footer="0.25"/>
  <pageSetup scale="79" orientation="portrait" blackAndWhite="1" r:id="rId1"/>
  <headerFooter alignWithMargins="0">
    <oddHeader xml:space="preserve">&amp;RState of Kansas
City
</oddHeader>
    <oddFooter>&amp;CPage No.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O52"/>
  <sheetViews>
    <sheetView topLeftCell="A22" zoomScale="85" workbookViewId="0">
      <selection activeCell="A22" sqref="A1:XFD1048576"/>
    </sheetView>
  </sheetViews>
  <sheetFormatPr defaultColWidth="8.88671875" defaultRowHeight="15.95" customHeight="1" x14ac:dyDescent="0.2"/>
  <cols>
    <col min="1" max="1" width="2.88671875" style="926" customWidth="1"/>
    <col min="2" max="2" width="3.33203125" style="926" customWidth="1"/>
    <col min="3" max="3" width="31.33203125" style="926" customWidth="1"/>
    <col min="4" max="4" width="2.33203125" style="926" customWidth="1"/>
    <col min="5" max="5" width="19.21875" style="926" customWidth="1"/>
    <col min="6" max="6" width="2" style="926" customWidth="1"/>
    <col min="7" max="7" width="15.77734375" style="926" customWidth="1"/>
    <col min="8" max="8" width="1.88671875" style="926" customWidth="1"/>
    <col min="9" max="9" width="1.77734375" style="926" customWidth="1"/>
    <col min="10" max="10" width="15.77734375" style="926" customWidth="1"/>
    <col min="11" max="16384" width="8.88671875" style="926"/>
  </cols>
  <sheetData>
    <row r="1" spans="1:13" ht="15.95" customHeight="1" x14ac:dyDescent="0.2">
      <c r="A1" s="540"/>
      <c r="B1" s="540"/>
      <c r="C1" s="626" t="str">
        <f>inputPrYr!D3</f>
        <v>UNIFIED GREELEY COUNTY - MUNICIPAL SERVICE DISTRICT</v>
      </c>
      <c r="D1" s="540"/>
      <c r="E1" s="540"/>
      <c r="F1" s="540"/>
      <c r="G1" s="540"/>
      <c r="H1" s="540"/>
      <c r="I1" s="540"/>
      <c r="J1" s="662">
        <f>inputPrYr!C6</f>
        <v>2020</v>
      </c>
    </row>
    <row r="2" spans="1:13" ht="15.95" customHeight="1" x14ac:dyDescent="0.2">
      <c r="A2" s="540"/>
      <c r="B2" s="540"/>
      <c r="C2" s="540"/>
      <c r="D2" s="540"/>
      <c r="E2" s="540"/>
      <c r="F2" s="540"/>
      <c r="G2" s="540"/>
      <c r="H2" s="540"/>
      <c r="I2" s="540"/>
      <c r="J2" s="540"/>
    </row>
    <row r="3" spans="1:13" ht="15.75" x14ac:dyDescent="0.2">
      <c r="A3" s="879" t="str">
        <f>CONCATENATE("Computation to Determine Limit for ",J1)</f>
        <v>Computation to Determine Limit for 2020</v>
      </c>
      <c r="B3" s="940"/>
      <c r="C3" s="940"/>
      <c r="D3" s="940"/>
      <c r="E3" s="940"/>
      <c r="F3" s="940"/>
      <c r="G3" s="940"/>
      <c r="H3" s="940"/>
      <c r="I3" s="940"/>
      <c r="J3" s="940"/>
    </row>
    <row r="4" spans="1:13" ht="15.75" x14ac:dyDescent="0.2">
      <c r="A4" s="540"/>
      <c r="B4" s="540"/>
      <c r="C4" s="540"/>
      <c r="D4" s="540"/>
      <c r="E4" s="1050"/>
      <c r="F4" s="1050"/>
      <c r="G4" s="1050"/>
      <c r="H4" s="923"/>
      <c r="I4" s="540"/>
      <c r="J4" s="941" t="s">
        <v>93</v>
      </c>
    </row>
    <row r="5" spans="1:13" ht="15.75" x14ac:dyDescent="0.2">
      <c r="A5" s="942" t="s">
        <v>94</v>
      </c>
      <c r="B5" s="540" t="str">
        <f>CONCATENATE("Total tax levy amount in ",J1-1," budget")</f>
        <v>Total tax levy amount in 2019 budget</v>
      </c>
      <c r="C5" s="540"/>
      <c r="D5" s="540"/>
      <c r="E5" s="801"/>
      <c r="F5" s="801"/>
      <c r="G5" s="801"/>
      <c r="H5" s="943" t="s">
        <v>95</v>
      </c>
      <c r="I5" s="801" t="s">
        <v>96</v>
      </c>
      <c r="J5" s="944">
        <f>inputPrYr!E36</f>
        <v>303620</v>
      </c>
    </row>
    <row r="6" spans="1:13" ht="15.75" x14ac:dyDescent="0.2">
      <c r="A6" s="942" t="s">
        <v>97</v>
      </c>
      <c r="B6" s="540" t="str">
        <f>CONCATENATE("Library levy in ",J1-1, " budget")</f>
        <v>Library levy in 2019 budget</v>
      </c>
      <c r="C6" s="540"/>
      <c r="D6" s="540"/>
      <c r="E6" s="801"/>
      <c r="F6" s="801"/>
      <c r="G6" s="801"/>
      <c r="H6" s="943" t="s">
        <v>98</v>
      </c>
      <c r="I6" s="801" t="s">
        <v>96</v>
      </c>
      <c r="J6" s="945"/>
    </row>
    <row r="7" spans="1:13" ht="15.75" x14ac:dyDescent="0.2">
      <c r="A7" s="946"/>
      <c r="B7" s="540" t="str">
        <f>CONCATENATE("Other tax entity levy in ",J1-1, " budget")</f>
        <v>Other tax entity levy in 2019 budget</v>
      </c>
      <c r="C7" s="540"/>
      <c r="D7" s="540"/>
      <c r="E7" s="801"/>
      <c r="F7" s="801"/>
      <c r="G7" s="801"/>
      <c r="H7" s="943" t="s">
        <v>98</v>
      </c>
      <c r="I7" s="801" t="s">
        <v>96</v>
      </c>
      <c r="J7" s="945"/>
    </row>
    <row r="8" spans="1:13" ht="15.75" x14ac:dyDescent="0.2">
      <c r="A8" s="942" t="s">
        <v>119</v>
      </c>
      <c r="B8" s="540" t="s">
        <v>986</v>
      </c>
      <c r="C8" s="540"/>
      <c r="D8" s="540"/>
      <c r="E8" s="801"/>
      <c r="F8" s="801"/>
      <c r="G8" s="801"/>
      <c r="H8" s="801"/>
      <c r="I8" s="801" t="s">
        <v>96</v>
      </c>
      <c r="J8" s="947">
        <f>J5-J6-J7</f>
        <v>303620</v>
      </c>
    </row>
    <row r="9" spans="1:13" ht="15.75" x14ac:dyDescent="0.2">
      <c r="A9" s="540"/>
      <c r="B9" s="540"/>
      <c r="C9" s="540"/>
      <c r="D9" s="540"/>
      <c r="E9" s="801"/>
      <c r="F9" s="801"/>
      <c r="G9" s="801"/>
      <c r="H9" s="801"/>
      <c r="I9" s="801"/>
      <c r="J9" s="801"/>
    </row>
    <row r="10" spans="1:13" ht="15.75" x14ac:dyDescent="0.2">
      <c r="A10" s="1050" t="str">
        <f>CONCATENATE(J1," Budget Percentage Adjustments")</f>
        <v>2020 Budget Percentage Adjustments</v>
      </c>
      <c r="B10" s="1052"/>
      <c r="C10" s="1052"/>
      <c r="D10" s="1052"/>
      <c r="E10" s="1052"/>
      <c r="F10" s="1052"/>
      <c r="G10" s="1052"/>
      <c r="H10" s="1052"/>
      <c r="I10" s="1052"/>
      <c r="J10" s="1052"/>
    </row>
    <row r="11" spans="1:13" ht="15.75" x14ac:dyDescent="0.2">
      <c r="A11" s="540"/>
      <c r="B11" s="540"/>
      <c r="C11" s="540"/>
      <c r="D11" s="540"/>
      <c r="E11" s="801"/>
      <c r="F11" s="801"/>
      <c r="G11" s="801"/>
      <c r="H11" s="801"/>
      <c r="I11" s="801"/>
      <c r="J11" s="801"/>
    </row>
    <row r="12" spans="1:13" ht="15.75" x14ac:dyDescent="0.2">
      <c r="A12" s="942" t="s">
        <v>99</v>
      </c>
      <c r="B12" s="540" t="str">
        <f>CONCATENATE("New improvements, Remodeling and Renovations for ",J1-1," :")</f>
        <v>New improvements, Remodeling and Renovations for 2019 :</v>
      </c>
      <c r="C12" s="540"/>
      <c r="D12" s="540"/>
      <c r="E12" s="943"/>
      <c r="F12" s="943" t="s">
        <v>95</v>
      </c>
      <c r="G12" s="944">
        <f>inputOth!E8</f>
        <v>7809</v>
      </c>
      <c r="H12" s="639"/>
      <c r="I12" s="801"/>
      <c r="J12" s="801"/>
    </row>
    <row r="13" spans="1:13" ht="15.75" x14ac:dyDescent="0.2">
      <c r="A13" s="946"/>
      <c r="B13" s="948"/>
      <c r="C13" s="540"/>
      <c r="D13" s="540"/>
      <c r="E13" s="943"/>
      <c r="F13" s="943"/>
      <c r="G13" s="639"/>
      <c r="H13" s="639"/>
      <c r="I13" s="801"/>
      <c r="J13" s="801"/>
    </row>
    <row r="14" spans="1:13" ht="15.75" x14ac:dyDescent="0.2">
      <c r="A14" s="942" t="s">
        <v>100</v>
      </c>
      <c r="B14" s="540" t="str">
        <f>CONCATENATE("Increase in personal property for ",J1-1," :")</f>
        <v>Increase in personal property for 2019 :</v>
      </c>
      <c r="C14" s="540"/>
      <c r="D14" s="540"/>
      <c r="E14" s="943"/>
      <c r="F14" s="943"/>
      <c r="G14" s="639"/>
      <c r="H14" s="639"/>
      <c r="I14" s="801"/>
      <c r="J14" s="801"/>
    </row>
    <row r="15" spans="1:13" ht="15.75" x14ac:dyDescent="0.2">
      <c r="A15" s="543"/>
      <c r="B15" s="540" t="s">
        <v>101</v>
      </c>
      <c r="C15" s="540" t="str">
        <f>CONCATENATE("Personal property ",J1-1)</f>
        <v>Personal property 2019</v>
      </c>
      <c r="D15" s="948" t="s">
        <v>95</v>
      </c>
      <c r="E15" s="944">
        <f>inputOth!E9</f>
        <v>186490</v>
      </c>
      <c r="F15" s="943"/>
      <c r="G15" s="801"/>
      <c r="H15" s="801"/>
      <c r="I15" s="639"/>
      <c r="J15" s="801"/>
      <c r="M15" s="949"/>
    </row>
    <row r="16" spans="1:13" ht="15.75" x14ac:dyDescent="0.2">
      <c r="A16" s="948"/>
      <c r="B16" s="540" t="s">
        <v>102</v>
      </c>
      <c r="C16" s="540" t="str">
        <f>CONCATENATE("Personal property ",J1-2)</f>
        <v>Personal property 2018</v>
      </c>
      <c r="D16" s="948" t="s">
        <v>98</v>
      </c>
      <c r="E16" s="947">
        <f>inputOth!E15</f>
        <v>176956</v>
      </c>
      <c r="F16" s="943"/>
      <c r="G16" s="639"/>
      <c r="H16" s="639"/>
      <c r="I16" s="801"/>
      <c r="J16" s="801"/>
    </row>
    <row r="17" spans="1:15" ht="15.75" x14ac:dyDescent="0.2">
      <c r="A17" s="948"/>
      <c r="B17" s="540" t="s">
        <v>103</v>
      </c>
      <c r="C17" s="540" t="s">
        <v>904</v>
      </c>
      <c r="D17" s="540"/>
      <c r="E17" s="801"/>
      <c r="F17" s="801" t="s">
        <v>95</v>
      </c>
      <c r="G17" s="944">
        <f>IF(E15&gt;E16,E15-E16,0)</f>
        <v>9534</v>
      </c>
      <c r="H17" s="639"/>
      <c r="I17" s="801"/>
      <c r="J17" s="801"/>
    </row>
    <row r="18" spans="1:15" ht="15.75" x14ac:dyDescent="0.2">
      <c r="A18" s="948"/>
      <c r="B18" s="948"/>
      <c r="C18" s="540"/>
      <c r="D18" s="540"/>
      <c r="E18" s="801"/>
      <c r="F18" s="801"/>
      <c r="G18" s="639" t="s">
        <v>116</v>
      </c>
      <c r="H18" s="639"/>
      <c r="I18" s="801"/>
      <c r="J18" s="801"/>
    </row>
    <row r="19" spans="1:15" ht="15.75" x14ac:dyDescent="0.2">
      <c r="A19" s="948" t="s">
        <v>104</v>
      </c>
      <c r="B19" s="540" t="str">
        <f>CONCATENATE("Valuation of annexed territory for ",J1-1," :")</f>
        <v>Valuation of annexed territory for 2019 :</v>
      </c>
      <c r="C19" s="540"/>
      <c r="D19" s="540"/>
      <c r="E19" s="639"/>
      <c r="F19" s="801"/>
      <c r="G19" s="801"/>
      <c r="H19" s="801"/>
      <c r="I19" s="801"/>
      <c r="J19" s="801"/>
    </row>
    <row r="20" spans="1:15" ht="15.75" x14ac:dyDescent="0.2">
      <c r="A20" s="948"/>
      <c r="B20" s="540" t="s">
        <v>105</v>
      </c>
      <c r="C20" s="540" t="s">
        <v>905</v>
      </c>
      <c r="D20" s="948" t="s">
        <v>95</v>
      </c>
      <c r="E20" s="944">
        <f>inputOth!E11</f>
        <v>0</v>
      </c>
      <c r="F20" s="801"/>
      <c r="G20" s="801"/>
      <c r="H20" s="801"/>
      <c r="I20" s="801"/>
      <c r="J20" s="801"/>
      <c r="O20" s="949"/>
    </row>
    <row r="21" spans="1:15" ht="15.75" x14ac:dyDescent="0.2">
      <c r="A21" s="948"/>
      <c r="B21" s="540" t="s">
        <v>106</v>
      </c>
      <c r="C21" s="540" t="s">
        <v>906</v>
      </c>
      <c r="D21" s="948" t="s">
        <v>95</v>
      </c>
      <c r="E21" s="947">
        <f>inputOth!E12</f>
        <v>0</v>
      </c>
      <c r="F21" s="801"/>
      <c r="G21" s="639"/>
      <c r="H21" s="639"/>
      <c r="I21" s="801"/>
      <c r="J21" s="801"/>
    </row>
    <row r="22" spans="1:15" ht="15.75" x14ac:dyDescent="0.2">
      <c r="A22" s="948"/>
      <c r="B22" s="540" t="s">
        <v>107</v>
      </c>
      <c r="C22" s="540" t="s">
        <v>907</v>
      </c>
      <c r="D22" s="948" t="s">
        <v>95</v>
      </c>
      <c r="E22" s="947">
        <f>inputOth!E13</f>
        <v>0</v>
      </c>
      <c r="F22" s="801"/>
      <c r="G22" s="639"/>
      <c r="H22" s="639"/>
      <c r="I22" s="801"/>
      <c r="J22" s="801"/>
    </row>
    <row r="23" spans="1:15" ht="15.75" x14ac:dyDescent="0.2">
      <c r="A23" s="948"/>
      <c r="B23" s="540" t="s">
        <v>108</v>
      </c>
      <c r="C23" s="540" t="s">
        <v>908</v>
      </c>
      <c r="D23" s="948"/>
      <c r="E23" s="639"/>
      <c r="F23" s="801" t="s">
        <v>95</v>
      </c>
      <c r="G23" s="944">
        <f>E20+E21+E22</f>
        <v>0</v>
      </c>
      <c r="H23" s="639"/>
      <c r="I23" s="801"/>
      <c r="J23" s="801"/>
    </row>
    <row r="24" spans="1:15" ht="15.75" x14ac:dyDescent="0.2">
      <c r="A24" s="948"/>
      <c r="B24" s="948"/>
      <c r="C24" s="540"/>
      <c r="D24" s="948"/>
      <c r="E24" s="639"/>
      <c r="F24" s="801"/>
      <c r="G24" s="639"/>
      <c r="H24" s="639"/>
      <c r="I24" s="801"/>
      <c r="J24" s="801"/>
    </row>
    <row r="25" spans="1:15" ht="15.75" x14ac:dyDescent="0.2">
      <c r="A25" s="948" t="s">
        <v>109</v>
      </c>
      <c r="B25" s="540" t="str">
        <f>CONCATENATE("Valuation of property that has changed in use during ",J1-1," :")</f>
        <v>Valuation of property that has changed in use during 2019 :</v>
      </c>
      <c r="C25" s="540"/>
      <c r="D25" s="540"/>
      <c r="E25" s="801"/>
      <c r="F25" s="943" t="s">
        <v>95</v>
      </c>
      <c r="G25" s="944">
        <f>inputOth!E14</f>
        <v>0</v>
      </c>
      <c r="H25" s="801"/>
      <c r="I25" s="801"/>
      <c r="J25" s="801"/>
    </row>
    <row r="26" spans="1:15" ht="15.75" x14ac:dyDescent="0.2">
      <c r="A26" s="948"/>
      <c r="B26" s="540"/>
      <c r="C26" s="540"/>
      <c r="D26" s="540"/>
      <c r="E26" s="801"/>
      <c r="F26" s="943"/>
      <c r="G26" s="639"/>
      <c r="H26" s="801"/>
      <c r="I26" s="801"/>
      <c r="J26" s="801"/>
    </row>
    <row r="27" spans="1:15" ht="15.75" x14ac:dyDescent="0.2">
      <c r="A27" s="950" t="s">
        <v>110</v>
      </c>
      <c r="B27" s="540" t="s">
        <v>987</v>
      </c>
      <c r="C27" s="540"/>
      <c r="D27" s="540"/>
      <c r="E27" s="801"/>
      <c r="F27" s="943" t="s">
        <v>95</v>
      </c>
      <c r="G27" s="951">
        <f>inputOth!E16</f>
        <v>0</v>
      </c>
      <c r="H27" s="801"/>
      <c r="I27" s="801"/>
      <c r="J27" s="801"/>
    </row>
    <row r="28" spans="1:15" ht="15.75" x14ac:dyDescent="0.2">
      <c r="A28" s="950"/>
      <c r="B28" s="540"/>
      <c r="C28" s="540"/>
      <c r="D28" s="540"/>
      <c r="E28" s="801"/>
      <c r="F28" s="943"/>
      <c r="G28" s="639"/>
      <c r="H28" s="801"/>
      <c r="I28" s="801"/>
      <c r="J28" s="801"/>
    </row>
    <row r="29" spans="1:15" ht="15.75" x14ac:dyDescent="0.2">
      <c r="A29" s="950" t="s">
        <v>111</v>
      </c>
      <c r="B29" s="540" t="s">
        <v>988</v>
      </c>
      <c r="C29" s="540"/>
      <c r="D29" s="540"/>
      <c r="E29" s="801"/>
      <c r="F29" s="943" t="s">
        <v>95</v>
      </c>
      <c r="G29" s="952"/>
      <c r="H29" s="801"/>
      <c r="I29" s="801"/>
      <c r="J29" s="801"/>
    </row>
    <row r="30" spans="1:15" ht="15.75" x14ac:dyDescent="0.2">
      <c r="A30" s="950"/>
      <c r="B30" s="540" t="s">
        <v>989</v>
      </c>
      <c r="C30" s="540"/>
      <c r="D30" s="540"/>
      <c r="E30" s="801"/>
      <c r="F30" s="943"/>
      <c r="G30" s="639"/>
      <c r="H30" s="801"/>
      <c r="I30" s="801"/>
      <c r="J30" s="801"/>
    </row>
    <row r="31" spans="1:15" ht="15.75" x14ac:dyDescent="0.2">
      <c r="A31" s="540" t="s">
        <v>1</v>
      </c>
      <c r="B31" s="540"/>
      <c r="C31" s="540"/>
      <c r="D31" s="948"/>
      <c r="E31" s="639"/>
      <c r="F31" s="801"/>
      <c r="G31" s="801"/>
      <c r="H31" s="801"/>
      <c r="I31" s="801"/>
      <c r="J31" s="801"/>
    </row>
    <row r="32" spans="1:15" ht="15.75" x14ac:dyDescent="0.25">
      <c r="A32" s="953" t="s">
        <v>112</v>
      </c>
      <c r="B32" s="540" t="s">
        <v>990</v>
      </c>
      <c r="C32" s="540"/>
      <c r="D32" s="540"/>
      <c r="E32" s="801"/>
      <c r="F32" s="801"/>
      <c r="G32" s="944">
        <f>G12+G17+G23+G25+G27+G29</f>
        <v>17343</v>
      </c>
      <c r="H32" s="639"/>
      <c r="I32" s="801"/>
      <c r="J32" s="801"/>
    </row>
    <row r="33" spans="1:10" ht="15.75" x14ac:dyDescent="0.25">
      <c r="A33" s="953"/>
      <c r="B33" s="948"/>
      <c r="C33" s="540"/>
      <c r="D33" s="540"/>
      <c r="E33" s="801"/>
      <c r="F33" s="801"/>
      <c r="G33" s="639"/>
      <c r="H33" s="639"/>
      <c r="I33" s="801"/>
      <c r="J33" s="801"/>
    </row>
    <row r="34" spans="1:10" ht="15.75" x14ac:dyDescent="0.25">
      <c r="A34" s="953" t="s">
        <v>113</v>
      </c>
      <c r="B34" s="540" t="str">
        <f>CONCATENATE("Total estimated valuation July 1, ",J1-1)</f>
        <v>Total estimated valuation July 1, 2019</v>
      </c>
      <c r="C34" s="540"/>
      <c r="D34" s="540"/>
      <c r="E34" s="944">
        <f>inputOth!E7</f>
        <v>4873537</v>
      </c>
      <c r="F34" s="801"/>
      <c r="G34" s="801"/>
      <c r="H34" s="801"/>
      <c r="I34" s="943"/>
      <c r="J34" s="801"/>
    </row>
    <row r="35" spans="1:10" ht="15.75" x14ac:dyDescent="0.25">
      <c r="A35" s="953"/>
      <c r="B35" s="948"/>
      <c r="C35" s="540"/>
      <c r="D35" s="540"/>
      <c r="E35" s="639"/>
      <c r="F35" s="801"/>
      <c r="G35" s="801"/>
      <c r="H35" s="801"/>
      <c r="I35" s="943"/>
      <c r="J35" s="801"/>
    </row>
    <row r="36" spans="1:10" ht="15.75" x14ac:dyDescent="0.25">
      <c r="A36" s="953" t="s">
        <v>114</v>
      </c>
      <c r="B36" s="540" t="s">
        <v>991</v>
      </c>
      <c r="C36" s="540"/>
      <c r="D36" s="540"/>
      <c r="E36" s="540"/>
      <c r="F36" s="540"/>
      <c r="G36" s="954">
        <f>G32/(E34-G32)</f>
        <v>3.5713153140092837E-3</v>
      </c>
      <c r="H36" s="598"/>
      <c r="I36" s="540"/>
      <c r="J36" s="540"/>
    </row>
    <row r="37" spans="1:10" ht="15.75" x14ac:dyDescent="0.25">
      <c r="A37" s="953"/>
      <c r="B37" s="948"/>
      <c r="C37" s="540"/>
      <c r="D37" s="540"/>
      <c r="E37" s="540"/>
      <c r="F37" s="540"/>
      <c r="G37" s="598"/>
      <c r="H37" s="598"/>
      <c r="I37" s="540"/>
      <c r="J37" s="540"/>
    </row>
    <row r="38" spans="1:10" ht="15.75" x14ac:dyDescent="0.25">
      <c r="A38" s="953" t="s">
        <v>115</v>
      </c>
      <c r="B38" s="540" t="s">
        <v>992</v>
      </c>
      <c r="C38" s="540"/>
      <c r="D38" s="540"/>
      <c r="E38" s="540"/>
      <c r="F38" s="540"/>
      <c r="G38" s="598"/>
      <c r="H38" s="955" t="s">
        <v>95</v>
      </c>
      <c r="I38" s="540" t="s">
        <v>96</v>
      </c>
      <c r="J38" s="944">
        <f>ROUND(G36*J8,0)</f>
        <v>1084</v>
      </c>
    </row>
    <row r="39" spans="1:10" ht="15.75" x14ac:dyDescent="0.25">
      <c r="A39" s="956"/>
      <c r="B39" s="638"/>
      <c r="C39" s="638"/>
      <c r="D39" s="638"/>
      <c r="E39" s="638"/>
      <c r="F39" s="638"/>
      <c r="G39" s="638"/>
      <c r="H39" s="638"/>
      <c r="I39" s="638"/>
      <c r="J39" s="957"/>
    </row>
    <row r="40" spans="1:10" ht="15.75" x14ac:dyDescent="0.25">
      <c r="A40" s="956" t="s">
        <v>123</v>
      </c>
      <c r="B40" s="638" t="str">
        <f>CONCATENATE("Consumer Price Index for all urban consumers for calendar year ",J1-2," (5 year average)")</f>
        <v>Consumer Price Index for all urban consumers for calendar year 2018 (5 year average)</v>
      </c>
      <c r="C40" s="638"/>
      <c r="D40" s="638"/>
      <c r="E40" s="638"/>
      <c r="F40" s="638"/>
      <c r="G40" s="638"/>
      <c r="H40" s="638"/>
      <c r="I40" s="638"/>
      <c r="J40" s="958">
        <f>inputPrYr!C8</f>
        <v>1.4999999999999999E-2</v>
      </c>
    </row>
    <row r="41" spans="1:10" ht="15.75" x14ac:dyDescent="0.25">
      <c r="A41" s="956"/>
      <c r="B41" s="638"/>
      <c r="C41" s="638"/>
      <c r="D41" s="638"/>
      <c r="E41" s="638"/>
      <c r="F41" s="638"/>
      <c r="G41" s="638"/>
      <c r="H41" s="638"/>
      <c r="I41" s="638"/>
      <c r="J41" s="959"/>
    </row>
    <row r="42" spans="1:10" ht="15.75" x14ac:dyDescent="0.25">
      <c r="A42" s="956" t="s">
        <v>124</v>
      </c>
      <c r="B42" s="638" t="s">
        <v>993</v>
      </c>
      <c r="C42" s="638"/>
      <c r="D42" s="638"/>
      <c r="E42" s="638"/>
      <c r="F42" s="638"/>
      <c r="G42" s="638"/>
      <c r="H42" s="638"/>
      <c r="I42" s="960" t="s">
        <v>96</v>
      </c>
      <c r="J42" s="961">
        <f>ROUND(J8*J40,0)</f>
        <v>4554</v>
      </c>
    </row>
    <row r="43" spans="1:10" ht="15.75" x14ac:dyDescent="0.2">
      <c r="A43" s="962"/>
      <c r="B43" s="638"/>
      <c r="C43" s="638"/>
      <c r="D43" s="638"/>
      <c r="E43" s="638"/>
      <c r="F43" s="638"/>
      <c r="G43" s="638"/>
      <c r="H43" s="638"/>
      <c r="I43" s="638"/>
      <c r="J43" s="957"/>
    </row>
    <row r="44" spans="1:10" ht="15.75" x14ac:dyDescent="0.2">
      <c r="A44" s="962"/>
      <c r="B44" s="638"/>
      <c r="C44" s="638"/>
      <c r="D44" s="638"/>
      <c r="E44" s="638"/>
      <c r="F44" s="638"/>
      <c r="G44" s="638"/>
      <c r="H44" s="638"/>
      <c r="I44" s="638"/>
      <c r="J44" s="963"/>
    </row>
    <row r="45" spans="1:10" ht="18.75" x14ac:dyDescent="0.2">
      <c r="A45" s="964" t="s">
        <v>909</v>
      </c>
      <c r="B45" s="965" t="s">
        <v>994</v>
      </c>
      <c r="C45" s="965"/>
      <c r="D45" s="966"/>
      <c r="E45" s="966"/>
      <c r="F45" s="966"/>
      <c r="G45" s="966"/>
      <c r="H45" s="966"/>
      <c r="I45" s="960" t="s">
        <v>96</v>
      </c>
      <c r="J45" s="967">
        <f>J38+J42</f>
        <v>5638</v>
      </c>
    </row>
    <row r="46" spans="1:10" ht="18.75" x14ac:dyDescent="0.2">
      <c r="A46" s="966"/>
      <c r="B46" s="968"/>
      <c r="C46" s="966"/>
      <c r="D46" s="966"/>
      <c r="E46" s="966"/>
      <c r="F46" s="966"/>
      <c r="G46" s="966"/>
      <c r="H46" s="966"/>
      <c r="I46" s="960"/>
      <c r="J46" s="957"/>
    </row>
    <row r="47" spans="1:10" ht="18.75" x14ac:dyDescent="0.2">
      <c r="A47" s="966"/>
      <c r="B47" s="968"/>
      <c r="C47" s="966"/>
      <c r="D47" s="966"/>
      <c r="E47" s="966"/>
      <c r="F47" s="966"/>
      <c r="G47" s="966"/>
      <c r="H47" s="966"/>
      <c r="I47" s="960"/>
      <c r="J47" s="957"/>
    </row>
    <row r="48" spans="1:10" ht="15" customHeight="1" x14ac:dyDescent="0.2">
      <c r="A48" s="1053"/>
      <c r="B48" s="1053"/>
      <c r="C48" s="1053"/>
      <c r="D48" s="1053"/>
      <c r="E48" s="1053"/>
      <c r="F48" s="1053"/>
      <c r="G48" s="1053"/>
      <c r="H48" s="1053"/>
      <c r="I48" s="1053"/>
      <c r="J48" s="1053"/>
    </row>
    <row r="49" spans="1:10" ht="32.1" customHeight="1" x14ac:dyDescent="0.2">
      <c r="A49" s="969"/>
      <c r="B49" s="969"/>
      <c r="C49" s="969"/>
      <c r="D49" s="969"/>
      <c r="E49" s="969"/>
      <c r="F49" s="969"/>
      <c r="G49" s="969"/>
      <c r="H49" s="969"/>
      <c r="I49" s="969"/>
      <c r="J49" s="969"/>
    </row>
    <row r="50" spans="1:10" ht="15" customHeight="1" x14ac:dyDescent="0.2">
      <c r="A50" s="1051"/>
      <c r="B50" s="1051"/>
      <c r="C50" s="1051"/>
      <c r="D50" s="1051"/>
      <c r="E50" s="1051"/>
      <c r="F50" s="1051"/>
      <c r="G50" s="1051"/>
      <c r="H50" s="1051"/>
      <c r="I50" s="1051"/>
      <c r="J50" s="1051"/>
    </row>
    <row r="51" spans="1:10" ht="15" customHeight="1" x14ac:dyDescent="0.2">
      <c r="A51" s="1051"/>
      <c r="B51" s="1051"/>
      <c r="C51" s="1051"/>
      <c r="D51" s="1051"/>
      <c r="E51" s="1051"/>
      <c r="F51" s="1051"/>
      <c r="G51" s="1051"/>
      <c r="H51" s="1051"/>
      <c r="I51" s="1051"/>
      <c r="J51" s="1051"/>
    </row>
    <row r="52" spans="1:10" ht="15.95" customHeight="1" x14ac:dyDescent="0.2">
      <c r="J52" s="928"/>
    </row>
  </sheetData>
  <mergeCells count="5">
    <mergeCell ref="E4:G4"/>
    <mergeCell ref="A51:J51"/>
    <mergeCell ref="A50:J50"/>
    <mergeCell ref="A10:J10"/>
    <mergeCell ref="A48:J48"/>
  </mergeCells>
  <phoneticPr fontId="0" type="noConversion"/>
  <pageMargins left="0.5" right="0.5" top="1" bottom="0.5" header="0.5" footer="0.5"/>
  <pageSetup scale="80" orientation="portrait" blackAndWhite="1" r:id="rId1"/>
  <headerFooter alignWithMargins="0">
    <oddHeader xml:space="preserve">&amp;RState of Kansas
City
</oddHeader>
    <oddFooter>&amp;CPage No. 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pageSetUpPr fitToPage="1"/>
  </sheetPr>
  <dimension ref="A1:K53"/>
  <sheetViews>
    <sheetView topLeftCell="A31" workbookViewId="0">
      <selection activeCell="F24" sqref="F24"/>
    </sheetView>
  </sheetViews>
  <sheetFormatPr defaultRowHeight="15" x14ac:dyDescent="0.2"/>
  <cols>
    <col min="1" max="1" width="3.5546875" style="535" customWidth="1"/>
    <col min="2" max="2" width="9.77734375" customWidth="1"/>
    <col min="3" max="3" width="27.88671875" customWidth="1"/>
    <col min="4" max="4" width="13.6640625" customWidth="1"/>
    <col min="5" max="5" width="7.5546875" customWidth="1"/>
    <col min="6" max="6" width="5.33203125" customWidth="1"/>
    <col min="7" max="7" width="8" customWidth="1"/>
    <col min="8" max="8" width="3" customWidth="1"/>
    <col min="9" max="9" width="2.109375" customWidth="1"/>
    <col min="11" max="11" width="4.77734375" customWidth="1"/>
  </cols>
  <sheetData>
    <row r="1" spans="1:11" ht="15.75" x14ac:dyDescent="0.2">
      <c r="A1" s="497"/>
      <c r="B1" s="498"/>
      <c r="C1" s="499" t="str">
        <f>inputPrYr!D3</f>
        <v>UNIFIED GREELEY COUNTY - MUNICIPAL SERVICE DISTRICT</v>
      </c>
      <c r="D1" s="498"/>
      <c r="E1" s="498"/>
      <c r="F1" s="498"/>
      <c r="G1" s="498"/>
      <c r="H1" s="498"/>
      <c r="I1" s="498"/>
      <c r="J1" s="498"/>
      <c r="K1" s="500">
        <f>inputPrYr!C6</f>
        <v>2020</v>
      </c>
    </row>
    <row r="2" spans="1:11" ht="15.75" x14ac:dyDescent="0.2">
      <c r="A2" s="497"/>
      <c r="B2" s="498"/>
      <c r="C2" s="498"/>
      <c r="D2" s="498"/>
      <c r="E2" s="498"/>
      <c r="F2" s="498"/>
      <c r="G2" s="498"/>
      <c r="H2" s="498"/>
      <c r="I2" s="498"/>
      <c r="J2" s="498"/>
      <c r="K2" s="498"/>
    </row>
    <row r="3" spans="1:11" ht="15.75" x14ac:dyDescent="0.2">
      <c r="A3" s="497"/>
      <c r="B3" s="498"/>
      <c r="C3" s="498"/>
      <c r="D3" s="498"/>
      <c r="E3" s="501"/>
      <c r="F3" s="501"/>
      <c r="G3" s="501"/>
      <c r="H3" s="501"/>
      <c r="I3" s="501"/>
      <c r="J3" s="501"/>
      <c r="K3" s="501"/>
    </row>
    <row r="4" spans="1:11" ht="15.75" x14ac:dyDescent="0.2">
      <c r="A4" s="1054" t="str">
        <f>CONCATENATE(K1," Revenue Adjustments")</f>
        <v>2020 Revenue Adjustments</v>
      </c>
      <c r="B4" s="1054"/>
      <c r="C4" s="1054"/>
      <c r="D4" s="1054"/>
      <c r="E4" s="1054"/>
      <c r="F4" s="1054"/>
      <c r="G4" s="1054"/>
      <c r="H4" s="1054"/>
      <c r="I4" s="1054"/>
      <c r="J4" s="1054"/>
      <c r="K4" s="1054"/>
    </row>
    <row r="5" spans="1:11" ht="15.75" x14ac:dyDescent="0.2">
      <c r="A5" s="497"/>
      <c r="B5" s="498"/>
      <c r="C5" s="498"/>
      <c r="D5" s="498"/>
      <c r="E5" s="501"/>
      <c r="F5" s="501"/>
      <c r="G5" s="501"/>
      <c r="H5" s="501"/>
      <c r="I5" s="501"/>
      <c r="J5" s="501"/>
      <c r="K5" s="501"/>
    </row>
    <row r="6" spans="1:11" ht="15.75" x14ac:dyDescent="0.2">
      <c r="A6" s="502" t="s">
        <v>910</v>
      </c>
      <c r="B6" s="498" t="str">
        <f>CONCATENATE("Property tax revenues for debt service in  ",K1," budget:")</f>
        <v>Property tax revenues for debt service in  2020 budget:</v>
      </c>
      <c r="C6" s="498"/>
      <c r="D6" s="498"/>
      <c r="E6" s="503"/>
      <c r="F6" s="503"/>
      <c r="G6" s="504"/>
      <c r="H6" s="504"/>
      <c r="I6" s="503" t="s">
        <v>95</v>
      </c>
      <c r="J6" s="505">
        <f>'DebtSvs-Library'!E42</f>
        <v>0</v>
      </c>
      <c r="K6" s="501"/>
    </row>
    <row r="7" spans="1:11" ht="15.75" x14ac:dyDescent="0.2">
      <c r="A7" s="502"/>
      <c r="B7" s="498" t="str">
        <f>CONCATENATE("Property tax revenues for debt service in  ",K1-1," budget:")</f>
        <v>Property tax revenues for debt service in  2019 budget:</v>
      </c>
      <c r="C7" s="498"/>
      <c r="D7" s="498"/>
      <c r="E7" s="503"/>
      <c r="F7" s="503"/>
      <c r="G7" s="504"/>
      <c r="H7" s="504"/>
      <c r="I7" s="503" t="s">
        <v>98</v>
      </c>
      <c r="J7" s="506">
        <f>inputPrYr!E23</f>
        <v>0</v>
      </c>
      <c r="K7" s="501"/>
    </row>
    <row r="8" spans="1:11" ht="15.75" x14ac:dyDescent="0.2">
      <c r="A8" s="502"/>
      <c r="B8" s="498" t="s">
        <v>995</v>
      </c>
      <c r="C8" s="498"/>
      <c r="D8" s="498"/>
      <c r="E8" s="503"/>
      <c r="F8" s="503"/>
      <c r="G8" s="504"/>
      <c r="H8" s="504"/>
      <c r="I8" s="503"/>
      <c r="J8" s="506">
        <f>IF(J6-J7&gt;0,J6-J7,0)</f>
        <v>0</v>
      </c>
      <c r="K8" s="501"/>
    </row>
    <row r="9" spans="1:11" ht="15.75" x14ac:dyDescent="0.2">
      <c r="A9" s="502"/>
      <c r="B9" s="498"/>
      <c r="C9" s="498"/>
      <c r="D9" s="498"/>
      <c r="E9" s="503"/>
      <c r="F9" s="503"/>
      <c r="G9" s="504"/>
      <c r="H9" s="504"/>
      <c r="I9" s="503"/>
      <c r="J9" s="504"/>
      <c r="K9" s="501"/>
    </row>
    <row r="10" spans="1:11" ht="15.75" x14ac:dyDescent="0.2">
      <c r="A10" s="502"/>
      <c r="B10" s="507"/>
      <c r="C10" s="498"/>
      <c r="D10" s="498"/>
      <c r="E10" s="503"/>
      <c r="F10" s="503"/>
      <c r="G10" s="504"/>
      <c r="H10" s="504"/>
      <c r="I10" s="503"/>
      <c r="J10" s="504"/>
      <c r="K10" s="501"/>
    </row>
    <row r="11" spans="1:11" ht="15.75" x14ac:dyDescent="0.2">
      <c r="A11" s="502" t="s">
        <v>911</v>
      </c>
      <c r="B11" s="498" t="str">
        <f>CONCATENATE("Property tax revenues spent for public building commission and lease payments in the ",K1," budget:")</f>
        <v>Property tax revenues spent for public building commission and lease payments in the 2020 budget:</v>
      </c>
      <c r="C11" s="498"/>
      <c r="D11" s="498"/>
      <c r="E11" s="503"/>
      <c r="F11" s="503"/>
      <c r="G11" s="504"/>
      <c r="H11" s="504"/>
      <c r="I11" s="503" t="s">
        <v>95</v>
      </c>
      <c r="J11" s="496"/>
      <c r="K11" s="501"/>
    </row>
    <row r="12" spans="1:11" ht="15.75" x14ac:dyDescent="0.2">
      <c r="A12" s="497"/>
      <c r="B12" s="498" t="s">
        <v>996</v>
      </c>
      <c r="C12" s="498"/>
      <c r="D12" s="507"/>
      <c r="E12" s="504"/>
      <c r="F12" s="508"/>
      <c r="G12" s="504"/>
      <c r="H12" s="504"/>
      <c r="I12" s="508"/>
      <c r="J12" s="504"/>
      <c r="K12" s="501"/>
    </row>
    <row r="13" spans="1:11" ht="15.75" x14ac:dyDescent="0.2">
      <c r="A13" s="502"/>
      <c r="B13" s="498" t="s">
        <v>997</v>
      </c>
      <c r="C13" s="498"/>
      <c r="D13" s="507"/>
      <c r="E13" s="504"/>
      <c r="F13" s="508"/>
      <c r="G13" s="504"/>
      <c r="H13" s="504"/>
      <c r="I13" s="508"/>
      <c r="J13" s="504"/>
      <c r="K13" s="501"/>
    </row>
    <row r="14" spans="1:11" ht="15.75" x14ac:dyDescent="0.2">
      <c r="A14" s="502"/>
      <c r="B14" s="498"/>
      <c r="C14" s="498"/>
      <c r="D14" s="507"/>
      <c r="E14" s="504"/>
      <c r="F14" s="508"/>
      <c r="G14" s="504"/>
      <c r="H14" s="504"/>
      <c r="I14" s="508"/>
      <c r="J14" s="504"/>
      <c r="K14" s="501"/>
    </row>
    <row r="15" spans="1:11" ht="15.75" x14ac:dyDescent="0.2">
      <c r="A15" s="502"/>
      <c r="B15" s="498" t="s">
        <v>998</v>
      </c>
      <c r="C15" s="498"/>
      <c r="D15" s="498"/>
      <c r="E15" s="503"/>
      <c r="F15" s="503"/>
      <c r="G15" s="504"/>
      <c r="H15" s="504"/>
      <c r="I15" s="503" t="s">
        <v>98</v>
      </c>
      <c r="J15" s="496"/>
      <c r="K15" s="501"/>
    </row>
    <row r="16" spans="1:11" ht="15.75" x14ac:dyDescent="0.2">
      <c r="A16" s="502"/>
      <c r="B16" s="498" t="s">
        <v>999</v>
      </c>
      <c r="C16" s="498"/>
      <c r="D16" s="498"/>
      <c r="E16" s="503"/>
      <c r="F16" s="503"/>
      <c r="G16" s="504"/>
      <c r="H16" s="504"/>
      <c r="I16" s="503"/>
      <c r="J16" s="506">
        <f>IF(J11-J15&gt;0,J11-J15,0)</f>
        <v>0</v>
      </c>
      <c r="K16" s="501"/>
    </row>
    <row r="17" spans="1:11" ht="15.75" x14ac:dyDescent="0.2">
      <c r="A17" s="502"/>
      <c r="B17" s="498"/>
      <c r="C17" s="498"/>
      <c r="D17" s="498"/>
      <c r="E17" s="504"/>
      <c r="F17" s="504"/>
      <c r="G17" s="504"/>
      <c r="H17" s="504"/>
      <c r="I17" s="504"/>
      <c r="J17" s="504"/>
      <c r="K17" s="501"/>
    </row>
    <row r="18" spans="1:11" ht="15.75" x14ac:dyDescent="0.2">
      <c r="A18" s="502" t="s">
        <v>1000</v>
      </c>
      <c r="B18" s="498" t="str">
        <f>CONCATENATE("Property tax revenues spent on special assessments in the  ",K1," budget:")</f>
        <v>Property tax revenues spent on special assessments in the  2020 budget:</v>
      </c>
      <c r="C18" s="498"/>
      <c r="D18" s="498"/>
      <c r="E18" s="503"/>
      <c r="F18" s="503"/>
      <c r="G18" s="504"/>
      <c r="H18" s="504"/>
      <c r="I18" s="503" t="s">
        <v>95</v>
      </c>
      <c r="J18" s="496"/>
      <c r="K18" s="501"/>
    </row>
    <row r="19" spans="1:11" ht="15.75" x14ac:dyDescent="0.2">
      <c r="A19" s="509"/>
      <c r="B19" s="498" t="s">
        <v>997</v>
      </c>
      <c r="C19" s="510"/>
      <c r="D19" s="510"/>
      <c r="E19" s="504"/>
      <c r="F19" s="504"/>
      <c r="G19" s="504"/>
      <c r="H19" s="504"/>
      <c r="I19" s="504"/>
      <c r="J19" s="504"/>
      <c r="K19" s="504"/>
    </row>
    <row r="20" spans="1:11" ht="15.75" x14ac:dyDescent="0.2">
      <c r="A20" s="509"/>
      <c r="B20" s="510"/>
      <c r="C20" s="510"/>
      <c r="D20" s="511"/>
      <c r="E20" s="504"/>
      <c r="F20" s="504"/>
      <c r="G20" s="504"/>
      <c r="H20" s="504"/>
      <c r="I20" s="504"/>
      <c r="J20" s="504"/>
      <c r="K20" s="504"/>
    </row>
    <row r="21" spans="1:11" ht="15.75" x14ac:dyDescent="0.2">
      <c r="A21" s="509" t="s">
        <v>1001</v>
      </c>
      <c r="B21" s="498" t="str">
        <f>CONCATENATE("Property tax revenues spent on court judgments or settlements and associated legal costs in the ",K1," budget:")</f>
        <v>Property tax revenues spent on court judgments or settlements and associated legal costs in the 2020 budget:</v>
      </c>
      <c r="C21" s="510"/>
      <c r="D21" s="511"/>
      <c r="E21" s="504"/>
      <c r="F21" s="503"/>
      <c r="G21" s="504"/>
      <c r="H21" s="504"/>
      <c r="I21" s="503" t="s">
        <v>95</v>
      </c>
      <c r="J21" s="496"/>
      <c r="K21" s="504"/>
    </row>
    <row r="22" spans="1:11" ht="15.75" x14ac:dyDescent="0.2">
      <c r="A22" s="509"/>
      <c r="B22" s="510"/>
      <c r="C22" s="510"/>
      <c r="D22" s="511"/>
      <c r="E22" s="504"/>
      <c r="F22" s="504"/>
      <c r="G22" s="504"/>
      <c r="H22" s="504"/>
      <c r="I22" s="504"/>
      <c r="J22" s="504"/>
      <c r="K22" s="504"/>
    </row>
    <row r="23" spans="1:11" ht="15.75" x14ac:dyDescent="0.2">
      <c r="A23" s="509" t="s">
        <v>1002</v>
      </c>
      <c r="B23" s="498" t="s">
        <v>1003</v>
      </c>
      <c r="C23" s="510"/>
      <c r="D23" s="511"/>
      <c r="E23" s="504"/>
      <c r="F23" s="504"/>
      <c r="G23" s="504"/>
      <c r="H23" s="504"/>
      <c r="I23" s="504"/>
      <c r="J23" s="504"/>
      <c r="K23" s="504"/>
    </row>
    <row r="24" spans="1:11" ht="15.75" x14ac:dyDescent="0.2">
      <c r="A24" s="509"/>
      <c r="B24" s="498" t="str">
        <f>CONCATENATE("and loss of funding from Federal sources after January 1, 2017 in the ",K1," budget:")</f>
        <v>and loss of funding from Federal sources after January 1, 2017 in the 2020 budget:</v>
      </c>
      <c r="C24" s="510"/>
      <c r="D24" s="511"/>
      <c r="E24" s="504"/>
      <c r="F24" s="503"/>
      <c r="G24" s="504"/>
      <c r="H24" s="504"/>
      <c r="I24" s="503" t="s">
        <v>95</v>
      </c>
      <c r="J24" s="496"/>
      <c r="K24" s="504"/>
    </row>
    <row r="25" spans="1:11" ht="15.75" x14ac:dyDescent="0.2">
      <c r="A25" s="509"/>
      <c r="B25" s="510"/>
      <c r="C25" s="510"/>
      <c r="D25" s="510"/>
      <c r="E25" s="504"/>
      <c r="F25" s="508"/>
      <c r="G25" s="504"/>
      <c r="H25" s="504"/>
      <c r="I25" s="508"/>
      <c r="J25" s="504"/>
      <c r="K25" s="504"/>
    </row>
    <row r="26" spans="1:11" ht="15.75" x14ac:dyDescent="0.2">
      <c r="A26" s="509" t="s">
        <v>1004</v>
      </c>
      <c r="B26" s="498" t="str">
        <f>CONCATENATE("Property tax revenues spent on expenses realted to disaster or Federal Emergency in the ",K1," budget:")</f>
        <v>Property tax revenues spent on expenses realted to disaster or Federal Emergency in the 2020 budget:</v>
      </c>
      <c r="C26" s="510"/>
      <c r="D26" s="511"/>
      <c r="E26" s="504"/>
      <c r="F26" s="503"/>
      <c r="G26" s="504"/>
      <c r="H26" s="504"/>
      <c r="I26" s="503" t="s">
        <v>95</v>
      </c>
      <c r="J26" s="496"/>
      <c r="K26" s="504"/>
    </row>
    <row r="27" spans="1:11" ht="15.75" x14ac:dyDescent="0.2">
      <c r="A27" s="509"/>
      <c r="B27" s="498"/>
      <c r="C27" s="510"/>
      <c r="D27" s="511"/>
      <c r="E27" s="504"/>
      <c r="F27" s="503"/>
      <c r="G27" s="504"/>
      <c r="H27" s="504"/>
      <c r="I27" s="503"/>
      <c r="J27" s="504"/>
      <c r="K27" s="504"/>
    </row>
    <row r="28" spans="1:11" ht="15.75" x14ac:dyDescent="0.2">
      <c r="A28" s="509"/>
      <c r="B28" s="510"/>
      <c r="C28" s="510"/>
      <c r="D28" s="510"/>
      <c r="E28" s="504"/>
      <c r="F28" s="504"/>
      <c r="G28" s="504"/>
      <c r="H28" s="504"/>
      <c r="I28" s="504"/>
      <c r="J28" s="504"/>
      <c r="K28" s="504"/>
    </row>
    <row r="29" spans="1:11" ht="15.75" x14ac:dyDescent="0.2">
      <c r="A29" s="509" t="s">
        <v>1005</v>
      </c>
      <c r="B29" s="498" t="str">
        <f>CONCATENATE("Law enforcement expenses - ",K1," budget:")</f>
        <v>Law enforcement expenses - 2020 budget:</v>
      </c>
      <c r="C29" s="510"/>
      <c r="D29" s="510"/>
      <c r="E29" s="504"/>
      <c r="F29" s="512" t="s">
        <v>95</v>
      </c>
      <c r="G29" s="496"/>
      <c r="H29" s="504"/>
      <c r="I29" s="504"/>
      <c r="J29" s="504"/>
      <c r="K29" s="504"/>
    </row>
    <row r="30" spans="1:11" ht="15.75" x14ac:dyDescent="0.25">
      <c r="A30" s="509"/>
      <c r="B30" s="498" t="str">
        <f>CONCATENATE("Law enforcement expenses - ",K1-1," budget:")</f>
        <v>Law enforcement expenses - 2019 budget:</v>
      </c>
      <c r="C30" s="510"/>
      <c r="D30" s="510"/>
      <c r="E30" s="504"/>
      <c r="F30" s="513" t="s">
        <v>98</v>
      </c>
      <c r="G30" s="514"/>
      <c r="H30" s="504"/>
      <c r="I30" s="504"/>
      <c r="J30" s="508"/>
      <c r="K30" s="504"/>
    </row>
    <row r="31" spans="1:11" ht="15.75" x14ac:dyDescent="0.2">
      <c r="A31" s="509"/>
      <c r="B31" s="498" t="s">
        <v>1006</v>
      </c>
      <c r="C31" s="510"/>
      <c r="D31" s="510"/>
      <c r="E31" s="515">
        <f>inputPrYr!C8</f>
        <v>1.4999999999999999E-2</v>
      </c>
      <c r="F31" s="504"/>
      <c r="G31" s="506">
        <f>G30*E31</f>
        <v>0</v>
      </c>
      <c r="H31" s="504"/>
      <c r="I31" s="504"/>
      <c r="J31" s="508"/>
      <c r="K31" s="504"/>
    </row>
    <row r="32" spans="1:11" ht="15.75" x14ac:dyDescent="0.2">
      <c r="A32" s="509"/>
      <c r="B32" s="498" t="str">
        <f>CONCATENATE("Increased law enforcement expenses in ",K1," budget:")</f>
        <v>Increased law enforcement expenses in 2020 budget:</v>
      </c>
      <c r="C32" s="510"/>
      <c r="D32" s="510"/>
      <c r="E32" s="504"/>
      <c r="F32" s="504"/>
      <c r="G32" s="504"/>
      <c r="H32" s="504"/>
      <c r="I32" s="503" t="s">
        <v>95</v>
      </c>
      <c r="J32" s="505">
        <f>IF(G29-G30-G31&gt;0, G29-G30-G31,0)</f>
        <v>0</v>
      </c>
      <c r="K32" s="504"/>
    </row>
    <row r="33" spans="1:11" ht="15.75" x14ac:dyDescent="0.2">
      <c r="A33" s="509"/>
      <c r="B33" s="511" t="s">
        <v>1007</v>
      </c>
      <c r="C33" s="510"/>
      <c r="D33" s="510"/>
      <c r="E33" s="504"/>
      <c r="F33" s="504"/>
      <c r="G33" s="504"/>
      <c r="H33" s="504"/>
      <c r="I33" s="504"/>
      <c r="J33" s="508"/>
      <c r="K33" s="504"/>
    </row>
    <row r="34" spans="1:11" ht="15.75" x14ac:dyDescent="0.2">
      <c r="A34" s="509"/>
      <c r="B34" s="510"/>
      <c r="C34" s="510"/>
      <c r="D34" s="510"/>
      <c r="E34" s="510"/>
      <c r="F34" s="510"/>
      <c r="G34" s="516"/>
      <c r="H34" s="516"/>
      <c r="I34" s="510"/>
      <c r="J34" s="510"/>
      <c r="K34" s="510"/>
    </row>
    <row r="35" spans="1:11" ht="15.75" x14ac:dyDescent="0.2">
      <c r="A35" s="509" t="s">
        <v>1008</v>
      </c>
      <c r="B35" s="498" t="str">
        <f>CONCATENATE("Fire protection expenses - ",K1," budget:")</f>
        <v>Fire protection expenses - 2020 budget:</v>
      </c>
      <c r="C35" s="510"/>
      <c r="D35" s="510"/>
      <c r="E35" s="504"/>
      <c r="F35" s="512" t="s">
        <v>95</v>
      </c>
      <c r="G35" s="496"/>
      <c r="H35" s="504"/>
      <c r="I35" s="504"/>
      <c r="J35" s="504"/>
      <c r="K35" s="504"/>
    </row>
    <row r="36" spans="1:11" ht="15.75" x14ac:dyDescent="0.25">
      <c r="A36" s="509"/>
      <c r="B36" s="498" t="str">
        <f>CONCATENATE("Fire protection expenses - ",K1-1," budget:")</f>
        <v>Fire protection expenses - 2019 budget:</v>
      </c>
      <c r="C36" s="510"/>
      <c r="D36" s="510"/>
      <c r="E36" s="504"/>
      <c r="F36" s="513" t="s">
        <v>98</v>
      </c>
      <c r="G36" s="514"/>
      <c r="H36" s="504"/>
      <c r="I36" s="504"/>
      <c r="J36" s="508"/>
      <c r="K36" s="504"/>
    </row>
    <row r="37" spans="1:11" ht="15.75" x14ac:dyDescent="0.2">
      <c r="A37" s="509"/>
      <c r="B37" s="498" t="s">
        <v>1006</v>
      </c>
      <c r="C37" s="510"/>
      <c r="D37" s="510"/>
      <c r="E37" s="515">
        <f>inputPrYr!C8</f>
        <v>1.4999999999999999E-2</v>
      </c>
      <c r="F37" s="504"/>
      <c r="G37" s="506">
        <f>G36*E37</f>
        <v>0</v>
      </c>
      <c r="H37" s="504"/>
      <c r="I37" s="504"/>
      <c r="J37" s="508"/>
      <c r="K37" s="504"/>
    </row>
    <row r="38" spans="1:11" ht="15.75" x14ac:dyDescent="0.2">
      <c r="A38" s="509"/>
      <c r="B38" s="498" t="str">
        <f>CONCATENATE("Increased fire protection expense in ",K1," budget:")</f>
        <v>Increased fire protection expense in 2020 budget:</v>
      </c>
      <c r="C38" s="510"/>
      <c r="D38" s="510"/>
      <c r="E38" s="504"/>
      <c r="F38" s="504"/>
      <c r="G38" s="504"/>
      <c r="H38" s="504"/>
      <c r="I38" s="503" t="s">
        <v>95</v>
      </c>
      <c r="J38" s="505">
        <f>IF(G35-G36-G37&gt;0, G35-G36-G37,0)</f>
        <v>0</v>
      </c>
      <c r="K38" s="504"/>
    </row>
    <row r="39" spans="1:11" ht="15.75" x14ac:dyDescent="0.2">
      <c r="A39" s="517"/>
      <c r="B39" s="511" t="s">
        <v>1007</v>
      </c>
      <c r="C39" s="510"/>
      <c r="D39" s="510"/>
      <c r="E39" s="510"/>
      <c r="F39" s="510"/>
      <c r="G39" s="510"/>
      <c r="H39" s="510"/>
      <c r="I39" s="510"/>
      <c r="J39" s="510"/>
      <c r="K39" s="504"/>
    </row>
    <row r="40" spans="1:11" ht="15.75" x14ac:dyDescent="0.2">
      <c r="A40" s="509"/>
      <c r="B40" s="510"/>
      <c r="C40" s="510"/>
      <c r="D40" s="510"/>
      <c r="E40" s="510"/>
      <c r="F40" s="510"/>
      <c r="G40" s="510"/>
      <c r="H40" s="510"/>
      <c r="I40" s="510"/>
      <c r="J40" s="510"/>
      <c r="K40" s="518"/>
    </row>
    <row r="41" spans="1:11" ht="15.75" x14ac:dyDescent="0.2">
      <c r="A41" s="509" t="s">
        <v>1009</v>
      </c>
      <c r="B41" s="498" t="str">
        <f>CONCATENATE("Emergency medical expenses - ",K1," budget:")</f>
        <v>Emergency medical expenses - 2020 budget:</v>
      </c>
      <c r="C41" s="510"/>
      <c r="D41" s="510"/>
      <c r="E41" s="504"/>
      <c r="F41" s="512" t="s">
        <v>95</v>
      </c>
      <c r="G41" s="496"/>
      <c r="H41" s="504"/>
      <c r="I41" s="504"/>
      <c r="J41" s="504"/>
      <c r="K41" s="504"/>
    </row>
    <row r="42" spans="1:11" ht="15.75" x14ac:dyDescent="0.25">
      <c r="A42" s="509"/>
      <c r="B42" s="498" t="str">
        <f>CONCATENATE("Emergency medical expenses - ",K1-1," budget:")</f>
        <v>Emergency medical expenses - 2019 budget:</v>
      </c>
      <c r="C42" s="510"/>
      <c r="D42" s="510"/>
      <c r="E42" s="504"/>
      <c r="F42" s="513" t="s">
        <v>98</v>
      </c>
      <c r="G42" s="514"/>
      <c r="H42" s="504"/>
      <c r="I42" s="504"/>
      <c r="J42" s="508"/>
      <c r="K42" s="504"/>
    </row>
    <row r="43" spans="1:11" ht="15.75" x14ac:dyDescent="0.2">
      <c r="A43" s="519"/>
      <c r="B43" s="498" t="s">
        <v>1006</v>
      </c>
      <c r="C43" s="510"/>
      <c r="D43" s="510"/>
      <c r="E43" s="515">
        <f>inputPrYr!C8</f>
        <v>1.4999999999999999E-2</v>
      </c>
      <c r="F43" s="504"/>
      <c r="G43" s="506">
        <f>G42*E43</f>
        <v>0</v>
      </c>
      <c r="H43" s="504"/>
      <c r="I43" s="504"/>
      <c r="J43" s="508"/>
      <c r="K43" s="504"/>
    </row>
    <row r="44" spans="1:11" ht="15.75" x14ac:dyDescent="0.2">
      <c r="A44" s="519"/>
      <c r="B44" s="498" t="str">
        <f>CONCATENATE("Increased emergency medical expenses in ",K1," budget:")</f>
        <v>Increased emergency medical expenses in 2020 budget:</v>
      </c>
      <c r="C44" s="510"/>
      <c r="D44" s="510"/>
      <c r="E44" s="504"/>
      <c r="F44" s="504"/>
      <c r="G44" s="504"/>
      <c r="H44" s="504"/>
      <c r="I44" s="503" t="s">
        <v>95</v>
      </c>
      <c r="J44" s="505">
        <f>IF(G41-G42-G43&gt;0, G41-G42-G43,0)</f>
        <v>0</v>
      </c>
      <c r="K44" s="504"/>
    </row>
    <row r="45" spans="1:11" ht="15.75" x14ac:dyDescent="0.2">
      <c r="A45" s="519"/>
      <c r="B45" s="511" t="s">
        <v>1007</v>
      </c>
      <c r="C45" s="510"/>
      <c r="D45" s="520"/>
      <c r="E45" s="520"/>
      <c r="F45" s="520"/>
      <c r="G45" s="520"/>
      <c r="H45" s="520"/>
      <c r="I45" s="520"/>
      <c r="J45" s="520"/>
      <c r="K45" s="521"/>
    </row>
    <row r="46" spans="1:11" ht="15.75" x14ac:dyDescent="0.2">
      <c r="A46" s="519"/>
      <c r="B46" s="520"/>
      <c r="C46" s="520"/>
      <c r="D46" s="520"/>
      <c r="E46" s="520"/>
      <c r="F46" s="520"/>
      <c r="G46" s="520"/>
      <c r="H46" s="520"/>
      <c r="I46" s="520"/>
      <c r="J46" s="522"/>
      <c r="K46" s="523"/>
    </row>
    <row r="47" spans="1:11" ht="15.75" x14ac:dyDescent="0.2">
      <c r="A47" s="519"/>
      <c r="B47" s="520"/>
      <c r="C47" s="520"/>
      <c r="D47" s="520"/>
      <c r="E47" s="520"/>
      <c r="F47" s="520"/>
      <c r="G47" s="520"/>
      <c r="H47" s="520"/>
      <c r="I47" s="520"/>
      <c r="J47" s="520"/>
      <c r="K47" s="523"/>
    </row>
    <row r="48" spans="1:11" ht="15.75" x14ac:dyDescent="0.2">
      <c r="A48" s="524" t="s">
        <v>1010</v>
      </c>
      <c r="B48" s="525" t="s">
        <v>1011</v>
      </c>
      <c r="C48" s="525"/>
      <c r="D48" s="520"/>
      <c r="E48" s="520"/>
      <c r="F48" s="520"/>
      <c r="G48" s="520"/>
      <c r="H48" s="520"/>
      <c r="I48" s="520"/>
      <c r="J48" s="526">
        <f>J8+J16+J18+J21+J24+J26+J32+J38+J44</f>
        <v>0</v>
      </c>
      <c r="K48" s="523"/>
    </row>
    <row r="49" spans="1:11" ht="18.75" x14ac:dyDescent="0.2">
      <c r="A49" s="519"/>
      <c r="B49" s="520"/>
      <c r="C49" s="520"/>
      <c r="D49" s="527"/>
      <c r="E49" s="527"/>
      <c r="F49" s="527"/>
      <c r="G49" s="527"/>
      <c r="H49" s="527"/>
      <c r="I49" s="527"/>
      <c r="J49" s="522"/>
      <c r="K49" s="523"/>
    </row>
    <row r="50" spans="1:11" ht="18.75" x14ac:dyDescent="0.2">
      <c r="A50" s="528"/>
      <c r="B50" s="528"/>
      <c r="C50" s="529"/>
      <c r="D50" s="529"/>
      <c r="E50" s="529"/>
      <c r="F50" s="529"/>
      <c r="G50" s="529"/>
      <c r="H50" s="529"/>
      <c r="I50" s="529"/>
      <c r="J50" s="530"/>
      <c r="K50" s="523"/>
    </row>
    <row r="51" spans="1:11" ht="18.75" x14ac:dyDescent="0.2">
      <c r="A51" s="528"/>
      <c r="B51" s="528"/>
      <c r="C51" s="531"/>
      <c r="D51" s="529"/>
      <c r="E51" s="529"/>
      <c r="F51" s="529"/>
      <c r="G51" s="529"/>
      <c r="H51" s="529"/>
      <c r="I51" s="529"/>
      <c r="J51" s="532"/>
      <c r="K51" s="523"/>
    </row>
    <row r="52" spans="1:11" ht="15.75" x14ac:dyDescent="0.2">
      <c r="A52" s="1055"/>
      <c r="B52" s="1055"/>
      <c r="C52" s="1055"/>
      <c r="D52" s="1055"/>
      <c r="E52" s="1055"/>
      <c r="F52" s="1055"/>
      <c r="G52" s="1055"/>
      <c r="H52" s="1055"/>
      <c r="I52" s="1055"/>
      <c r="J52" s="1055"/>
      <c r="K52" s="1055"/>
    </row>
    <row r="53" spans="1:11" ht="15.75" x14ac:dyDescent="0.2">
      <c r="A53" s="533"/>
      <c r="B53" s="534"/>
      <c r="C53" s="534"/>
      <c r="D53" s="534"/>
      <c r="E53" s="534"/>
      <c r="F53" s="534"/>
      <c r="G53" s="534"/>
      <c r="H53" s="534"/>
      <c r="I53" s="534"/>
      <c r="J53" s="534"/>
      <c r="K53" s="534"/>
    </row>
  </sheetData>
  <mergeCells count="2">
    <mergeCell ref="A4:K4"/>
    <mergeCell ref="A52:K52"/>
  </mergeCells>
  <pageMargins left="0.7" right="0.7" top="0.75" bottom="0.75" header="0.3" footer="0.3"/>
  <pageSetup scale="80" orientation="portrait" blackAndWhite="1"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C9DC4551578746BB2D5CB3C7D70B0F" ma:contentTypeVersion="5" ma:contentTypeDescription="Create a new document." ma:contentTypeScope="" ma:versionID="f65cf4c426069482c0b6b078f7fc405b">
  <xsd:schema xmlns:xsd="http://www.w3.org/2001/XMLSchema" xmlns:xs="http://www.w3.org/2001/XMLSchema" xmlns:p="http://schemas.microsoft.com/office/2006/metadata/properties" xmlns:ns2="1895758b-fcac-4748-aa0a-5720d2d7d486" targetNamespace="http://schemas.microsoft.com/office/2006/metadata/properties" ma:root="true" ma:fieldsID="2a18d949ea3a3b4bc39022365f5ecb7f" ns2:_="">
    <xsd:import namespace="1895758b-fcac-4748-aa0a-5720d2d7d48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95758b-fcac-4748-aa0a-5720d2d7d4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29FA612-DCF9-4049-94D7-82452DD03B5B}"/>
</file>

<file path=customXml/itemProps2.xml><?xml version="1.0" encoding="utf-8"?>
<ds:datastoreItem xmlns:ds="http://schemas.openxmlformats.org/officeDocument/2006/customXml" ds:itemID="{BF8FB461-9A23-4C9C-A62A-793867E2F082}"/>
</file>

<file path=customXml/itemProps3.xml><?xml version="1.0" encoding="utf-8"?>
<ds:datastoreItem xmlns:ds="http://schemas.openxmlformats.org/officeDocument/2006/customXml" ds:itemID="{016FBB2B-9CA2-4E7E-98A4-4C63FE6F2B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8</vt:i4>
      </vt:variant>
    </vt:vector>
  </HeadingPairs>
  <TitlesOfParts>
    <vt:vector size="43" baseType="lpstr">
      <vt:lpstr>Instructions</vt:lpstr>
      <vt:lpstr>inputPrYr</vt:lpstr>
      <vt:lpstr>inputOth</vt:lpstr>
      <vt:lpstr>inputBudSum</vt:lpstr>
      <vt:lpstr>CPA Summary</vt:lpstr>
      <vt:lpstr>CERT-SIGNED</vt:lpstr>
      <vt:lpstr>CERT</vt:lpstr>
      <vt:lpstr>Comp1</vt:lpstr>
      <vt:lpstr>Comp2</vt:lpstr>
      <vt:lpstr>Comp3</vt:lpstr>
      <vt:lpstr>MVALLOC</vt:lpstr>
      <vt:lpstr>TRANSFERS</vt:lpstr>
      <vt:lpstr>TransferStatutes</vt:lpstr>
      <vt:lpstr>DEBT</vt:lpstr>
      <vt:lpstr>LP FORM</vt:lpstr>
      <vt:lpstr>Library Grant </vt:lpstr>
      <vt:lpstr>GEN</vt:lpstr>
      <vt:lpstr>DebtSvs-Library</vt:lpstr>
      <vt:lpstr>SP-SS</vt:lpstr>
      <vt:lpstr>SAN-SEW</vt:lpstr>
      <vt:lpstr>WW</vt:lpstr>
      <vt:lpstr>NONBUDA</vt:lpstr>
      <vt:lpstr>NONBUDB</vt:lpstr>
      <vt:lpstr>NonBudFunds</vt:lpstr>
      <vt:lpstr>SUMM</vt:lpstr>
      <vt:lpstr>AFFIDAVIT</vt:lpstr>
      <vt:lpstr>nhood</vt:lpstr>
      <vt:lpstr>Tab A</vt:lpstr>
      <vt:lpstr>Tab B</vt:lpstr>
      <vt:lpstr>Tab C</vt:lpstr>
      <vt:lpstr>Tab D</vt:lpstr>
      <vt:lpstr>Tab E</vt:lpstr>
      <vt:lpstr>Mill Rate Computation</vt:lpstr>
      <vt:lpstr>Helpful Links</vt:lpstr>
      <vt:lpstr>Legend</vt:lpstr>
      <vt:lpstr>Comp1!Print_Area</vt:lpstr>
      <vt:lpstr>'DebtSvs-Library'!Print_Area</vt:lpstr>
      <vt:lpstr>GEN!Print_Area</vt:lpstr>
      <vt:lpstr>inputPrYr!Print_Area</vt:lpstr>
      <vt:lpstr>Instructions!Print_Area</vt:lpstr>
      <vt:lpstr>'Library Grant '!Print_Area</vt:lpstr>
      <vt:lpstr>'LP FORM'!Print_Area</vt:lpstr>
      <vt:lpstr>SUMM!Print_Area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Roger Basinger</cp:lastModifiedBy>
  <cp:lastPrinted>2019-07-19T20:10:33Z</cp:lastPrinted>
  <dcterms:created xsi:type="dcterms:W3CDTF">1999-08-03T13:11:47Z</dcterms:created>
  <dcterms:modified xsi:type="dcterms:W3CDTF">2019-08-16T15:06:49Z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0x010100DAC9DC4551578746BB2D5CB3C7D70B0F</vt:lpwstr>
  </property>
</Properties>
</file>