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Stacy.Cooper\Desktop\2020 Budgets to Review\Lincoln County\"/>
    </mc:Choice>
  </mc:AlternateContent>
  <xr:revisionPtr revIDLastSave="0" documentId="10_ncr:100000_{6CE68EEB-0FE6-4924-A7EC-FF938E49D83B}" xr6:coauthVersionLast="31" xr6:coauthVersionMax="31" xr10:uidLastSave="{00000000-0000-0000-0000-000000000000}"/>
  <bookViews>
    <workbookView xWindow="0" yWindow="0" windowWidth="28800" windowHeight="11925" tabRatio="843" firstSheet="2" activeTab="5" xr2:uid="{00000000-000D-0000-FFFF-FFFF00000000}"/>
  </bookViews>
  <sheets>
    <sheet name="instructions" sheetId="1" r:id="rId1"/>
    <sheet name="inputPrYr" sheetId="2" r:id="rId2"/>
    <sheet name="inputOth" sheetId="20" r:id="rId3"/>
    <sheet name="inputBudSum" sheetId="32" r:id="rId4"/>
    <sheet name="CPA Summary" sheetId="41" state="hidden" r:id="rId5"/>
    <sheet name="cert" sheetId="3" r:id="rId6"/>
    <sheet name="computation" sheetId="14" r:id="rId7"/>
    <sheet name="mvalloc" sheetId="4" r:id="rId8"/>
    <sheet name="transfer" sheetId="21" r:id="rId9"/>
    <sheet name="TransferStatutes" sheetId="24" state="hidden" r:id="rId10"/>
    <sheet name="debt" sheetId="13" r:id="rId11"/>
    <sheet name="Library Grant" sheetId="35" state="hidden" r:id="rId12"/>
    <sheet name="gen" sheetId="6" r:id="rId13"/>
    <sheet name="DebtSvs-Library" sheetId="36" state="hidden" r:id="rId14"/>
    <sheet name="road" sheetId="7" state="hidden" r:id="rId15"/>
    <sheet name="SpecRoad&amp;Noxious" sheetId="8" state="hidden" r:id="rId16"/>
    <sheet name="levypage10" sheetId="9" state="hidden" r:id="rId17"/>
    <sheet name="levypage11" sheetId="10" state="hidden" r:id="rId18"/>
    <sheet name="levypage12" sheetId="11" state="hidden" r:id="rId19"/>
    <sheet name="nolevypage13" sheetId="17" state="hidden" r:id="rId20"/>
    <sheet name="nolevypage14" sheetId="18" state="hidden" r:id="rId21"/>
    <sheet name="nonbud" sheetId="25" state="hidden" r:id="rId22"/>
    <sheet name="NonBudFunds" sheetId="31" state="hidden" r:id="rId23"/>
    <sheet name="summ" sheetId="12" r:id="rId24"/>
    <sheet name="SignCert" sheetId="42" r:id="rId25"/>
    <sheet name="ProofPub" sheetId="43" r:id="rId26"/>
    <sheet name="nhood" sheetId="23" state="hidden" r:id="rId27"/>
    <sheet name="Notice of Vote" sheetId="38" state="hidden" r:id="rId28"/>
    <sheet name="Resolution" sheetId="40" state="hidden" r:id="rId29"/>
    <sheet name="Tab A" sheetId="26" state="hidden" r:id="rId30"/>
    <sheet name="Tab B" sheetId="27" state="hidden" r:id="rId31"/>
    <sheet name="Tab C" sheetId="28" state="hidden" r:id="rId32"/>
    <sheet name="Tab D" sheetId="29" state="hidden" r:id="rId33"/>
    <sheet name="Tab E" sheetId="30" state="hidden" r:id="rId34"/>
    <sheet name="Mill Rate Computation" sheetId="33" state="hidden" r:id="rId35"/>
    <sheet name="Helpful Links" sheetId="34" state="hidden" r:id="rId36"/>
    <sheet name="legend" sheetId="15" state="hidden" r:id="rId37"/>
  </sheets>
  <definedNames>
    <definedName name="_xlnm.Print_Area" localSheetId="13">'DebtSvs-Library'!$B$1:$E$88</definedName>
    <definedName name="_xlnm.Print_Area" localSheetId="12">gen!$B$1:$E$63</definedName>
    <definedName name="_xlnm.Print_Area" localSheetId="1">inputPrYr!$A$1:$E$96</definedName>
    <definedName name="_xlnm.Print_Area" localSheetId="16">levypage10!$A$1:$E$97</definedName>
    <definedName name="_xlnm.Print_Area" localSheetId="17">levypage11!$A$1:$E$97</definedName>
    <definedName name="_xlnm.Print_Area" localSheetId="18">levypage12!$A$1:$E$98</definedName>
    <definedName name="_xlnm.Print_Area" localSheetId="11">'Library Grant'!$A$1:$J$40</definedName>
    <definedName name="_xlnm.Print_Area" localSheetId="28">Resolution!$B$5:$B$16</definedName>
    <definedName name="_xlnm.Print_Area" localSheetId="14">road!$B$1:$E$71</definedName>
    <definedName name="_xlnm.Print_Area" localSheetId="15">'SpecRoad&amp;Noxious'!$A$1:$E$97</definedName>
    <definedName name="_xlnm.Print_Area" localSheetId="23">summ!$A$2:$H$54</definedName>
  </definedNames>
  <calcPr calcId="179017"/>
</workbook>
</file>

<file path=xl/calcChain.xml><?xml version="1.0" encoding="utf-8"?>
<calcChain xmlns="http://schemas.openxmlformats.org/spreadsheetml/2006/main">
  <c r="J36" i="14" l="1"/>
  <c r="A22" i="20"/>
  <c r="E26" i="20"/>
  <c r="G18" i="14" s="1"/>
  <c r="A25" i="20"/>
  <c r="A24" i="20"/>
  <c r="E13" i="23"/>
  <c r="E60" i="9" s="1"/>
  <c r="E75" i="9"/>
  <c r="E74" i="9" s="1"/>
  <c r="E12" i="23"/>
  <c r="E19" i="9" s="1"/>
  <c r="E10" i="23"/>
  <c r="E19" i="8" s="1"/>
  <c r="C3" i="40"/>
  <c r="C2" i="40"/>
  <c r="B12" i="40" s="1"/>
  <c r="C1" i="40"/>
  <c r="C22" i="4"/>
  <c r="K22" i="4" s="1"/>
  <c r="C21" i="4"/>
  <c r="C20" i="4"/>
  <c r="C19" i="4"/>
  <c r="F19" i="4" s="1"/>
  <c r="E11" i="10" s="1"/>
  <c r="C18" i="4"/>
  <c r="F18" i="4" s="1"/>
  <c r="C17" i="4"/>
  <c r="C16" i="4"/>
  <c r="J16" i="4" s="1"/>
  <c r="E54" i="8" s="1"/>
  <c r="H16" i="4"/>
  <c r="E53" i="8" s="1"/>
  <c r="C15" i="4"/>
  <c r="H15" i="4"/>
  <c r="E12" i="8" s="1"/>
  <c r="C14" i="4"/>
  <c r="C13" i="4"/>
  <c r="H13" i="4" s="1"/>
  <c r="C12" i="4"/>
  <c r="C11" i="4"/>
  <c r="C23" i="4" s="1"/>
  <c r="A82" i="20"/>
  <c r="B6" i="38"/>
  <c r="H2" i="38"/>
  <c r="B7" i="38" s="1"/>
  <c r="G16" i="35"/>
  <c r="E19" i="35"/>
  <c r="E18" i="35"/>
  <c r="E17" i="35"/>
  <c r="E16" i="35"/>
  <c r="A9" i="20"/>
  <c r="D40" i="36"/>
  <c r="E40" i="36"/>
  <c r="D81" i="36"/>
  <c r="C36" i="36"/>
  <c r="C77" i="36"/>
  <c r="D77" i="36"/>
  <c r="D36" i="36"/>
  <c r="C19" i="3"/>
  <c r="A19" i="3"/>
  <c r="E20" i="12"/>
  <c r="E29" i="35" s="1"/>
  <c r="C20" i="12"/>
  <c r="B19" i="35"/>
  <c r="B18" i="35"/>
  <c r="B17" i="35"/>
  <c r="B16" i="35"/>
  <c r="B15" i="35"/>
  <c r="C23" i="3"/>
  <c r="B23" i="3"/>
  <c r="A23" i="3"/>
  <c r="C22" i="3"/>
  <c r="D8" i="23"/>
  <c r="E8" i="23"/>
  <c r="E75" i="36"/>
  <c r="B8" i="23"/>
  <c r="E15" i="7"/>
  <c r="E16" i="6"/>
  <c r="B46" i="36"/>
  <c r="B5" i="36"/>
  <c r="B1" i="36"/>
  <c r="E1" i="36"/>
  <c r="H68" i="36" s="1"/>
  <c r="D75" i="36"/>
  <c r="D20" i="12"/>
  <c r="C75" i="36"/>
  <c r="B20" i="12" s="1"/>
  <c r="C63" i="36"/>
  <c r="C62" i="36" s="1"/>
  <c r="D34" i="36"/>
  <c r="D33" i="36" s="1"/>
  <c r="C34" i="36"/>
  <c r="C98" i="36" s="1"/>
  <c r="C22" i="36"/>
  <c r="C21" i="36" s="1"/>
  <c r="G14" i="35"/>
  <c r="B84" i="35" s="1"/>
  <c r="E14" i="35"/>
  <c r="B8" i="35"/>
  <c r="B7" i="35"/>
  <c r="B5" i="35"/>
  <c r="G34" i="2"/>
  <c r="D49" i="11"/>
  <c r="D63" i="11" s="1"/>
  <c r="G33" i="2"/>
  <c r="D8" i="11"/>
  <c r="D22" i="11"/>
  <c r="D21" i="11" s="1"/>
  <c r="G32" i="2"/>
  <c r="D49" i="10"/>
  <c r="D63" i="10" s="1"/>
  <c r="G31" i="2"/>
  <c r="D8" i="10"/>
  <c r="D22" i="10"/>
  <c r="G30" i="2"/>
  <c r="D49" i="9"/>
  <c r="D63" i="9"/>
  <c r="G29" i="2"/>
  <c r="D8" i="9"/>
  <c r="D22" i="9" s="1"/>
  <c r="G28" i="2"/>
  <c r="D49" i="8"/>
  <c r="D63" i="8" s="1"/>
  <c r="G27" i="2"/>
  <c r="D8" i="8"/>
  <c r="D22" i="8" s="1"/>
  <c r="G26" i="2"/>
  <c r="D8" i="7"/>
  <c r="D24" i="7"/>
  <c r="G25" i="2"/>
  <c r="D49" i="36"/>
  <c r="D63" i="36" s="1"/>
  <c r="D62" i="36" s="1"/>
  <c r="G24" i="2"/>
  <c r="D8" i="36"/>
  <c r="D22" i="36" s="1"/>
  <c r="D21" i="36" s="1"/>
  <c r="G23" i="2"/>
  <c r="D8" i="6"/>
  <c r="D27" i="6" s="1"/>
  <c r="A51" i="12"/>
  <c r="A52" i="12"/>
  <c r="A20" i="12"/>
  <c r="G21" i="32"/>
  <c r="G23" i="32" s="1"/>
  <c r="B13" i="4"/>
  <c r="A91" i="20"/>
  <c r="A39" i="20"/>
  <c r="B54" i="2"/>
  <c r="A48" i="20"/>
  <c r="A100" i="20"/>
  <c r="C37" i="3"/>
  <c r="C38" i="3"/>
  <c r="C32" i="3"/>
  <c r="C31" i="3"/>
  <c r="C30" i="3"/>
  <c r="C29" i="3"/>
  <c r="C28" i="3"/>
  <c r="C27" i="3"/>
  <c r="C26" i="3"/>
  <c r="C25" i="3"/>
  <c r="C24" i="3"/>
  <c r="C21" i="3"/>
  <c r="B35" i="12"/>
  <c r="D81" i="11"/>
  <c r="E81" i="11"/>
  <c r="D40" i="11"/>
  <c r="E40" i="11"/>
  <c r="D81" i="10"/>
  <c r="E81" i="10" s="1"/>
  <c r="D40" i="10"/>
  <c r="E40" i="10"/>
  <c r="D81" i="9"/>
  <c r="E81" i="9"/>
  <c r="D40" i="9"/>
  <c r="E40" i="9"/>
  <c r="D81" i="8"/>
  <c r="E81" i="8" s="1"/>
  <c r="D40" i="8"/>
  <c r="E40" i="8"/>
  <c r="C77" i="11"/>
  <c r="D77" i="11"/>
  <c r="C36" i="11"/>
  <c r="D36" i="11"/>
  <c r="C77" i="10"/>
  <c r="D77" i="10"/>
  <c r="C36" i="10"/>
  <c r="D36" i="10"/>
  <c r="D92" i="10" s="1"/>
  <c r="C77" i="9"/>
  <c r="D77" i="9"/>
  <c r="C36" i="9"/>
  <c r="D36" i="9"/>
  <c r="C36" i="8"/>
  <c r="D36" i="8"/>
  <c r="C77" i="8"/>
  <c r="D77" i="8"/>
  <c r="D58" i="7"/>
  <c r="D49" i="7"/>
  <c r="E49" i="7" s="1"/>
  <c r="C59" i="7"/>
  <c r="C58" i="7"/>
  <c r="C57" i="7"/>
  <c r="C63" i="7"/>
  <c r="C65" i="7" s="1"/>
  <c r="C45" i="7"/>
  <c r="D45" i="7"/>
  <c r="D56" i="6"/>
  <c r="C52" i="6"/>
  <c r="D52" i="6"/>
  <c r="B32" i="3"/>
  <c r="B63" i="2"/>
  <c r="A32" i="3"/>
  <c r="B22" i="4"/>
  <c r="B46" i="11"/>
  <c r="B17" i="23"/>
  <c r="A29" i="12"/>
  <c r="J148" i="33"/>
  <c r="H134" i="33"/>
  <c r="C137" i="33" s="1"/>
  <c r="J137" i="33" s="1"/>
  <c r="H120" i="33"/>
  <c r="C123" i="33"/>
  <c r="H114" i="33"/>
  <c r="F117" i="33" s="1"/>
  <c r="H117" i="33" s="1"/>
  <c r="F123" i="33" s="1"/>
  <c r="J123" i="33" s="1"/>
  <c r="H100" i="33"/>
  <c r="C103" i="33"/>
  <c r="H94" i="33"/>
  <c r="F97" i="33"/>
  <c r="H97" i="33"/>
  <c r="F103" i="33" s="1"/>
  <c r="H80" i="33"/>
  <c r="C83" i="33"/>
  <c r="H74" i="33"/>
  <c r="F77" i="33"/>
  <c r="H77" i="33" s="1"/>
  <c r="F83" i="33" s="1"/>
  <c r="H48" i="33"/>
  <c r="F50" i="33" s="1"/>
  <c r="J50" i="33" s="1"/>
  <c r="H41" i="33"/>
  <c r="B28" i="33"/>
  <c r="H28" i="33"/>
  <c r="H25" i="33"/>
  <c r="C25" i="33"/>
  <c r="A37" i="3"/>
  <c r="A8" i="30"/>
  <c r="A46" i="29"/>
  <c r="A41" i="29"/>
  <c r="A6" i="29"/>
  <c r="A38" i="28"/>
  <c r="A33" i="28"/>
  <c r="A19" i="28"/>
  <c r="A6" i="28"/>
  <c r="A34" i="27"/>
  <c r="A33" i="27"/>
  <c r="A6" i="27"/>
  <c r="A77" i="26"/>
  <c r="A74" i="26"/>
  <c r="A33" i="26"/>
  <c r="A28" i="26"/>
  <c r="A25" i="26"/>
  <c r="A16" i="26"/>
  <c r="A6" i="26"/>
  <c r="A9" i="12"/>
  <c r="A7" i="12"/>
  <c r="A34" i="12"/>
  <c r="A33" i="12"/>
  <c r="I5" i="25"/>
  <c r="G5" i="25"/>
  <c r="E5" i="25"/>
  <c r="C5" i="25"/>
  <c r="A5" i="25"/>
  <c r="K1" i="25"/>
  <c r="F2" i="25"/>
  <c r="A1" i="25"/>
  <c r="J28" i="25"/>
  <c r="H28" i="25"/>
  <c r="H29" i="25" s="1"/>
  <c r="H30" i="25" s="1"/>
  <c r="F28" i="25"/>
  <c r="D28" i="25"/>
  <c r="B28" i="25"/>
  <c r="K28" i="25" s="1"/>
  <c r="B34" i="12" s="1"/>
  <c r="J17" i="25"/>
  <c r="J18" i="25" s="1"/>
  <c r="J29" i="25" s="1"/>
  <c r="J30" i="25" s="1"/>
  <c r="H17" i="25"/>
  <c r="F17" i="25"/>
  <c r="F18" i="25" s="1"/>
  <c r="F29" i="25" s="1"/>
  <c r="F30" i="25" s="1"/>
  <c r="D17" i="25"/>
  <c r="D18" i="25" s="1"/>
  <c r="D29" i="25" s="1"/>
  <c r="D30" i="25" s="1"/>
  <c r="B17" i="25"/>
  <c r="K7" i="25"/>
  <c r="E21" i="2"/>
  <c r="G22" i="2" s="1"/>
  <c r="D21" i="2"/>
  <c r="E13" i="21"/>
  <c r="D13" i="21"/>
  <c r="C13" i="21"/>
  <c r="C27" i="21"/>
  <c r="C29" i="21" s="1"/>
  <c r="B37" i="12" s="1"/>
  <c r="J6" i="14"/>
  <c r="C27" i="6"/>
  <c r="C26" i="6" s="1"/>
  <c r="C50" i="6"/>
  <c r="C49" i="6" s="1"/>
  <c r="D50" i="6"/>
  <c r="D76" i="6" s="1"/>
  <c r="E35" i="2"/>
  <c r="C63" i="11"/>
  <c r="C75" i="11"/>
  <c r="B29" i="12" s="1"/>
  <c r="D75" i="11"/>
  <c r="D29" i="12" s="1"/>
  <c r="C22" i="11"/>
  <c r="C23" i="11" s="1"/>
  <c r="C35" i="11" s="1"/>
  <c r="C34" i="11"/>
  <c r="G29" i="11"/>
  <c r="D34" i="11"/>
  <c r="D93" i="11" s="1"/>
  <c r="B38" i="11" s="1"/>
  <c r="D33" i="11"/>
  <c r="C63" i="10"/>
  <c r="C64" i="10"/>
  <c r="C76" i="10" s="1"/>
  <c r="C75" i="10"/>
  <c r="C94" i="10" s="1"/>
  <c r="B79" i="10" s="1"/>
  <c r="D75" i="10"/>
  <c r="D94" i="10" s="1"/>
  <c r="C22" i="10"/>
  <c r="C21" i="10" s="1"/>
  <c r="C34" i="10"/>
  <c r="C33" i="10"/>
  <c r="D34" i="10"/>
  <c r="D26" i="12" s="1"/>
  <c r="C63" i="9"/>
  <c r="C64" i="9" s="1"/>
  <c r="C75" i="9"/>
  <c r="D75" i="9"/>
  <c r="C22" i="9"/>
  <c r="C23" i="9"/>
  <c r="C35" i="9" s="1"/>
  <c r="C34" i="9"/>
  <c r="C92" i="9" s="1"/>
  <c r="G29" i="9"/>
  <c r="D34" i="9"/>
  <c r="D24" i="12"/>
  <c r="C63" i="8"/>
  <c r="C64" i="8" s="1"/>
  <c r="C76" i="8" s="1"/>
  <c r="C95" i="8" s="1"/>
  <c r="C75" i="8"/>
  <c r="B23" i="12" s="1"/>
  <c r="D75" i="8"/>
  <c r="D74" i="8"/>
  <c r="C22" i="8"/>
  <c r="C21" i="8"/>
  <c r="C34" i="8"/>
  <c r="D34" i="8"/>
  <c r="D6" i="23"/>
  <c r="E6" i="23"/>
  <c r="E24" i="6" s="1"/>
  <c r="E50" i="6"/>
  <c r="F53" i="6" s="1"/>
  <c r="E43" i="7"/>
  <c r="D24" i="3" s="1"/>
  <c r="C24" i="7"/>
  <c r="C25" i="7" s="1"/>
  <c r="C45" i="6"/>
  <c r="E12" i="21"/>
  <c r="E27" i="21"/>
  <c r="E29" i="21" s="1"/>
  <c r="F37" i="12" s="1"/>
  <c r="E11" i="21"/>
  <c r="D12" i="21"/>
  <c r="D11" i="21"/>
  <c r="D27" i="21" s="1"/>
  <c r="D29" i="21" s="1"/>
  <c r="D37" i="12" s="1"/>
  <c r="C12" i="21"/>
  <c r="E1" i="11"/>
  <c r="G40" i="11"/>
  <c r="E1" i="10"/>
  <c r="H76" i="10"/>
  <c r="E1" i="9"/>
  <c r="H75" i="9" s="1"/>
  <c r="E1" i="8"/>
  <c r="H65" i="8" s="1"/>
  <c r="D29" i="18"/>
  <c r="D59" i="18"/>
  <c r="D59" i="17"/>
  <c r="D29" i="17"/>
  <c r="E1" i="7"/>
  <c r="H35" i="7"/>
  <c r="E1" i="6"/>
  <c r="H46" i="6" s="1"/>
  <c r="A67" i="2"/>
  <c r="A66" i="2"/>
  <c r="D50" i="2"/>
  <c r="D42" i="2"/>
  <c r="A42" i="2"/>
  <c r="A35" i="2"/>
  <c r="C29" i="18"/>
  <c r="C59" i="18"/>
  <c r="C29" i="17"/>
  <c r="C59" i="17"/>
  <c r="E1" i="17"/>
  <c r="B24" i="17"/>
  <c r="E57" i="17"/>
  <c r="E56" i="17" s="1"/>
  <c r="E1" i="18"/>
  <c r="E1" i="20"/>
  <c r="A33" i="20" s="1"/>
  <c r="E16" i="20"/>
  <c r="G11" i="14" s="1"/>
  <c r="E21" i="20"/>
  <c r="E14" i="14" s="1"/>
  <c r="E31" i="20"/>
  <c r="E15" i="14" s="1"/>
  <c r="E11" i="20"/>
  <c r="F40" i="12" s="1"/>
  <c r="C41" i="3"/>
  <c r="D16" i="23"/>
  <c r="E16" i="23"/>
  <c r="E19" i="11" s="1"/>
  <c r="E34" i="11"/>
  <c r="F37" i="11"/>
  <c r="D17" i="23"/>
  <c r="E17" i="23"/>
  <c r="E75" i="11"/>
  <c r="F29" i="12" s="1"/>
  <c r="D14" i="23"/>
  <c r="E14" i="23"/>
  <c r="E34" i="10"/>
  <c r="D15" i="23"/>
  <c r="E15" i="23"/>
  <c r="E60" i="10" s="1"/>
  <c r="E75" i="10"/>
  <c r="E74" i="10"/>
  <c r="D13" i="23"/>
  <c r="D12" i="23"/>
  <c r="E34" i="9"/>
  <c r="D27" i="3" s="1"/>
  <c r="D11" i="23"/>
  <c r="E11" i="23"/>
  <c r="E60" i="8" s="1"/>
  <c r="E75" i="8"/>
  <c r="E79" i="8"/>
  <c r="D10" i="23"/>
  <c r="D9" i="23"/>
  <c r="E9" i="23"/>
  <c r="E21" i="7" s="1"/>
  <c r="E15" i="6"/>
  <c r="B47" i="3"/>
  <c r="D7" i="23"/>
  <c r="E7" i="23"/>
  <c r="E34" i="36"/>
  <c r="F37" i="36" s="1"/>
  <c r="E27" i="17"/>
  <c r="E29" i="17" s="1"/>
  <c r="E27" i="18"/>
  <c r="E57" i="18"/>
  <c r="D57" i="18"/>
  <c r="D33" i="12" s="1"/>
  <c r="D56" i="18"/>
  <c r="C57" i="18"/>
  <c r="C60" i="18" s="1"/>
  <c r="D27" i="18"/>
  <c r="D26" i="18" s="1"/>
  <c r="C27" i="18"/>
  <c r="C30" i="18"/>
  <c r="D57" i="17"/>
  <c r="C57" i="17"/>
  <c r="B31" i="12"/>
  <c r="C56" i="17"/>
  <c r="D27" i="17"/>
  <c r="D30" i="12"/>
  <c r="D26" i="17"/>
  <c r="C27" i="17"/>
  <c r="C30" i="17" s="1"/>
  <c r="E15" i="18"/>
  <c r="E14" i="18" s="1"/>
  <c r="D15" i="18"/>
  <c r="D14" i="18" s="1"/>
  <c r="C15" i="18"/>
  <c r="C14" i="18"/>
  <c r="E45" i="18"/>
  <c r="E44" i="18"/>
  <c r="D45" i="18"/>
  <c r="D44" i="18" s="1"/>
  <c r="C45" i="18"/>
  <c r="C46" i="18" s="1"/>
  <c r="C58" i="18" s="1"/>
  <c r="C44" i="18"/>
  <c r="E45" i="17"/>
  <c r="E44" i="17"/>
  <c r="D45" i="17"/>
  <c r="D44" i="17" s="1"/>
  <c r="C45" i="17"/>
  <c r="C46" i="17" s="1"/>
  <c r="C58" i="17" s="1"/>
  <c r="E15" i="17"/>
  <c r="E14" i="17"/>
  <c r="D15" i="17"/>
  <c r="D14" i="17"/>
  <c r="C15" i="17"/>
  <c r="C14" i="17" s="1"/>
  <c r="B16" i="23"/>
  <c r="B15" i="23"/>
  <c r="B14" i="23"/>
  <c r="B13" i="23"/>
  <c r="B12" i="23"/>
  <c r="B11" i="23"/>
  <c r="B10" i="23"/>
  <c r="B9" i="23"/>
  <c r="B7" i="23"/>
  <c r="B6" i="23"/>
  <c r="D25" i="23"/>
  <c r="D27" i="23"/>
  <c r="F1" i="23"/>
  <c r="C5" i="23"/>
  <c r="A1" i="23"/>
  <c r="C18" i="23"/>
  <c r="N1" i="4"/>
  <c r="B10" i="4" s="1"/>
  <c r="B22" i="3"/>
  <c r="J1" i="14"/>
  <c r="A9" i="14" s="1"/>
  <c r="F41" i="12"/>
  <c r="A104" i="20"/>
  <c r="A103" i="20"/>
  <c r="A102" i="20"/>
  <c r="A101" i="20"/>
  <c r="A99" i="20"/>
  <c r="A98" i="20"/>
  <c r="A97" i="20"/>
  <c r="A96" i="20"/>
  <c r="A95" i="20"/>
  <c r="A94" i="20"/>
  <c r="A93" i="20"/>
  <c r="A92" i="20"/>
  <c r="A90" i="20"/>
  <c r="A89" i="20"/>
  <c r="A30" i="20"/>
  <c r="A29" i="20"/>
  <c r="A20" i="20"/>
  <c r="A19" i="20"/>
  <c r="A15" i="20"/>
  <c r="A14" i="20"/>
  <c r="A10" i="20"/>
  <c r="B40" i="12"/>
  <c r="E55" i="20"/>
  <c r="D40" i="12" s="1"/>
  <c r="E27" i="35" s="1"/>
  <c r="A54" i="20"/>
  <c r="A53" i="20"/>
  <c r="A46" i="3"/>
  <c r="A45" i="3"/>
  <c r="A44" i="3"/>
  <c r="D49" i="20"/>
  <c r="E29" i="12"/>
  <c r="G76" i="11" s="1"/>
  <c r="E28" i="12"/>
  <c r="G35" i="11" s="1"/>
  <c r="E27" i="12"/>
  <c r="G76" i="10"/>
  <c r="E26" i="12"/>
  <c r="G35" i="10" s="1"/>
  <c r="E25" i="12"/>
  <c r="E24" i="12"/>
  <c r="G35" i="9"/>
  <c r="E23" i="12"/>
  <c r="G76" i="8" s="1"/>
  <c r="E22" i="12"/>
  <c r="G35" i="8" s="1"/>
  <c r="E21" i="12"/>
  <c r="E19" i="12"/>
  <c r="G38" i="36" s="1"/>
  <c r="E18" i="12"/>
  <c r="A47" i="20"/>
  <c r="A46" i="20"/>
  <c r="A45" i="20"/>
  <c r="A44" i="20"/>
  <c r="A43" i="20"/>
  <c r="A42" i="20"/>
  <c r="A41" i="20"/>
  <c r="A40" i="20"/>
  <c r="A38" i="20"/>
  <c r="A37" i="20"/>
  <c r="F15" i="13"/>
  <c r="F1" i="21"/>
  <c r="D9" i="21" s="1"/>
  <c r="B32" i="21" s="1"/>
  <c r="C9" i="21"/>
  <c r="A2" i="21"/>
  <c r="G1" i="3"/>
  <c r="A64" i="2"/>
  <c r="D47" i="12"/>
  <c r="D46" i="12"/>
  <c r="B47" i="12"/>
  <c r="B48" i="12" s="1"/>
  <c r="B46" i="12"/>
  <c r="D45" i="12"/>
  <c r="D48" i="12" s="1"/>
  <c r="B45" i="12"/>
  <c r="E69" i="2"/>
  <c r="D69" i="2"/>
  <c r="A2" i="20"/>
  <c r="A1" i="20"/>
  <c r="A51" i="2"/>
  <c r="A20" i="2"/>
  <c r="F11" i="13"/>
  <c r="F45" i="12" s="1"/>
  <c r="L15" i="13"/>
  <c r="K15" i="13"/>
  <c r="J15" i="13"/>
  <c r="I15" i="13"/>
  <c r="L11" i="13"/>
  <c r="L16" i="13" s="1"/>
  <c r="K11" i="13"/>
  <c r="K16" i="13"/>
  <c r="J11" i="13"/>
  <c r="J16" i="13" s="1"/>
  <c r="I11" i="13"/>
  <c r="I16" i="13" s="1"/>
  <c r="H1" i="12"/>
  <c r="C19" i="12"/>
  <c r="B12" i="4"/>
  <c r="L1" i="13"/>
  <c r="G23" i="13" s="1"/>
  <c r="B53" i="2"/>
  <c r="A3" i="3"/>
  <c r="B32" i="12"/>
  <c r="C36" i="3"/>
  <c r="C35" i="3"/>
  <c r="C34" i="3"/>
  <c r="C33" i="3"/>
  <c r="A32" i="12"/>
  <c r="A31" i="12"/>
  <c r="A30" i="12"/>
  <c r="A36" i="3"/>
  <c r="A35" i="3"/>
  <c r="A34" i="3"/>
  <c r="A33" i="3"/>
  <c r="B1" i="18"/>
  <c r="B1" i="17"/>
  <c r="B35" i="18"/>
  <c r="B5" i="18"/>
  <c r="B35" i="17"/>
  <c r="B5" i="17"/>
  <c r="B31" i="3"/>
  <c r="B30" i="3"/>
  <c r="B29" i="3"/>
  <c r="B28" i="3"/>
  <c r="B27" i="3"/>
  <c r="B26" i="3"/>
  <c r="B25" i="3"/>
  <c r="B24" i="3"/>
  <c r="A31" i="3"/>
  <c r="A30" i="3"/>
  <c r="A29" i="3"/>
  <c r="A28" i="3"/>
  <c r="A27" i="3"/>
  <c r="A26" i="3"/>
  <c r="A25" i="3"/>
  <c r="A24" i="3"/>
  <c r="C40" i="3"/>
  <c r="B21" i="3"/>
  <c r="A21" i="3"/>
  <c r="A5" i="3"/>
  <c r="C1" i="14"/>
  <c r="I36" i="13"/>
  <c r="H36" i="13"/>
  <c r="G36" i="13"/>
  <c r="F47" i="12"/>
  <c r="B2" i="13"/>
  <c r="B1" i="13"/>
  <c r="B5" i="6"/>
  <c r="B1" i="6"/>
  <c r="D64" i="2"/>
  <c r="B62" i="2"/>
  <c r="B61" i="2"/>
  <c r="B60" i="2"/>
  <c r="B59" i="2"/>
  <c r="B58" i="2"/>
  <c r="B57" i="2"/>
  <c r="B56" i="2"/>
  <c r="B55" i="2"/>
  <c r="B52" i="2"/>
  <c r="B21" i="4"/>
  <c r="B20" i="4"/>
  <c r="B19" i="4"/>
  <c r="B18" i="4"/>
  <c r="B17" i="4"/>
  <c r="B16" i="4"/>
  <c r="B15" i="4"/>
  <c r="B14" i="4"/>
  <c r="B11" i="4"/>
  <c r="B1" i="4"/>
  <c r="B1" i="7"/>
  <c r="B5" i="7"/>
  <c r="A28" i="12"/>
  <c r="A27" i="12"/>
  <c r="A26" i="12"/>
  <c r="A25" i="12"/>
  <c r="A24" i="12"/>
  <c r="A23" i="12"/>
  <c r="A22" i="12"/>
  <c r="A21" i="12"/>
  <c r="C29" i="12"/>
  <c r="C28" i="12"/>
  <c r="C27" i="12"/>
  <c r="C26" i="12"/>
  <c r="C25" i="12"/>
  <c r="C24" i="12"/>
  <c r="C23" i="12"/>
  <c r="C22" i="12"/>
  <c r="C21" i="12"/>
  <c r="C18" i="12"/>
  <c r="B39" i="12"/>
  <c r="A18" i="12"/>
  <c r="A6" i="12"/>
  <c r="A5" i="12"/>
  <c r="B1" i="8"/>
  <c r="B46" i="8"/>
  <c r="B5" i="8"/>
  <c r="B46" i="9"/>
  <c r="B5" i="9"/>
  <c r="B1" i="9"/>
  <c r="B46" i="10"/>
  <c r="B5" i="10"/>
  <c r="B1" i="10"/>
  <c r="B5" i="11"/>
  <c r="B1" i="11"/>
  <c r="C16" i="17"/>
  <c r="C28" i="17" s="1"/>
  <c r="C31" i="17" s="1"/>
  <c r="C11" i="21"/>
  <c r="C26" i="17"/>
  <c r="C26" i="18"/>
  <c r="C16" i="18"/>
  <c r="C28" i="18" s="1"/>
  <c r="J27" i="7"/>
  <c r="J18" i="11"/>
  <c r="J19" i="11"/>
  <c r="J20" i="11"/>
  <c r="J60" i="10"/>
  <c r="J61" i="10"/>
  <c r="J59" i="10"/>
  <c r="J19" i="9"/>
  <c r="J20" i="9"/>
  <c r="J18" i="9"/>
  <c r="J18" i="8"/>
  <c r="J19" i="8"/>
  <c r="J20" i="8"/>
  <c r="J60" i="8"/>
  <c r="J61" i="8"/>
  <c r="J59" i="8"/>
  <c r="J62" i="36"/>
  <c r="J63" i="36"/>
  <c r="J64" i="36"/>
  <c r="J19" i="10"/>
  <c r="J20" i="10"/>
  <c r="J18" i="10"/>
  <c r="J60" i="9"/>
  <c r="J61" i="9"/>
  <c r="J59" i="9"/>
  <c r="J60" i="11"/>
  <c r="J61" i="11"/>
  <c r="J59" i="11"/>
  <c r="J35" i="6"/>
  <c r="J36" i="6"/>
  <c r="J34" i="6"/>
  <c r="J22" i="36"/>
  <c r="J23" i="36"/>
  <c r="J21" i="36"/>
  <c r="J28" i="7"/>
  <c r="J29" i="7"/>
  <c r="F33" i="12"/>
  <c r="D36" i="3"/>
  <c r="E59" i="17"/>
  <c r="F31" i="12"/>
  <c r="D16" i="4"/>
  <c r="E51" i="8" s="1"/>
  <c r="F16" i="4"/>
  <c r="E52" i="8" s="1"/>
  <c r="E12" i="4"/>
  <c r="F20" i="4"/>
  <c r="D13" i="4"/>
  <c r="G19" i="4"/>
  <c r="J19" i="4"/>
  <c r="E13" i="10" s="1"/>
  <c r="K19" i="4"/>
  <c r="K20" i="4"/>
  <c r="D19" i="4"/>
  <c r="E10" i="10" s="1"/>
  <c r="L16" i="4"/>
  <c r="E55" i="8" s="1"/>
  <c r="F15" i="4"/>
  <c r="E11" i="8" s="1"/>
  <c r="G12" i="4"/>
  <c r="I20" i="4"/>
  <c r="L19" i="4"/>
  <c r="M19" i="4"/>
  <c r="J22" i="4"/>
  <c r="H19" i="4"/>
  <c r="E19" i="4"/>
  <c r="B46" i="35"/>
  <c r="D21" i="23"/>
  <c r="D23" i="23" s="1"/>
  <c r="E19" i="36"/>
  <c r="E60" i="11"/>
  <c r="D28" i="12"/>
  <c r="D74" i="11"/>
  <c r="C92" i="10"/>
  <c r="B38" i="10" s="1"/>
  <c r="D33" i="10"/>
  <c r="B25" i="12"/>
  <c r="D33" i="9"/>
  <c r="C74" i="9"/>
  <c r="B24" i="12"/>
  <c r="C33" i="9"/>
  <c r="G49" i="7"/>
  <c r="C23" i="36"/>
  <c r="C35" i="36" s="1"/>
  <c r="E34" i="8"/>
  <c r="F78" i="8"/>
  <c r="E74" i="8"/>
  <c r="E74" i="36"/>
  <c r="E77" i="10"/>
  <c r="E79" i="10"/>
  <c r="D26" i="3"/>
  <c r="E77" i="8"/>
  <c r="E22" i="14"/>
  <c r="E33" i="8"/>
  <c r="B36" i="11"/>
  <c r="G41" i="11"/>
  <c r="E9" i="21"/>
  <c r="H77" i="9"/>
  <c r="F14" i="12"/>
  <c r="H65" i="11"/>
  <c r="A12" i="12"/>
  <c r="H24" i="11"/>
  <c r="B3" i="23"/>
  <c r="B5" i="23"/>
  <c r="J31" i="12"/>
  <c r="C9" i="4"/>
  <c r="H25" i="11"/>
  <c r="A31" i="23"/>
  <c r="B13" i="40"/>
  <c r="B9" i="40"/>
  <c r="B11" i="40"/>
  <c r="B7" i="40"/>
  <c r="H78" i="10"/>
  <c r="B72" i="10"/>
  <c r="J32" i="12"/>
  <c r="B44" i="12"/>
  <c r="J55" i="12"/>
  <c r="D44" i="12"/>
  <c r="J51" i="12"/>
  <c r="F44" i="12"/>
  <c r="J24" i="12"/>
  <c r="B59" i="17"/>
  <c r="B54" i="17"/>
  <c r="B29" i="17"/>
  <c r="D30" i="17"/>
  <c r="C60" i="17"/>
  <c r="D32" i="3"/>
  <c r="E79" i="11"/>
  <c r="G22" i="11"/>
  <c r="H70" i="11"/>
  <c r="H37" i="11"/>
  <c r="H29" i="11"/>
  <c r="H76" i="11"/>
  <c r="H34" i="11"/>
  <c r="C21" i="11"/>
  <c r="H24" i="10"/>
  <c r="H26" i="10"/>
  <c r="H68" i="10"/>
  <c r="G22" i="10"/>
  <c r="G82" i="10"/>
  <c r="F26" i="12"/>
  <c r="C23" i="10"/>
  <c r="C35" i="10" s="1"/>
  <c r="C82" i="10"/>
  <c r="H36" i="10"/>
  <c r="H30" i="10"/>
  <c r="H35" i="10"/>
  <c r="B77" i="10"/>
  <c r="H34" i="10"/>
  <c r="H70" i="10"/>
  <c r="H27" i="10"/>
  <c r="H29" i="10"/>
  <c r="D29" i="3"/>
  <c r="G60" i="10"/>
  <c r="C41" i="10"/>
  <c r="H37" i="10"/>
  <c r="B31" i="10"/>
  <c r="H65" i="10"/>
  <c r="G81" i="10"/>
  <c r="G63" i="10"/>
  <c r="G56" i="10"/>
  <c r="B36" i="10"/>
  <c r="F27" i="12"/>
  <c r="D30" i="3"/>
  <c r="E33" i="10"/>
  <c r="F37" i="10"/>
  <c r="C62" i="10"/>
  <c r="B26" i="12"/>
  <c r="H75" i="10"/>
  <c r="H77" i="10"/>
  <c r="H66" i="10"/>
  <c r="G40" i="10"/>
  <c r="H67" i="10"/>
  <c r="G15" i="10"/>
  <c r="G19" i="10"/>
  <c r="F78" i="10"/>
  <c r="H25" i="10"/>
  <c r="B27" i="12"/>
  <c r="G40" i="9"/>
  <c r="G81" i="9"/>
  <c r="B31" i="9"/>
  <c r="H29" i="9"/>
  <c r="H65" i="9"/>
  <c r="F78" i="9"/>
  <c r="B77" i="9"/>
  <c r="H24" i="9"/>
  <c r="G41" i="9"/>
  <c r="H71" i="9"/>
  <c r="H27" i="9"/>
  <c r="G56" i="9"/>
  <c r="H25" i="9"/>
  <c r="G63" i="9"/>
  <c r="H30" i="9"/>
  <c r="H67" i="9"/>
  <c r="G60" i="9"/>
  <c r="C82" i="9"/>
  <c r="H26" i="9"/>
  <c r="E79" i="9"/>
  <c r="H35" i="9"/>
  <c r="H34" i="9"/>
  <c r="B36" i="9"/>
  <c r="H36" i="9"/>
  <c r="H78" i="9"/>
  <c r="G82" i="9"/>
  <c r="H76" i="9"/>
  <c r="H68" i="9"/>
  <c r="H37" i="9"/>
  <c r="G19" i="9"/>
  <c r="C41" i="9"/>
  <c r="G22" i="9"/>
  <c r="H66" i="9"/>
  <c r="F25" i="12"/>
  <c r="G15" i="9"/>
  <c r="H70" i="9"/>
  <c r="B72" i="9"/>
  <c r="C21" i="9"/>
  <c r="D92" i="9"/>
  <c r="G60" i="8"/>
  <c r="G63" i="8"/>
  <c r="B72" i="8"/>
  <c r="C62" i="8"/>
  <c r="D23" i="12"/>
  <c r="D94" i="8"/>
  <c r="F23" i="12"/>
  <c r="G50" i="7"/>
  <c r="H33" i="7"/>
  <c r="H46" i="7"/>
  <c r="C53" i="7"/>
  <c r="G24" i="7"/>
  <c r="H43" i="7"/>
  <c r="H44" i="7"/>
  <c r="B45" i="7"/>
  <c r="C50" i="7"/>
  <c r="G28" i="7"/>
  <c r="H38" i="7"/>
  <c r="H36" i="7"/>
  <c r="F46" i="7"/>
  <c r="G31" i="7"/>
  <c r="B38" i="7"/>
  <c r="H45" i="7"/>
  <c r="C23" i="7"/>
  <c r="C74" i="36"/>
  <c r="D74" i="36"/>
  <c r="B77" i="36"/>
  <c r="D19" i="12"/>
  <c r="D100" i="36"/>
  <c r="H74" i="36"/>
  <c r="B31" i="36"/>
  <c r="G32" i="36"/>
  <c r="G79" i="36"/>
  <c r="F12" i="21"/>
  <c r="D49" i="6"/>
  <c r="F11" i="21"/>
  <c r="D18" i="12"/>
  <c r="D47" i="8"/>
  <c r="B48" i="3"/>
  <c r="G29" i="8"/>
  <c r="C92" i="8"/>
  <c r="C33" i="8"/>
  <c r="D94" i="9"/>
  <c r="B79" i="9" s="1"/>
  <c r="D74" i="9"/>
  <c r="D25" i="12"/>
  <c r="C95" i="11"/>
  <c r="B18" i="25"/>
  <c r="J21" i="4"/>
  <c r="H21" i="4"/>
  <c r="B22" i="12"/>
  <c r="G70" i="11"/>
  <c r="E56" i="6"/>
  <c r="D11" i="3"/>
  <c r="F46" i="12"/>
  <c r="J43" i="12"/>
  <c r="J29" i="12"/>
  <c r="G15" i="12"/>
  <c r="B14" i="12"/>
  <c r="J36" i="12"/>
  <c r="J40" i="12"/>
  <c r="J42" i="12"/>
  <c r="D14" i="12"/>
  <c r="A11" i="12"/>
  <c r="J38" i="12"/>
  <c r="J39" i="12"/>
  <c r="M27" i="12"/>
  <c r="F30" i="12"/>
  <c r="D33" i="3"/>
  <c r="E38" i="11"/>
  <c r="J83" i="33"/>
  <c r="B19" i="12"/>
  <c r="F78" i="36"/>
  <c r="L12" i="4"/>
  <c r="H12" i="4"/>
  <c r="J41" i="12"/>
  <c r="J50" i="12"/>
  <c r="E77" i="36"/>
  <c r="F28" i="12"/>
  <c r="D25" i="3"/>
  <c r="F37" i="8"/>
  <c r="E38" i="8"/>
  <c r="F22" i="12"/>
  <c r="E36" i="8"/>
  <c r="M12" i="4"/>
  <c r="E14" i="36" s="1"/>
  <c r="B40" i="14"/>
  <c r="C15" i="14"/>
  <c r="B30" i="12"/>
  <c r="D60" i="17"/>
  <c r="D31" i="12"/>
  <c r="D56" i="17"/>
  <c r="C56" i="18"/>
  <c r="B33" i="12"/>
  <c r="D33" i="8"/>
  <c r="D22" i="12"/>
  <c r="D92" i="8"/>
  <c r="B28" i="12"/>
  <c r="C93" i="11"/>
  <c r="C33" i="11"/>
  <c r="C100" i="36"/>
  <c r="B79" i="36" s="1"/>
  <c r="G73" i="36"/>
  <c r="C41" i="36"/>
  <c r="H29" i="36"/>
  <c r="G66" i="36"/>
  <c r="C82" i="36"/>
  <c r="H28" i="36"/>
  <c r="E5" i="36"/>
  <c r="D98" i="36"/>
  <c r="L17" i="4"/>
  <c r="E14" i="9" s="1"/>
  <c r="M20" i="4"/>
  <c r="E55" i="10" s="1"/>
  <c r="D20" i="4"/>
  <c r="G20" i="4"/>
  <c r="J20" i="4"/>
  <c r="E54" i="10" s="1"/>
  <c r="E20" i="4"/>
  <c r="E51" i="10" s="1"/>
  <c r="H20" i="4"/>
  <c r="E53" i="10" s="1"/>
  <c r="L20" i="4"/>
  <c r="C94" i="9"/>
  <c r="G70" i="9"/>
  <c r="D45" i="6"/>
  <c r="I22" i="4"/>
  <c r="L22" i="4"/>
  <c r="B6" i="40"/>
  <c r="C5" i="6"/>
  <c r="C23" i="8"/>
  <c r="C35" i="8"/>
  <c r="D6" i="8"/>
  <c r="C76" i="9"/>
  <c r="G29" i="10"/>
  <c r="J15" i="4"/>
  <c r="E13" i="8" s="1"/>
  <c r="L15" i="4"/>
  <c r="E14" i="8" s="1"/>
  <c r="G51" i="6"/>
  <c r="H39" i="7"/>
  <c r="H34" i="7"/>
  <c r="D60" i="18"/>
  <c r="B77" i="8"/>
  <c r="H71" i="10"/>
  <c r="G41" i="10"/>
  <c r="E56" i="18"/>
  <c r="E59" i="18"/>
  <c r="D95" i="11"/>
  <c r="H18" i="4"/>
  <c r="B38" i="8"/>
  <c r="G40" i="8"/>
  <c r="H67" i="11"/>
  <c r="D5" i="23"/>
  <c r="E5" i="23"/>
  <c r="A21" i="23"/>
  <c r="D9" i="4"/>
  <c r="G44" i="7"/>
  <c r="E19" i="10"/>
  <c r="D21" i="10"/>
  <c r="B78" i="35"/>
  <c r="B91" i="35"/>
  <c r="D39" i="12"/>
  <c r="J5" i="14"/>
  <c r="J7" i="14" s="1"/>
  <c r="C93" i="8"/>
  <c r="D23" i="7"/>
  <c r="H45" i="6"/>
  <c r="G56" i="6"/>
  <c r="H51" i="6"/>
  <c r="G35" i="6"/>
  <c r="H41" i="6"/>
  <c r="H53" i="6"/>
  <c r="G57" i="6"/>
  <c r="H43" i="6"/>
  <c r="C57" i="6"/>
  <c r="G38" i="6"/>
  <c r="H50" i="6"/>
  <c r="B52" i="6"/>
  <c r="D5" i="6"/>
  <c r="D5" i="8" s="1"/>
  <c r="D46" i="8" s="1"/>
  <c r="B43" i="6"/>
  <c r="E5" i="6"/>
  <c r="H42" i="6"/>
  <c r="H52" i="6"/>
  <c r="G31" i="6"/>
  <c r="H40" i="6"/>
  <c r="J14" i="4"/>
  <c r="E13" i="7" s="1"/>
  <c r="F14" i="4"/>
  <c r="E11" i="7" s="1"/>
  <c r="D14" i="4"/>
  <c r="E10" i="7" s="1"/>
  <c r="L14" i="4"/>
  <c r="E14" i="7" s="1"/>
  <c r="H14" i="4"/>
  <c r="E12" i="7" s="1"/>
  <c r="I21" i="4"/>
  <c r="E12" i="11"/>
  <c r="E21" i="4"/>
  <c r="D21" i="4"/>
  <c r="G21" i="4"/>
  <c r="M21" i="4"/>
  <c r="L21" i="4"/>
  <c r="K21" i="4"/>
  <c r="F21" i="4"/>
  <c r="H23" i="13"/>
  <c r="F7" i="13"/>
  <c r="I23" i="13"/>
  <c r="B58" i="3"/>
  <c r="E12" i="3"/>
  <c r="A9" i="3"/>
  <c r="E29" i="18"/>
  <c r="D35" i="3"/>
  <c r="C62" i="11"/>
  <c r="C64" i="11"/>
  <c r="C76" i="11"/>
  <c r="D47" i="11" s="1"/>
  <c r="E36" i="10"/>
  <c r="E38" i="10"/>
  <c r="G56" i="8"/>
  <c r="H77" i="8"/>
  <c r="B31" i="8"/>
  <c r="H26" i="8"/>
  <c r="H67" i="8"/>
  <c r="G19" i="8"/>
  <c r="C41" i="8"/>
  <c r="H78" i="8"/>
  <c r="B47" i="35"/>
  <c r="B89" i="35"/>
  <c r="I6" i="13"/>
  <c r="F32" i="12"/>
  <c r="A21" i="20"/>
  <c r="A12" i="20"/>
  <c r="C87" i="20"/>
  <c r="A11" i="20"/>
  <c r="A16" i="20"/>
  <c r="D64" i="8"/>
  <c r="D76" i="8" s="1"/>
  <c r="D62" i="8"/>
  <c r="A35" i="20"/>
  <c r="B29" i="18"/>
  <c r="B24" i="18"/>
  <c r="B54" i="18"/>
  <c r="B59" i="18"/>
  <c r="E79" i="36"/>
  <c r="F20" i="12"/>
  <c r="D23" i="3"/>
  <c r="F13" i="21"/>
  <c r="B32" i="14"/>
  <c r="C14" i="14"/>
  <c r="B11" i="14"/>
  <c r="C82" i="11"/>
  <c r="H71" i="11"/>
  <c r="G15" i="11"/>
  <c r="C41" i="11"/>
  <c r="G63" i="11"/>
  <c r="G56" i="11"/>
  <c r="G60" i="11"/>
  <c r="H75" i="11"/>
  <c r="H27" i="11"/>
  <c r="B77" i="11"/>
  <c r="H35" i="11"/>
  <c r="B31" i="11"/>
  <c r="G81" i="11"/>
  <c r="B72" i="11"/>
  <c r="G19" i="11"/>
  <c r="H36" i="11"/>
  <c r="H66" i="11"/>
  <c r="H77" i="11"/>
  <c r="H68" i="11"/>
  <c r="H26" i="11"/>
  <c r="G82" i="11"/>
  <c r="H30" i="11"/>
  <c r="H78" i="11"/>
  <c r="H38" i="36"/>
  <c r="H39" i="36"/>
  <c r="H73" i="36"/>
  <c r="H71" i="36"/>
  <c r="B36" i="36"/>
  <c r="C46" i="36"/>
  <c r="E46" i="36"/>
  <c r="H69" i="36"/>
  <c r="E26" i="18"/>
  <c r="E36" i="36"/>
  <c r="A8" i="3"/>
  <c r="H18" i="25"/>
  <c r="J103" i="33"/>
  <c r="J12" i="4"/>
  <c r="I12" i="4"/>
  <c r="F12" i="4"/>
  <c r="E11" i="36" s="1"/>
  <c r="D12" i="4"/>
  <c r="E10" i="36" s="1"/>
  <c r="K12" i="4"/>
  <c r="F17" i="4"/>
  <c r="E11" i="9" s="1"/>
  <c r="D17" i="4"/>
  <c r="E10" i="9" s="1"/>
  <c r="H17" i="4"/>
  <c r="E12" i="9" s="1"/>
  <c r="J17" i="4"/>
  <c r="E13" i="9" s="1"/>
  <c r="A15" i="3"/>
  <c r="A51" i="20"/>
  <c r="G76" i="9"/>
  <c r="E33" i="11"/>
  <c r="E36" i="11"/>
  <c r="D31" i="3"/>
  <c r="B38" i="9"/>
  <c r="L18" i="4"/>
  <c r="I19" i="4"/>
  <c r="L13" i="4"/>
  <c r="D15" i="4"/>
  <c r="E10" i="8" s="1"/>
  <c r="C96" i="11"/>
  <c r="E5" i="7"/>
  <c r="E5" i="17"/>
  <c r="E35" i="17" s="1"/>
  <c r="E5" i="10"/>
  <c r="E46" i="10"/>
  <c r="E5" i="18"/>
  <c r="E35" i="18"/>
  <c r="E5" i="11"/>
  <c r="E46" i="11" s="1"/>
  <c r="E5" i="9"/>
  <c r="E46" i="9" s="1"/>
  <c r="E5" i="8"/>
  <c r="E46" i="8"/>
  <c r="D5" i="11"/>
  <c r="D46" i="11" s="1"/>
  <c r="D5" i="9"/>
  <c r="D46" i="9" s="1"/>
  <c r="D5" i="17"/>
  <c r="D35" i="17" s="1"/>
  <c r="D5" i="10"/>
  <c r="D46" i="10" s="1"/>
  <c r="E12" i="36"/>
  <c r="K18" i="25"/>
  <c r="E14" i="11"/>
  <c r="D23" i="8" l="1"/>
  <c r="D35" i="8" s="1"/>
  <c r="D21" i="8"/>
  <c r="D57" i="7"/>
  <c r="C40" i="7"/>
  <c r="C43" i="7" s="1"/>
  <c r="D64" i="11"/>
  <c r="D76" i="11" s="1"/>
  <c r="D62" i="11"/>
  <c r="B38" i="36"/>
  <c r="C5" i="7"/>
  <c r="C5" i="8"/>
  <c r="C46" i="8" s="1"/>
  <c r="C5" i="11"/>
  <c r="C46" i="11" s="1"/>
  <c r="C5" i="18"/>
  <c r="C35" i="18" s="1"/>
  <c r="C5" i="10"/>
  <c r="C46" i="10" s="1"/>
  <c r="C5" i="17"/>
  <c r="C35" i="17" s="1"/>
  <c r="C93" i="9"/>
  <c r="D6" i="9"/>
  <c r="D23" i="9" s="1"/>
  <c r="D35" i="9" s="1"/>
  <c r="K30" i="25"/>
  <c r="D6" i="18"/>
  <c r="D16" i="18" s="1"/>
  <c r="D28" i="18" s="1"/>
  <c r="E6" i="18" s="1"/>
  <c r="E16" i="18" s="1"/>
  <c r="E28" i="18" s="1"/>
  <c r="E30" i="18" s="1"/>
  <c r="C31" i="18"/>
  <c r="C63" i="18"/>
  <c r="D36" i="18"/>
  <c r="D46" i="18" s="1"/>
  <c r="D58" i="18" s="1"/>
  <c r="C94" i="11"/>
  <c r="D6" i="11"/>
  <c r="D23" i="11" s="1"/>
  <c r="D35" i="11" s="1"/>
  <c r="E55" i="36"/>
  <c r="D21" i="9"/>
  <c r="D62" i="10"/>
  <c r="C99" i="36"/>
  <c r="D6" i="36"/>
  <c r="D23" i="36" s="1"/>
  <c r="D35" i="36" s="1"/>
  <c r="G65" i="8"/>
  <c r="E47" i="8"/>
  <c r="D95" i="8"/>
  <c r="C5" i="9"/>
  <c r="C46" i="9" s="1"/>
  <c r="C95" i="9"/>
  <c r="D47" i="9"/>
  <c r="D64" i="9" s="1"/>
  <c r="D76" i="9" s="1"/>
  <c r="B80" i="8"/>
  <c r="C95" i="10"/>
  <c r="D47" i="10"/>
  <c r="D64" i="10" s="1"/>
  <c r="D76" i="10" s="1"/>
  <c r="F48" i="12"/>
  <c r="C63" i="17"/>
  <c r="D36" i="17"/>
  <c r="D46" i="17" s="1"/>
  <c r="D58" i="17" s="1"/>
  <c r="B79" i="11"/>
  <c r="D6" i="10"/>
  <c r="D23" i="10" s="1"/>
  <c r="D35" i="10" s="1"/>
  <c r="C93" i="10"/>
  <c r="D6" i="17"/>
  <c r="D16" i="17" s="1"/>
  <c r="D28" i="17" s="1"/>
  <c r="E6" i="17" s="1"/>
  <c r="E16" i="17" s="1"/>
  <c r="E28" i="17" s="1"/>
  <c r="E30" i="17" s="1"/>
  <c r="D30" i="18"/>
  <c r="D5" i="7"/>
  <c r="J13" i="4"/>
  <c r="E54" i="36" s="1"/>
  <c r="D18" i="4"/>
  <c r="E51" i="9" s="1"/>
  <c r="F11" i="4"/>
  <c r="G63" i="36"/>
  <c r="H79" i="36"/>
  <c r="A44" i="14"/>
  <c r="A6" i="20"/>
  <c r="H30" i="8"/>
  <c r="H66" i="8"/>
  <c r="H24" i="8"/>
  <c r="K6" i="13"/>
  <c r="E10" i="11"/>
  <c r="M41" i="12"/>
  <c r="B29" i="25"/>
  <c r="M22" i="4"/>
  <c r="E55" i="11" s="1"/>
  <c r="G43" i="36"/>
  <c r="H30" i="36"/>
  <c r="B18" i="14"/>
  <c r="C33" i="36"/>
  <c r="E26" i="17"/>
  <c r="H32" i="36"/>
  <c r="H81" i="36"/>
  <c r="G82" i="8"/>
  <c r="D27" i="12"/>
  <c r="E77" i="11"/>
  <c r="E74" i="11"/>
  <c r="A27" i="20"/>
  <c r="F78" i="11"/>
  <c r="F21" i="12"/>
  <c r="D22" i="4"/>
  <c r="E51" i="11" s="1"/>
  <c r="I13" i="4"/>
  <c r="E53" i="36" s="1"/>
  <c r="G19" i="35" s="1"/>
  <c r="E18" i="4"/>
  <c r="D34" i="3"/>
  <c r="D22" i="3"/>
  <c r="C74" i="10"/>
  <c r="K13" i="4"/>
  <c r="E47" i="7"/>
  <c r="E13" i="4"/>
  <c r="E51" i="36" s="1"/>
  <c r="G17" i="35" s="1"/>
  <c r="C36" i="12"/>
  <c r="F16" i="13"/>
  <c r="D32" i="12"/>
  <c r="C44" i="17"/>
  <c r="E33" i="36"/>
  <c r="H35" i="8"/>
  <c r="C74" i="8"/>
  <c r="G70" i="10"/>
  <c r="E15" i="35"/>
  <c r="E22" i="35" s="1"/>
  <c r="D62" i="9"/>
  <c r="C64" i="36"/>
  <c r="C76" i="36" s="1"/>
  <c r="M13" i="4"/>
  <c r="D74" i="10"/>
  <c r="D5" i="18"/>
  <c r="D35" i="18" s="1"/>
  <c r="G13" i="4"/>
  <c r="C94" i="8"/>
  <c r="B79" i="8" s="1"/>
  <c r="D46" i="36"/>
  <c r="H33" i="36"/>
  <c r="B5" i="14"/>
  <c r="A17" i="20"/>
  <c r="A31" i="20"/>
  <c r="A26" i="20"/>
  <c r="H36" i="8"/>
  <c r="H27" i="8"/>
  <c r="H71" i="8"/>
  <c r="K18" i="4"/>
  <c r="H22" i="4"/>
  <c r="E53" i="11" s="1"/>
  <c r="H78" i="36"/>
  <c r="H27" i="36"/>
  <c r="C74" i="11"/>
  <c r="B13" i="14"/>
  <c r="F24" i="12"/>
  <c r="H25" i="8"/>
  <c r="E77" i="9"/>
  <c r="E42" i="7"/>
  <c r="E14" i="10"/>
  <c r="F22" i="4"/>
  <c r="E52" i="10"/>
  <c r="E12" i="10"/>
  <c r="H40" i="36"/>
  <c r="G84" i="36"/>
  <c r="B36" i="14"/>
  <c r="E38" i="36"/>
  <c r="A86" i="20"/>
  <c r="A55" i="20"/>
  <c r="H68" i="8"/>
  <c r="G22" i="8"/>
  <c r="H34" i="8"/>
  <c r="I18" i="4"/>
  <c r="G81" i="8"/>
  <c r="G25" i="36"/>
  <c r="G85" i="36"/>
  <c r="B34" i="14"/>
  <c r="F37" i="9"/>
  <c r="C82" i="8"/>
  <c r="H76" i="8"/>
  <c r="C28" i="6"/>
  <c r="C47" i="6" s="1"/>
  <c r="J18" i="4"/>
  <c r="E54" i="9" s="1"/>
  <c r="E53" i="9"/>
  <c r="A3" i="14"/>
  <c r="F13" i="4"/>
  <c r="E52" i="36" s="1"/>
  <c r="G18" i="35" s="1"/>
  <c r="G70" i="8"/>
  <c r="G18" i="4"/>
  <c r="E52" i="9" s="1"/>
  <c r="F19" i="12"/>
  <c r="G44" i="36"/>
  <c r="D5" i="36"/>
  <c r="B6" i="14"/>
  <c r="B87" i="20"/>
  <c r="A57" i="20"/>
  <c r="H29" i="8"/>
  <c r="H37" i="8"/>
  <c r="H70" i="8"/>
  <c r="M18" i="4"/>
  <c r="E55" i="9" s="1"/>
  <c r="G15" i="8"/>
  <c r="G22" i="4"/>
  <c r="H80" i="36"/>
  <c r="G18" i="36"/>
  <c r="B22" i="14"/>
  <c r="E38" i="9"/>
  <c r="E33" i="9"/>
  <c r="G59" i="36"/>
  <c r="E22" i="4"/>
  <c r="E36" i="12"/>
  <c r="G81" i="36" s="1"/>
  <c r="E45" i="7"/>
  <c r="K17" i="25"/>
  <c r="E13" i="36"/>
  <c r="A32" i="20"/>
  <c r="G22" i="36"/>
  <c r="H70" i="36"/>
  <c r="B30" i="14"/>
  <c r="A7" i="20"/>
  <c r="B36" i="8"/>
  <c r="H75" i="8"/>
  <c r="G41" i="8"/>
  <c r="C5" i="36"/>
  <c r="H37" i="36"/>
  <c r="E36" i="9"/>
  <c r="D28" i="3"/>
  <c r="C62" i="9"/>
  <c r="E52" i="6"/>
  <c r="E49" i="6"/>
  <c r="F18" i="12"/>
  <c r="E54" i="6"/>
  <c r="D21" i="3"/>
  <c r="C76" i="6"/>
  <c r="B54" i="6" s="1"/>
  <c r="B18" i="12"/>
  <c r="G45" i="6"/>
  <c r="C51" i="6"/>
  <c r="C77" i="6" s="1"/>
  <c r="G22" i="32"/>
  <c r="G20" i="32" s="1"/>
  <c r="G24" i="32"/>
  <c r="E13" i="11"/>
  <c r="E54" i="11"/>
  <c r="E22" i="36"/>
  <c r="E11" i="11"/>
  <c r="E22" i="11" s="1"/>
  <c r="G25" i="11" s="1"/>
  <c r="G53" i="6"/>
  <c r="G78" i="10"/>
  <c r="E24" i="7"/>
  <c r="F23" i="4"/>
  <c r="H11" i="4"/>
  <c r="C24" i="4"/>
  <c r="M11" i="4" s="1"/>
  <c r="M24" i="4" s="1"/>
  <c r="E63" i="8"/>
  <c r="E64" i="8" s="1"/>
  <c r="E80" i="8" s="1"/>
  <c r="E82" i="8" s="1"/>
  <c r="E63" i="10"/>
  <c r="G66" i="10" s="1"/>
  <c r="E22" i="8"/>
  <c r="J11" i="4"/>
  <c r="D11" i="4"/>
  <c r="E22" i="9"/>
  <c r="G25" i="9" s="1"/>
  <c r="E22" i="10"/>
  <c r="L11" i="4"/>
  <c r="G16" i="14"/>
  <c r="G20" i="14" s="1"/>
  <c r="M42" i="12"/>
  <c r="M43" i="12" s="1"/>
  <c r="M26" i="12"/>
  <c r="D18" i="23"/>
  <c r="E18" i="23"/>
  <c r="G27" i="35"/>
  <c r="E28" i="35" s="1"/>
  <c r="E60" i="36"/>
  <c r="D26" i="6"/>
  <c r="J38" i="14"/>
  <c r="G19" i="32"/>
  <c r="E47" i="10" l="1"/>
  <c r="D95" i="10"/>
  <c r="G65" i="10"/>
  <c r="G24" i="9"/>
  <c r="E6" i="9"/>
  <c r="D93" i="9"/>
  <c r="B39" i="9" s="1"/>
  <c r="E63" i="9"/>
  <c r="E64" i="9" s="1"/>
  <c r="E80" i="9" s="1"/>
  <c r="E82" i="9" s="1"/>
  <c r="H25" i="12" s="1"/>
  <c r="G75" i="9" s="1"/>
  <c r="E47" i="9"/>
  <c r="D95" i="9"/>
  <c r="G65" i="9"/>
  <c r="G78" i="8"/>
  <c r="B80" i="10"/>
  <c r="G27" i="36"/>
  <c r="D99" i="36"/>
  <c r="B39" i="36" s="1"/>
  <c r="E6" i="36"/>
  <c r="C101" i="36"/>
  <c r="D47" i="36"/>
  <c r="D64" i="36" s="1"/>
  <c r="D76" i="36" s="1"/>
  <c r="G78" i="11"/>
  <c r="E23" i="36"/>
  <c r="E39" i="36" s="1"/>
  <c r="E41" i="36" s="1"/>
  <c r="H19" i="12" s="1"/>
  <c r="G37" i="36" s="1"/>
  <c r="E36" i="17"/>
  <c r="E46" i="17" s="1"/>
  <c r="E58" i="17" s="1"/>
  <c r="E60" i="17" s="1"/>
  <c r="D63" i="17"/>
  <c r="D94" i="11"/>
  <c r="E6" i="11"/>
  <c r="G24" i="11"/>
  <c r="G65" i="11"/>
  <c r="E47" i="11"/>
  <c r="D96" i="11"/>
  <c r="B80" i="11" s="1"/>
  <c r="E63" i="36"/>
  <c r="G37" i="10"/>
  <c r="G78" i="9"/>
  <c r="B30" i="25"/>
  <c r="K29" i="25"/>
  <c r="B80" i="9"/>
  <c r="D63" i="18"/>
  <c r="E36" i="18"/>
  <c r="E46" i="18" s="1"/>
  <c r="E58" i="18" s="1"/>
  <c r="E60" i="18" s="1"/>
  <c r="G38" i="7"/>
  <c r="C76" i="7"/>
  <c r="C42" i="7"/>
  <c r="C44" i="7"/>
  <c r="B21" i="12"/>
  <c r="B36" i="12" s="1"/>
  <c r="B38" i="12" s="1"/>
  <c r="G37" i="9"/>
  <c r="B39" i="11"/>
  <c r="E23" i="10"/>
  <c r="E39" i="10" s="1"/>
  <c r="E41" i="10" s="1"/>
  <c r="H26" i="12" s="1"/>
  <c r="G34" i="10" s="1"/>
  <c r="G40" i="36"/>
  <c r="G37" i="11"/>
  <c r="F36" i="12"/>
  <c r="F38" i="12" s="1"/>
  <c r="D39" i="3"/>
  <c r="G11" i="4"/>
  <c r="G24" i="4" s="1"/>
  <c r="E52" i="11"/>
  <c r="E63" i="11" s="1"/>
  <c r="B39" i="10"/>
  <c r="E23" i="9"/>
  <c r="E39" i="9" s="1"/>
  <c r="E41" i="9" s="1"/>
  <c r="G37" i="8"/>
  <c r="G46" i="7"/>
  <c r="M31" i="12"/>
  <c r="E6" i="10"/>
  <c r="D93" i="10"/>
  <c r="G24" i="10"/>
  <c r="E6" i="8"/>
  <c r="E23" i="8" s="1"/>
  <c r="E39" i="8" s="1"/>
  <c r="E41" i="8" s="1"/>
  <c r="D93" i="8"/>
  <c r="B39" i="8" s="1"/>
  <c r="G24" i="8"/>
  <c r="D6" i="6"/>
  <c r="D28" i="6" s="1"/>
  <c r="D47" i="6" s="1"/>
  <c r="D9" i="32"/>
  <c r="G29" i="36"/>
  <c r="E22" i="3"/>
  <c r="G19" i="12"/>
  <c r="G28" i="36"/>
  <c r="E23" i="11"/>
  <c r="E39" i="11" s="1"/>
  <c r="E41" i="11" s="1"/>
  <c r="G34" i="7"/>
  <c r="E64" i="10"/>
  <c r="E80" i="10" s="1"/>
  <c r="E82" i="10" s="1"/>
  <c r="E62" i="10" s="1"/>
  <c r="G66" i="8"/>
  <c r="G25" i="10"/>
  <c r="G26" i="12"/>
  <c r="J23" i="4"/>
  <c r="G25" i="8"/>
  <c r="K11" i="4"/>
  <c r="K24" i="4" s="1"/>
  <c r="H23" i="4"/>
  <c r="I11" i="4"/>
  <c r="I24" i="4" s="1"/>
  <c r="E14" i="6"/>
  <c r="L23" i="4"/>
  <c r="E11" i="4"/>
  <c r="E24" i="4" s="1"/>
  <c r="D23" i="4"/>
  <c r="E11" i="6"/>
  <c r="G24" i="14"/>
  <c r="G26" i="14" s="1"/>
  <c r="J28" i="14" s="1"/>
  <c r="J30" i="14" s="1"/>
  <c r="G69" i="36"/>
  <c r="H23" i="12"/>
  <c r="G75" i="8" s="1"/>
  <c r="G67" i="8"/>
  <c r="K67" i="8" s="1"/>
  <c r="G23" i="12"/>
  <c r="E62" i="8"/>
  <c r="F26" i="3"/>
  <c r="E26" i="3"/>
  <c r="E62" i="9"/>
  <c r="E27" i="3"/>
  <c r="E21" i="9"/>
  <c r="G24" i="12"/>
  <c r="H24" i="12"/>
  <c r="G34" i="9" s="1"/>
  <c r="F27" i="3"/>
  <c r="F30" i="3"/>
  <c r="G27" i="12"/>
  <c r="E31" i="3"/>
  <c r="G26" i="11"/>
  <c r="H28" i="12"/>
  <c r="G34" i="11" s="1"/>
  <c r="E21" i="11"/>
  <c r="F31" i="3"/>
  <c r="G28" i="12"/>
  <c r="G26" i="9"/>
  <c r="K26" i="9" s="1"/>
  <c r="K29" i="36"/>
  <c r="D51" i="6"/>
  <c r="G26" i="8" l="1"/>
  <c r="K26" i="8" s="1"/>
  <c r="F25" i="3"/>
  <c r="G22" i="12"/>
  <c r="H22" i="12"/>
  <c r="G34" i="8" s="1"/>
  <c r="E25" i="3"/>
  <c r="E21" i="8"/>
  <c r="E64" i="11"/>
  <c r="E80" i="11" s="1"/>
  <c r="E82" i="11" s="1"/>
  <c r="G66" i="11"/>
  <c r="G67" i="9"/>
  <c r="K67" i="9" s="1"/>
  <c r="F29" i="3"/>
  <c r="G66" i="9"/>
  <c r="G26" i="10"/>
  <c r="K26" i="10" s="1"/>
  <c r="E21" i="36"/>
  <c r="E29" i="3"/>
  <c r="G30" i="36"/>
  <c r="G33" i="36" s="1"/>
  <c r="D6" i="7"/>
  <c r="D25" i="7" s="1"/>
  <c r="C77" i="7"/>
  <c r="E21" i="10"/>
  <c r="F28" i="3"/>
  <c r="G67" i="10"/>
  <c r="K67" i="10" s="1"/>
  <c r="G25" i="12"/>
  <c r="E13" i="6"/>
  <c r="G27" i="10"/>
  <c r="G30" i="10" s="1"/>
  <c r="F22" i="3"/>
  <c r="G68" i="36"/>
  <c r="E47" i="36"/>
  <c r="E64" i="36" s="1"/>
  <c r="E80" i="36" s="1"/>
  <c r="D101" i="36"/>
  <c r="B80" i="36" s="1"/>
  <c r="H27" i="12"/>
  <c r="G75" i="10" s="1"/>
  <c r="E28" i="3"/>
  <c r="J32" i="14"/>
  <c r="J34" i="14" s="1"/>
  <c r="J41" i="14" s="1"/>
  <c r="E12" i="6"/>
  <c r="E30" i="3"/>
  <c r="G68" i="8"/>
  <c r="G71" i="8" s="1"/>
  <c r="E10" i="6"/>
  <c r="G68" i="9"/>
  <c r="G71" i="9" s="1"/>
  <c r="G27" i="8"/>
  <c r="G30" i="8" s="1"/>
  <c r="K26" i="11"/>
  <c r="G27" i="11"/>
  <c r="G30" i="11" s="1"/>
  <c r="G27" i="9"/>
  <c r="G30" i="9" s="1"/>
  <c r="E81" i="36"/>
  <c r="E82" i="36" s="1"/>
  <c r="E6" i="6"/>
  <c r="G40" i="6"/>
  <c r="D77" i="6"/>
  <c r="B55" i="6" s="1"/>
  <c r="J81" i="11" l="1"/>
  <c r="J43" i="36"/>
  <c r="J40" i="9"/>
  <c r="J40" i="11"/>
  <c r="J56" i="6"/>
  <c r="J81" i="9"/>
  <c r="J40" i="10"/>
  <c r="J81" i="10"/>
  <c r="J81" i="8"/>
  <c r="J49" i="7"/>
  <c r="J40" i="8"/>
  <c r="J84" i="36"/>
  <c r="G29" i="12"/>
  <c r="F32" i="3"/>
  <c r="H29" i="12"/>
  <c r="G75" i="11" s="1"/>
  <c r="E62" i="11"/>
  <c r="E32" i="3"/>
  <c r="G67" i="11"/>
  <c r="K67" i="11" s="1"/>
  <c r="E27" i="6"/>
  <c r="G41" i="6" s="1"/>
  <c r="G68" i="10"/>
  <c r="G71" i="10" s="1"/>
  <c r="D40" i="7"/>
  <c r="D43" i="7" s="1"/>
  <c r="G20" i="12"/>
  <c r="E62" i="36"/>
  <c r="G15" i="35"/>
  <c r="G22" i="35" s="1"/>
  <c r="F23" i="3"/>
  <c r="H20" i="12"/>
  <c r="E23" i="3"/>
  <c r="G70" i="36"/>
  <c r="D76" i="7" l="1"/>
  <c r="B47" i="7" s="1"/>
  <c r="D42" i="7"/>
  <c r="D21" i="12"/>
  <c r="D36" i="12" s="1"/>
  <c r="D38" i="12" s="1"/>
  <c r="D44" i="7"/>
  <c r="E28" i="6"/>
  <c r="E55" i="6" s="1"/>
  <c r="E57" i="6" s="1"/>
  <c r="E47" i="6" s="1"/>
  <c r="G68" i="11"/>
  <c r="G71" i="11" s="1"/>
  <c r="K70" i="36"/>
  <c r="G71" i="36"/>
  <c r="G74" i="36" s="1"/>
  <c r="E23" i="35"/>
  <c r="D24" i="35"/>
  <c r="F33" i="35" s="1"/>
  <c r="F82" i="36" s="1"/>
  <c r="G78" i="36"/>
  <c r="G29" i="35"/>
  <c r="E30" i="35" s="1"/>
  <c r="D31" i="35" s="1"/>
  <c r="E21" i="3"/>
  <c r="E45" i="6"/>
  <c r="G42" i="6"/>
  <c r="E26" i="6"/>
  <c r="E6" i="7" l="1"/>
  <c r="E25" i="7" s="1"/>
  <c r="E48" i="7" s="1"/>
  <c r="E50" i="7" s="1"/>
  <c r="G33" i="7"/>
  <c r="D77" i="7"/>
  <c r="B48" i="7" s="1"/>
  <c r="G18" i="12"/>
  <c r="H18" i="12" s="1"/>
  <c r="G50" i="6" s="1"/>
  <c r="F21" i="3"/>
  <c r="K42" i="6"/>
  <c r="G43" i="6"/>
  <c r="G46" i="6" s="1"/>
  <c r="M39" i="12" l="1"/>
  <c r="E40" i="7"/>
  <c r="H21" i="12"/>
  <c r="G43" i="7" s="1"/>
  <c r="E24" i="3"/>
  <c r="E39" i="3" s="1"/>
  <c r="F41" i="3" s="1"/>
  <c r="G35" i="7"/>
  <c r="K35" i="7" s="1"/>
  <c r="E23" i="7"/>
  <c r="F24" i="3"/>
  <c r="F39" i="3" s="1"/>
  <c r="G21" i="12"/>
  <c r="M38" i="12" s="1"/>
  <c r="M45" i="12" s="1"/>
  <c r="M33" i="12" s="1"/>
  <c r="M46" i="12"/>
  <c r="M34" i="12" s="1"/>
  <c r="H36" i="12" l="1"/>
  <c r="G36" i="12"/>
  <c r="M40" i="12"/>
  <c r="M44" i="12" s="1"/>
  <c r="G36" i="7"/>
  <c r="G39" i="7" s="1"/>
  <c r="J42" i="36"/>
  <c r="J55" i="6"/>
  <c r="J83" i="36"/>
  <c r="J48" i="7"/>
  <c r="J39" i="9"/>
  <c r="J80" i="10"/>
  <c r="J80" i="8"/>
  <c r="J80" i="11"/>
  <c r="J39" i="10"/>
  <c r="J39" i="8"/>
  <c r="J80" i="9"/>
  <c r="J39" i="11"/>
  <c r="J82" i="11" l="1"/>
  <c r="J41" i="8"/>
  <c r="J85" i="36"/>
  <c r="J50" i="7"/>
  <c r="J41" i="10"/>
  <c r="J57" i="6"/>
  <c r="J82" i="8"/>
  <c r="J44" i="36"/>
  <c r="J41" i="9"/>
  <c r="J82" i="9"/>
  <c r="J82" i="10"/>
  <c r="J41" i="11"/>
  <c r="G36" i="9"/>
  <c r="G45" i="7"/>
  <c r="G77" i="11"/>
  <c r="G80" i="36"/>
  <c r="G36" i="8"/>
  <c r="G77" i="10"/>
  <c r="M51" i="12"/>
  <c r="G36" i="10"/>
  <c r="G52" i="6"/>
  <c r="G39" i="36"/>
  <c r="G36" i="11"/>
  <c r="G77" i="9"/>
  <c r="G77" i="8"/>
  <c r="M53" i="12" l="1"/>
  <c r="M54" i="12"/>
  <c r="M52" i="12"/>
  <c r="M57" i="12" l="1"/>
  <c r="M56" i="12"/>
</calcChain>
</file>

<file path=xl/sharedStrings.xml><?xml version="1.0" encoding="utf-8"?>
<sst xmlns="http://schemas.openxmlformats.org/spreadsheetml/2006/main" count="1785" uniqueCount="1010">
  <si>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</si>
  <si>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</si>
  <si>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</si>
  <si>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</si>
  <si>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</si>
  <si>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</si>
  <si>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</si>
  <si>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</si>
  <si>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</si>
  <si>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</si>
  <si>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</si>
  <si>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</si>
  <si>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</si>
  <si>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</si>
  <si>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</si>
  <si>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</si>
  <si>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</si>
  <si>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</si>
  <si>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</si>
  <si>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</si>
  <si>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</si>
  <si>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</si>
  <si>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</si>
  <si>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</si>
  <si>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</si>
  <si>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</si>
  <si>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</si>
  <si>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 xml:space="preserve">Total </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</si>
  <si>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</si>
  <si>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</si>
  <si>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</si>
  <si>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</si>
  <si>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</si>
  <si>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</si>
  <si>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</si>
  <si>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</si>
  <si>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</si>
  <si>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</si>
  <si>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</si>
  <si>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</si>
  <si>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</si>
  <si>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</si>
  <si>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</si>
  <si>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</si>
  <si>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</si>
  <si>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</si>
  <si>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</si>
  <si>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</si>
  <si>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</si>
  <si>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</si>
  <si>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</si>
  <si>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</si>
  <si>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</si>
  <si>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</si>
  <si>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</si>
  <si>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</si>
  <si>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</si>
  <si>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</si>
  <si>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</si>
  <si>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</si>
  <si>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</si>
  <si>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</si>
  <si>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</si>
  <si>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</si>
  <si>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</si>
  <si>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</si>
  <si>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</si>
  <si>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</si>
  <si>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</si>
  <si>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</si>
  <si>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</si>
  <si>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</si>
  <si>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</si>
  <si>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</si>
  <si>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</si>
  <si>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</si>
  <si>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</si>
  <si>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</si>
  <si>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</si>
  <si>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</si>
  <si>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</si>
  <si>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</si>
  <si>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</si>
  <si>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</si>
  <si>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</si>
  <si>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</si>
  <si>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</si>
  <si>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</si>
  <si>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</si>
  <si>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</si>
  <si>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</si>
  <si>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</si>
  <si>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</si>
  <si>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</si>
  <si>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</si>
  <si>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</si>
  <si>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</si>
  <si>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</si>
  <si>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</si>
  <si>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</si>
  <si>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</si>
  <si>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</si>
  <si>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</si>
  <si>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</si>
  <si>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</si>
  <si>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</si>
  <si>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</si>
  <si>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</si>
  <si>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</si>
  <si>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</si>
  <si>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</si>
  <si>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</si>
  <si>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</si>
  <si>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</si>
  <si>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</si>
  <si>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Township estimates:</t>
  </si>
  <si>
    <t xml:space="preserve">Motor Vehicle Tax Estimate </t>
  </si>
  <si>
    <t xml:space="preserve">Recreational Vehicle Tax Estimate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</si>
  <si>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</si>
  <si>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</si>
  <si>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</si>
  <si>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</si>
  <si>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</si>
  <si>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</si>
  <si>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</si>
  <si>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</si>
  <si>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</si>
  <si>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</si>
  <si>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</si>
  <si>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</si>
  <si>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</si>
  <si>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</si>
  <si>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</si>
  <si>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</si>
  <si>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</si>
  <si>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</si>
  <si>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</si>
  <si>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</si>
  <si>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</si>
  <si>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</si>
  <si>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</si>
  <si>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</si>
  <si>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</si>
  <si>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</si>
  <si>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</si>
  <si>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</si>
  <si>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</si>
  <si>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</si>
  <si>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</si>
  <si>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</si>
  <si>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</si>
  <si>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</si>
  <si>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</si>
  <si>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</si>
  <si>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</si>
  <si>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</si>
  <si>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</si>
  <si>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</si>
  <si>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</si>
  <si>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</si>
  <si>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</si>
  <si>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</si>
  <si>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</si>
  <si>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</si>
  <si>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</si>
  <si>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</si>
  <si>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</si>
  <si>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</si>
  <si>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</si>
  <si>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</si>
  <si>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</si>
  <si>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</si>
  <si>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</si>
  <si>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</si>
  <si>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</si>
  <si>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</si>
  <si>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</si>
  <si>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</si>
  <si>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</si>
  <si>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</si>
  <si>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</si>
  <si>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</si>
  <si>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</si>
  <si>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</si>
  <si>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</si>
  <si>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</si>
  <si>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</si>
  <si>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</si>
  <si>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</si>
  <si>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</si>
  <si>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</si>
  <si>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</si>
  <si>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</si>
  <si>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</si>
  <si>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</si>
  <si>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</si>
  <si>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</si>
  <si>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</si>
  <si>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</si>
  <si>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</si>
  <si>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</si>
  <si>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</si>
  <si>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</si>
  <si>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</si>
  <si>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</si>
  <si>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</si>
  <si>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</si>
  <si>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</si>
  <si>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</si>
  <si>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</si>
  <si>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</si>
  <si>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</si>
  <si>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</si>
  <si>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</si>
  <si>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</si>
  <si>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</si>
  <si>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</si>
  <si>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</si>
  <si>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</si>
  <si>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</si>
  <si>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</si>
  <si>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</si>
  <si>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</si>
  <si>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</si>
  <si>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</si>
  <si>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</si>
  <si>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</si>
  <si>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</si>
  <si>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</si>
  <si>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</si>
  <si>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</si>
  <si>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</si>
  <si>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</si>
  <si>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</si>
  <si>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</si>
  <si>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</si>
  <si>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</si>
  <si>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</si>
  <si>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</si>
  <si>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</si>
  <si>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</si>
  <si>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</si>
  <si>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</si>
  <si>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</si>
  <si>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</si>
  <si>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</si>
  <si>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</si>
  <si>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</si>
  <si>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</si>
  <si>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</si>
  <si>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</si>
  <si>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</si>
  <si>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</si>
  <si>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</si>
  <si>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</si>
  <si>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</si>
  <si>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</si>
  <si>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</si>
  <si>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</si>
  <si>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</si>
  <si>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</si>
  <si>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</si>
  <si>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80 change from Budget Summary to Budget Certificate.</t>
  </si>
  <si>
    <t>Debt Service</t>
  </si>
  <si>
    <t>1. Changed mvalloc column d to pickup ad valorem versus equipments from inputPrYr</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</si>
  <si>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</si>
  <si>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</si>
  <si>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</si>
  <si>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</si>
  <si>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</si>
  <si>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</si>
  <si>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</si>
  <si>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</si>
  <si>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</si>
  <si>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</si>
  <si>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</si>
  <si>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</si>
  <si>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</si>
  <si>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</si>
  <si>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</si>
  <si>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</si>
  <si>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</si>
  <si>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</si>
  <si>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</si>
  <si>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</si>
  <si>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</si>
  <si>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</si>
  <si>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</si>
  <si>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</si>
  <si>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</si>
  <si>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</si>
  <si>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</si>
  <si>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</si>
  <si>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</si>
  <si>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</si>
  <si>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</si>
  <si>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</si>
  <si>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</si>
  <si>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</si>
  <si>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</si>
  <si>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</si>
  <si>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</si>
  <si>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</si>
  <si>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</si>
  <si>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</si>
  <si>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</si>
  <si>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</si>
  <si>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</si>
  <si>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</si>
  <si>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</si>
  <si>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</si>
  <si>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</si>
  <si>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</si>
  <si>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</si>
  <si>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</si>
  <si>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</si>
  <si>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</si>
  <si>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</si>
  <si>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</si>
  <si>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</si>
  <si>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</si>
  <si>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</si>
  <si>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</si>
  <si>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</si>
  <si>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</si>
  <si>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</si>
  <si>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</si>
  <si>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</si>
  <si>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</si>
  <si>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</si>
  <si>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</si>
  <si>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</si>
  <si>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</si>
  <si>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</si>
  <si>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</si>
  <si>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</si>
  <si>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</si>
  <si>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</si>
  <si>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</si>
  <si>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</si>
  <si>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</si>
  <si>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</si>
  <si>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</si>
  <si>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</si>
  <si>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</si>
  <si>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</si>
  <si>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</si>
  <si>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</si>
  <si>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</si>
  <si>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</si>
  <si>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</si>
  <si>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</si>
  <si>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</si>
  <si>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</si>
  <si>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</si>
  <si>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</si>
  <si>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</si>
  <si>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</si>
  <si>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</si>
  <si>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</si>
  <si>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</si>
  <si>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</si>
  <si>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</si>
  <si>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</si>
  <si>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</si>
  <si>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</si>
  <si>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</si>
  <si>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</si>
  <si>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</si>
  <si>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</si>
  <si>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</si>
  <si>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</si>
  <si>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</si>
  <si>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</si>
  <si>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</si>
  <si>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</si>
  <si>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</si>
  <si>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</si>
  <si>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</si>
  <si>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</si>
  <si>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</si>
  <si>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</si>
  <si>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</si>
  <si>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</si>
  <si>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</si>
  <si>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</si>
  <si>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</si>
  <si>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</si>
  <si>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</si>
  <si>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</si>
  <si>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</si>
  <si>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</si>
  <si>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</si>
  <si>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</si>
  <si>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</si>
  <si>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</si>
  <si>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</si>
  <si>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</si>
  <si>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</si>
  <si>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</si>
  <si>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</si>
  <si>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</si>
  <si>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</si>
  <si>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</si>
  <si>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</si>
  <si>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</si>
  <si>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</si>
  <si>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</si>
  <si>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</si>
  <si>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</si>
  <si>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</si>
  <si>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</si>
  <si>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</si>
  <si>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</si>
  <si>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</si>
  <si>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</si>
  <si>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</si>
  <si>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</si>
  <si>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</si>
  <si>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</si>
  <si>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</si>
  <si>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</si>
  <si>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</si>
  <si>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</si>
  <si>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</si>
  <si>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</si>
  <si>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</si>
  <si>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</si>
  <si>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</si>
  <si>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</si>
  <si>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</si>
  <si>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</si>
  <si>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</si>
  <si>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</si>
  <si>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</si>
  <si>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</si>
  <si>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</si>
  <si>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</si>
  <si>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</si>
  <si>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</si>
  <si>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</si>
  <si>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</si>
  <si>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</si>
  <si>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</si>
  <si>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</si>
  <si>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</si>
  <si>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</si>
  <si>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</si>
  <si>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</si>
  <si>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</si>
  <si>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</si>
  <si>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</si>
  <si>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</si>
  <si>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</si>
  <si>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</si>
  <si>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</si>
  <si>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</si>
  <si>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</si>
  <si>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</si>
  <si>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</si>
  <si>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</si>
  <si>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</si>
  <si>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</si>
  <si>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</si>
  <si>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</si>
  <si>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</si>
  <si>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</si>
  <si>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</si>
  <si>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</si>
  <si>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</si>
  <si>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</si>
  <si>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</si>
  <si>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</si>
  <si>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</si>
  <si>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</si>
  <si>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</si>
  <si>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</si>
  <si>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</si>
  <si>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</si>
  <si>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</si>
  <si>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</si>
  <si>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</si>
  <si>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</si>
  <si>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</si>
  <si>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</si>
  <si>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</si>
  <si>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</si>
  <si>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</si>
  <si>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</si>
  <si>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</si>
  <si>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</si>
  <si>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</si>
  <si>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</si>
  <si>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</si>
  <si>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</si>
  <si>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</si>
  <si>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</si>
  <si>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</si>
  <si>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</si>
  <si>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</si>
  <si>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</si>
  <si>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</si>
  <si>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</si>
  <si>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</si>
  <si>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</si>
  <si>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</si>
  <si>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</si>
  <si>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</si>
  <si>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</si>
  <si>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</si>
  <si>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</si>
  <si>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</si>
  <si>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</si>
  <si>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</si>
  <si>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</si>
  <si>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</si>
  <si>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</si>
  <si>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</si>
  <si>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</si>
  <si>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</si>
  <si>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</si>
  <si>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</si>
  <si>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</si>
  <si>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</si>
  <si>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</si>
  <si>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</si>
  <si>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</si>
  <si>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</si>
  <si>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</si>
  <si>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</si>
  <si>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</si>
  <si>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</si>
  <si>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</si>
  <si>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</si>
  <si>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</si>
  <si>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</si>
  <si>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</si>
  <si>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</si>
  <si>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</si>
  <si>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</si>
  <si>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</si>
  <si>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</si>
  <si>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</si>
  <si>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</si>
  <si>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</si>
  <si>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</si>
  <si>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</si>
  <si>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</si>
  <si>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</si>
  <si>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</si>
  <si>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</si>
  <si>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</si>
  <si>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</si>
  <si>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</si>
  <si>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</si>
  <si>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</si>
  <si>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</si>
  <si>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</si>
  <si>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</si>
  <si>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</si>
  <si>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</si>
  <si>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</si>
  <si>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</si>
  <si>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</si>
  <si>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</si>
  <si>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</si>
  <si>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</si>
  <si>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</si>
  <si>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</si>
  <si>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</si>
  <si>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</si>
  <si>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</si>
  <si>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</si>
  <si>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</si>
  <si>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</si>
  <si>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</si>
  <si>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</si>
  <si>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</si>
  <si>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</si>
  <si>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</si>
  <si>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</si>
  <si>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</si>
  <si>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</si>
  <si>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</si>
  <si>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</si>
  <si>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</si>
  <si>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</si>
  <si>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</si>
  <si>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</si>
  <si>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</si>
  <si>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</si>
  <si>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</si>
  <si>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</si>
  <si>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</si>
  <si>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</si>
  <si>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</si>
  <si>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</si>
  <si>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</si>
  <si>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</si>
  <si>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</si>
  <si>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</si>
  <si>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</si>
  <si>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</si>
  <si>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</si>
  <si>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</si>
  <si>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</si>
  <si>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</si>
  <si>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</si>
  <si>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</si>
  <si>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</si>
  <si>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</si>
  <si>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</si>
  <si>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</si>
  <si>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</si>
  <si>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</si>
  <si>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</si>
  <si>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</si>
  <si>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</si>
  <si>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</si>
  <si>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</si>
  <si>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</si>
  <si>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</si>
  <si>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</si>
  <si>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</si>
  <si>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</si>
  <si>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</si>
  <si>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</si>
  <si>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</si>
  <si>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</si>
  <si>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</si>
  <si>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</si>
  <si>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</si>
  <si>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</si>
  <si>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</si>
  <si>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</si>
  <si>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</si>
  <si>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</si>
  <si>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</si>
  <si>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</si>
  <si>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</si>
  <si>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</si>
  <si>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</si>
  <si>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</si>
  <si>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</si>
  <si>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</si>
  <si>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</si>
  <si>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</si>
  <si>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</si>
  <si>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</si>
  <si>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</si>
  <si>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</si>
  <si>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</si>
  <si>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</si>
  <si>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</si>
  <si>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</si>
  <si>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</si>
  <si>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</si>
  <si>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Transfer can not exceed 25% Resources Available</t>
  </si>
  <si>
    <t>Alloc of MVT, RVT, and 16/20M Vehicles Tax</t>
  </si>
  <si>
    <t>Library</t>
  </si>
  <si>
    <t>12-1220</t>
  </si>
  <si>
    <t>Budgeted Funds</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</si>
  <si>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</si>
  <si>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</si>
  <si>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</si>
  <si>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</si>
  <si>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</si>
  <si>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</si>
  <si>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</si>
  <si>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</si>
  <si>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</si>
  <si>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</si>
  <si>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</si>
  <si>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</si>
  <si>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</si>
  <si>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</si>
  <si>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</si>
  <si>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</si>
  <si>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</si>
  <si>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</si>
  <si>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</si>
  <si>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</si>
  <si>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</si>
  <si>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</si>
  <si>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</si>
  <si>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</si>
  <si>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</si>
  <si>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</si>
  <si>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</si>
  <si>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</si>
  <si>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</si>
  <si>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</si>
  <si>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</si>
  <si>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</si>
  <si>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</si>
  <si>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</si>
  <si>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</si>
  <si>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</si>
  <si>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</si>
  <si>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</si>
  <si>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</si>
  <si>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</si>
  <si>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</si>
  <si>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</si>
  <si>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</si>
  <si>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</si>
  <si>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</si>
  <si>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</si>
  <si>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</si>
  <si>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</si>
  <si>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</si>
  <si>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</si>
  <si>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</si>
  <si>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</si>
  <si>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</si>
  <si>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</si>
  <si>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</si>
  <si>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</si>
  <si>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</si>
  <si>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</si>
  <si>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</si>
  <si>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</si>
  <si>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</si>
  <si>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</si>
  <si>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</si>
  <si>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</si>
  <si>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</si>
  <si>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</si>
  <si>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</si>
  <si>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</si>
  <si>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</si>
  <si>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</si>
  <si>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</si>
  <si>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</si>
  <si>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</si>
  <si>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</si>
  <si>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</si>
  <si>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</si>
  <si>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</si>
  <si>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</si>
  <si>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</si>
  <si>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</si>
  <si>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</si>
  <si>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</si>
  <si>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</si>
  <si>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</si>
  <si>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</si>
  <si>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</si>
  <si>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</si>
  <si>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</si>
  <si>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</si>
  <si>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</si>
  <si>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</si>
  <si>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</si>
  <si>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</si>
  <si>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</si>
  <si>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</si>
  <si>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</si>
  <si>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</si>
  <si>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</si>
  <si>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</si>
  <si>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</si>
  <si>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</si>
  <si>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</si>
  <si>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</si>
  <si>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</si>
  <si>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</si>
  <si>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</si>
  <si>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</si>
  <si>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</si>
  <si>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</si>
  <si>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</si>
  <si>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</si>
  <si>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</si>
  <si>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</si>
  <si>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</si>
  <si>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</si>
  <si>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</si>
  <si>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</si>
  <si>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</si>
  <si>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</si>
  <si>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</si>
  <si>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</si>
  <si>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</si>
  <si>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1.  "Budget Authority Amount" cell added to budget year column of all funds.</t>
  </si>
  <si>
    <r>
      <t xml:space="preserve">4a. The certificate page computation for mill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</si>
  <si>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</si>
  <si>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</si>
  <si>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</si>
  <si>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</si>
  <si>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</si>
  <si>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</si>
  <si>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</si>
  <si>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</si>
  <si>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</si>
  <si>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</si>
  <si>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</si>
  <si>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</si>
  <si>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</si>
  <si>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</si>
  <si>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</si>
  <si>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</si>
  <si>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</si>
  <si>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1.  Several changes to workbook associated with 2014 HB 2047.</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</si>
  <si>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</si>
  <si>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1.  Added the ROUND function to cell J38 in the computation tab so result will be a whole number.</t>
  </si>
  <si>
    <t>1.  Corrected formula in cell g29 of the Library Grant tab.</t>
  </si>
  <si>
    <t>Note:  the green shaded areas will automatically expand.</t>
  </si>
  <si>
    <t>Enter township name followed by "Township":</t>
  </si>
  <si>
    <t>Enter county name followed by "County":</t>
  </si>
  <si>
    <t>Enter name of first third-class city:</t>
  </si>
  <si>
    <t>Enter name of second third-class city: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</si>
  <si>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</si>
  <si>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</si>
  <si>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</si>
  <si>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</si>
  <si>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</si>
  <si>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1.  Update of State Library contact name on library grant tab.</t>
  </si>
  <si>
    <t>Input Sheet for Township2 Budget Workbook</t>
  </si>
  <si>
    <t>Township2 Budget Workbook Instructions</t>
  </si>
  <si>
    <t xml:space="preserve">16/20 M Vehicle Tax </t>
  </si>
  <si>
    <t>Commercial Vehicle Tax Estimate</t>
  </si>
  <si>
    <t>Watercraft Tax Estimate</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</si>
  <si>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</si>
  <si>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</si>
  <si>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</si>
  <si>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</si>
  <si>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</si>
  <si>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</si>
  <si>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
  </si>
  <si>
    <t>MVT - Township</t>
  </si>
  <si>
    <t>MVT - City</t>
  </si>
  <si>
    <t>RVT - Township</t>
  </si>
  <si>
    <t>RVT - City</t>
  </si>
  <si>
    <t>16/20M - Township</t>
  </si>
  <si>
    <t>16/20 - City</t>
  </si>
  <si>
    <t>CommVeh - Twnshp</t>
  </si>
  <si>
    <t>CommVeh - City</t>
  </si>
  <si>
    <t>Wtrcraft - Township</t>
  </si>
  <si>
    <t>Wtrcraft - City</t>
  </si>
  <si>
    <r>
      <t>Total - 3rd Class City Levies (</t>
    </r>
    <r>
      <rPr>
        <b/>
        <sz val="8"/>
        <rFont val="Times New Roman"/>
        <family val="1"/>
      </rPr>
      <t>***</t>
    </r>
    <r>
      <rPr>
        <sz val="12"/>
        <rFont val="Times New Roman"/>
        <family val="1"/>
      </rPr>
      <t>)</t>
    </r>
  </si>
  <si>
    <t>1.  Revised proportionate estimate formulas on mvalloc page.</t>
  </si>
  <si>
    <t>The following changes were made to this workbook on 10/5/2015</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</si>
  <si>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</si>
  <si>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</si>
  <si>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</si>
  <si>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</si>
  <si>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</si>
  <si>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</si>
  <si>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</si>
  <si>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</si>
  <si>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1/25/2016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</si>
  <si>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</si>
  <si>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</si>
  <si>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</si>
  <si>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</si>
  <si>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</si>
  <si>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</si>
  <si>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</si>
  <si>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</si>
  <si>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2/3/2015</t>
  </si>
  <si>
    <t>The following changes were made to this workbook on 1/22/2015</t>
  </si>
  <si>
    <t>The following changes were made to this workbook on 10/30/2014</t>
  </si>
  <si>
    <t>The following changes were made to this workbook on 8/28/2014</t>
  </si>
  <si>
    <t>The following changes were made to this workbook on 7/21/2014</t>
  </si>
  <si>
    <t>The following changes were made to this workbook on 7/15/2014</t>
  </si>
  <si>
    <t>The following changes were made to this workbook on 5/26/2014</t>
  </si>
  <si>
    <t>The following changes were made to this workbook on 4/29/2014</t>
  </si>
  <si>
    <t>The following changes were made to this workbook on 8/9/2013</t>
  </si>
  <si>
    <t>The following changes were made to this workbook on 3/27/2013</t>
  </si>
  <si>
    <t>The following changes were made to this workbook on 1/31/2013</t>
  </si>
  <si>
    <t>1.  Corrected cell merge function on certificate page so that signatures lines will print.</t>
  </si>
  <si>
    <t>1.  Instruction tab narrative modification.</t>
  </si>
  <si>
    <t>1.  Corrected formula in cell e28 of Library Grant tab.</t>
  </si>
  <si>
    <t>The following changes were made to this workbook on 10/10/2012</t>
  </si>
  <si>
    <t>1.  Added "resolution required?  yes/no" message to area adjacent to each tax levy fund.</t>
  </si>
  <si>
    <t>1.  Corrected formula in cell e29 on Library Grant tab page.</t>
  </si>
  <si>
    <t>The following changes were made to this workbook on 2/22/2012</t>
  </si>
  <si>
    <t>1. Library Grant tab, updated State Library e-mail contact address.</t>
  </si>
  <si>
    <t>The following changes were made to this workbook on 2/7/2012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</si>
  <si>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</si>
  <si>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</si>
  <si>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</si>
  <si>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</si>
  <si>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</si>
  <si>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</si>
  <si>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</si>
  <si>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</si>
  <si>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</si>
  <si>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</si>
  <si>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</si>
  <si>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</si>
  <si>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</si>
  <si>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</si>
  <si>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</si>
  <si>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</si>
  <si>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</si>
  <si>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</si>
  <si>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</si>
  <si>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</si>
  <si>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</si>
  <si>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</si>
  <si>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</si>
  <si>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</si>
  <si>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</si>
  <si>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</si>
  <si>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</si>
  <si>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</si>
  <si>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</si>
  <si>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5/4/2011</t>
  </si>
  <si>
    <t>1. Cert tab cell A45 corrected spelling Assessed.</t>
  </si>
  <si>
    <t>2. Gen tab cell B42 corrected spelling Resources.</t>
  </si>
  <si>
    <t>The following changes were made to this workbook on 4/19/2011</t>
  </si>
  <si>
    <t>1. Summ tab changed proposed year expenditure column to 'Budget Authority for Expenditures.'</t>
  </si>
  <si>
    <t>The following changes were made  to this workbook on 10/26/2010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</si>
  <si>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</si>
  <si>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</si>
  <si>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</si>
  <si>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</si>
  <si>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</si>
  <si>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</si>
  <si>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</si>
  <si>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</si>
  <si>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</si>
  <si>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</si>
  <si>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</si>
  <si>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</si>
  <si>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</si>
  <si>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</si>
  <si>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</si>
  <si>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</si>
  <si>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</si>
  <si>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</si>
  <si>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</si>
  <si>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</si>
  <si>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</si>
  <si>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</si>
  <si>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the w-2 infro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</si>
  <si>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</si>
  <si>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</si>
  <si>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</si>
  <si>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</si>
  <si>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</si>
  <si>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</si>
  <si>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</si>
  <si>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</si>
  <si>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</si>
  <si>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in the 'General Instruction' section about Funds mill rate computed.</t>
  </si>
  <si>
    <t>2. Change the Certificate and Budget Summary page for 'Funds' in step 1.</t>
  </si>
  <si>
    <t>3. Instruction tab, added step 3 for 'inputBudSum.'</t>
  </si>
  <si>
    <t>4. Added tab 'inputBudSum.'</t>
  </si>
  <si>
    <t>5. Changed Budget Summary replacing the green areas for date/time/location so info comes from inputBudSum tab.</t>
  </si>
  <si>
    <t>6. Added to instruction tab lines 4a and 12b for computation of levy on Certificate and Budget Summary pages.</t>
  </si>
  <si>
    <t>The following changes were made to this workbook on 8/21/2009</t>
  </si>
  <si>
    <t>1. InputPrYr tab changed the Bond &amp; Interest to Debt Service.</t>
  </si>
  <si>
    <t>2. InputPrYr tab added line 18 'If amended . . . .'</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</si>
  <si>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</si>
  <si>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</si>
  <si>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</si>
  <si>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</si>
  <si>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</si>
  <si>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8. TransferStatutes tab created.</t>
  </si>
  <si>
    <t>9. Instructions tab added 6c for TransferStatutes tab.</t>
  </si>
  <si>
    <t>10. Instruction tab added 9m to explain about Non-Budgeted Form.</t>
  </si>
  <si>
    <t>11. Cert tab added Non-Budgeted Funds line A35.</t>
  </si>
  <si>
    <t>12. Added nonbud tab for the Non-Budgeted Funds.</t>
  </si>
  <si>
    <t>13. Summ tab added A34 for Non-Budgeted Funds.</t>
  </si>
  <si>
    <t>14. Added Tabs A to E for violations.</t>
  </si>
  <si>
    <t>15. Changed each fund page taking out the 'Yes' and 'No' and replacing them with 'See Tab' for a possible violation.</t>
  </si>
  <si>
    <t>16. NonBud tab changed Net Valuation to July 1.</t>
  </si>
  <si>
    <t>17. Certificate tab moved the Assisted By: and added more lines for governing body signatures.</t>
  </si>
  <si>
    <t>The following changes were made to this workbook on 5/5/2009</t>
  </si>
  <si>
    <t>1. Summ tab, special machinery's expenditure cell b34 was changed from C61 to B61.</t>
  </si>
  <si>
    <t>The following changes were made to this workbook on 4/3/2009</t>
  </si>
  <si>
    <t>The following were changed to this workbook on 3/19/2009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</si>
  <si>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</si>
  <si>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</si>
  <si>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</si>
  <si>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workbook on 2/23/2009</t>
  </si>
  <si>
    <t>The following were changed to this workbook on 10/17/2008</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</si>
  <si>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</si>
  <si>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</si>
  <si>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</si>
  <si>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The following were changed to this workbook on 8/06/2007</t>
  </si>
  <si>
    <t>The following changes were made to this workbook on 3/7/2017</t>
  </si>
  <si>
    <t>CPI - Consumer Price Index Percentage (%):</t>
  </si>
  <si>
    <t xml:space="preserve">1.  inputPrYr tab, inserted CPI percentage, linked the percentage to the Computation tab. </t>
  </si>
  <si>
    <t>CPA Summary</t>
  </si>
  <si>
    <t xml:space="preserve">megan.schulz@ks.gov </t>
  </si>
  <si>
    <t>The following changes were made to this workbook in April 2018</t>
  </si>
  <si>
    <t xml:space="preserve">1.  Added the CPA Summary tab.  </t>
  </si>
  <si>
    <t>2.  Added the CPA Summary comment box on the Certification Page and all fund pages.</t>
  </si>
  <si>
    <t xml:space="preserve">3.  Changed Megan Schulz email address on the Library Grant tab.  </t>
  </si>
  <si>
    <t>4.  Renamed the Pub. Notice Option 1 tab to Notice of Vote.</t>
  </si>
  <si>
    <t>5.  Removed the Pub. Notice Option 2 and 3 tabs.</t>
  </si>
  <si>
    <t>Please read these instructions carefully.  If after reviewing the insturctions you still have questions, contact Municipal Services at 785-296-6033 or 785-296-8083: or via email to armunis@ks.gov</t>
  </si>
  <si>
    <t>CPA Summary of Assumptions</t>
  </si>
  <si>
    <t>The following changes were made to this workbook in April 2019</t>
  </si>
  <si>
    <t>1.  Updated Municipal Services' contact information on the Instruction tab</t>
  </si>
  <si>
    <t>2.  Entered 2020 for the Budget Year and 2.5% for the CPI percentage on the InputPrYr tab</t>
  </si>
  <si>
    <t>3.  Highlighted tabs (pages) in blue if the page is to be printed and submitted as part of the budget</t>
  </si>
  <si>
    <t>Scott Township</t>
  </si>
  <si>
    <t>Lincoln County</t>
  </si>
  <si>
    <t>Barnard City</t>
  </si>
  <si>
    <t>Cemetery Operations</t>
  </si>
  <si>
    <t>Publications</t>
  </si>
  <si>
    <t>Treasurer</t>
  </si>
  <si>
    <t>August ___, 2019</t>
  </si>
  <si>
    <t>_____</t>
  </si>
  <si>
    <t>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</si>
</sst>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43" formatCode="_(* #,##0.00_);_(* \(#,##0.00\);_(* &quot;-&quot;??_);_(@_)"/>
    <numFmt numFmtId="164" formatCode="0_)"/>
    <numFmt numFmtId="165" formatCode="0.000_)"/>
    <numFmt numFmtId="166" formatCode="0.00000"/>
    <numFmt numFmtId="167" formatCode="m/d/yy"/>
    <numFmt numFmtId="168" formatCode="m/d"/>
    <numFmt numFmtId="169" formatCode="#,##0.000_);\(#,##0.000\)"/>
    <numFmt numFmtId="170" formatCode="0.000"/>
    <numFmt numFmtId="171" formatCode="_(* #,##0_);_(* \(#,##0\);_(* &quot;-&quot;??_);_(@_)"/>
    <numFmt numFmtId="172" formatCode="#,##0.000"/>
    <numFmt numFmtId="173" formatCode="[$-409]mmmm\ d\,\ yyyy;@"/>
    <numFmt numFmtId="174" formatCode="[$-409]h:mm\ AM/PM;@"/>
    <numFmt numFmtId="175" formatCode="&quot;$&quot;#,##0"/>
    <numFmt numFmtId="176" formatCode="&quot;$&quot;#,##0.00"/>
    <numFmt numFmtId="177" formatCode="0.0%"/>
    <numFmt numFmtId="178" formatCode="#,##0.000_);[Red]\(#,##0.000\)"/>
    <numFmt numFmtId="179" formatCode="0.000_);\(0.000\)"/>
  </numFmts>
  <fonts count="71" x14ac:knownFonts="1">
    <font>
      <sz val="12"/>
      <name val="Courier New"/>
    </font>
    <font>
      <b/>
      <sz val="12"/>
      <name val="Courier New"/>
      <family val="3"/>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u/>
      <sz val="12"/>
      <color indexed="12"/>
      <name val="Courier New"/>
      <family val="3"/>
    </font>
    <font>
      <sz val="8"/>
      <name val="Courier New"/>
      <family val="3"/>
    </font>
    <font>
      <b/>
      <sz val="11"/>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sz val="10"/>
      <name val="Courier"/>
      <family val="3"/>
    </font>
    <font>
      <sz val="10"/>
      <color indexed="10"/>
      <name val="Times New Roman"/>
      <family val="1"/>
    </font>
    <font>
      <sz val="10"/>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1"/>
      <color indexed="8"/>
      <name val="Cambria"/>
      <family val="1"/>
    </font>
    <font>
      <sz val="11"/>
      <color indexed="8"/>
      <name val="Cambria"/>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0"/>
      <color indexed="10"/>
      <name val="Times New Roman"/>
      <family val="1"/>
    </font>
    <font>
      <b/>
      <sz val="11"/>
      <name val="Calibri"/>
      <family val="2"/>
    </font>
    <font>
      <sz val="12"/>
      <name val="Courier"/>
      <family val="3"/>
    </font>
    <font>
      <b/>
      <sz val="8"/>
      <name val="Times New Roman"/>
      <family val="1"/>
    </font>
    <font>
      <sz val="12"/>
      <name val="Courier"/>
      <family val="3"/>
    </font>
    <font>
      <sz val="12"/>
      <name val="Arial"/>
      <family val="2"/>
    </font>
    <font>
      <i/>
      <sz val="12"/>
      <name val="Arial"/>
      <family val="2"/>
    </font>
    <font>
      <sz val="10"/>
      <name val="Arial"/>
      <family val="2"/>
    </font>
    <font>
      <sz val="10"/>
      <name val="Courier New"/>
      <family val="3"/>
    </font>
    <font>
      <sz val="11"/>
      <color theme="1"/>
      <name val="Calibri"/>
      <family val="2"/>
      <scheme val="minor"/>
    </font>
    <font>
      <b/>
      <sz val="11"/>
      <color theme="1"/>
      <name val="Calibri"/>
      <family val="2"/>
      <scheme val="minor"/>
    </font>
    <font>
      <b/>
      <sz val="14"/>
      <color theme="1"/>
      <name val="Calibri"/>
      <family val="2"/>
      <scheme val="minor"/>
    </font>
  </fonts>
  <fills count="17">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34"/>
        <bgColor indexed="64"/>
      </patternFill>
    </fill>
    <fill>
      <patternFill patternType="solid">
        <fgColor indexed="41"/>
        <bgColor indexed="64"/>
      </patternFill>
    </fill>
    <fill>
      <patternFill patternType="solid">
        <fgColor indexed="35"/>
        <bgColor indexed="64"/>
      </patternFill>
    </fill>
    <fill>
      <patternFill patternType="solid">
        <fgColor rgb="FFFFFFC0"/>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1">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68" fillId="0" borderId="0"/>
    <xf numFmtId="0" fontId="3" fillId="0" borderId="0"/>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3" fillId="0" borderId="0"/>
    <xf numFmtId="0" fontId="3" fillId="0" borderId="0"/>
    <xf numFmtId="0" fontId="3" fillId="0" borderId="0"/>
    <xf numFmtId="0" fontId="6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cellStyleXfs>
  <cellXfs count="995">
    <xf numFmtId="0" fontId="0" fillId="0" borderId="0" xfId="0"/>
    <xf numFmtId="0" fontId="5" fillId="0" borderId="0" xfId="0" applyFont="1"/>
    <xf numFmtId="3" fontId="5" fillId="2" borderId="1"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2"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0" xfId="0" applyNumberFormat="1" applyFont="1" applyFill="1" applyBorder="1" applyAlignment="1" applyProtection="1">
      <alignment horizontal="left"/>
    </xf>
    <xf numFmtId="0" fontId="5" fillId="4" borderId="4" xfId="0" applyFont="1" applyFill="1" applyBorder="1" applyProtection="1"/>
    <xf numFmtId="0" fontId="5" fillId="4" borderId="0" xfId="0" applyFont="1" applyFill="1"/>
    <xf numFmtId="0" fontId="0" fillId="4" borderId="0" xfId="0" applyFill="1"/>
    <xf numFmtId="37" fontId="5" fillId="4" borderId="0" xfId="0" applyNumberFormat="1" applyFont="1" applyFill="1" applyBorder="1" applyProtection="1">
      <protection locked="0"/>
    </xf>
    <xf numFmtId="3" fontId="5" fillId="4" borderId="0" xfId="0" applyNumberFormat="1" applyFont="1" applyFill="1" applyBorder="1" applyProtection="1">
      <protection locked="0"/>
    </xf>
    <xf numFmtId="0" fontId="15" fillId="4" borderId="0" xfId="0" applyFont="1" applyFill="1" applyBorder="1" applyAlignment="1" applyProtection="1">
      <alignment horizontal="center"/>
    </xf>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0" fontId="5" fillId="5" borderId="1" xfId="0" applyNumberFormat="1" applyFont="1" applyFill="1" applyBorder="1" applyProtection="1"/>
    <xf numFmtId="37" fontId="4" fillId="4" borderId="2" xfId="0" applyNumberFormat="1" applyFont="1" applyFill="1" applyBorder="1" applyAlignment="1" applyProtection="1">
      <alignment horizontal="left"/>
    </xf>
    <xf numFmtId="37" fontId="4" fillId="6" borderId="2" xfId="0" applyNumberFormat="1" applyFont="1" applyFill="1" applyBorder="1" applyAlignment="1" applyProtection="1">
      <alignment horizontal="left"/>
    </xf>
    <xf numFmtId="0" fontId="5" fillId="6" borderId="3" xfId="0" applyFont="1" applyFill="1" applyBorder="1" applyProtection="1"/>
    <xf numFmtId="3" fontId="5" fillId="5" borderId="1" xfId="0" applyNumberFormat="1" applyFont="1" applyFill="1" applyBorder="1" applyProtection="1"/>
    <xf numFmtId="0" fontId="6" fillId="4" borderId="0" xfId="0" applyFont="1" applyFill="1" applyBorder="1" applyProtection="1"/>
    <xf numFmtId="37" fontId="5" fillId="5" borderId="3" xfId="0" applyNumberFormat="1" applyFont="1" applyFill="1" applyBorder="1" applyProtection="1">
      <protection locked="0"/>
    </xf>
    <xf numFmtId="3" fontId="5" fillId="5" borderId="3"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0" fontId="5" fillId="7" borderId="6" xfId="0" applyFont="1" applyFill="1" applyBorder="1" applyAlignment="1">
      <alignment horizontal="center"/>
    </xf>
    <xf numFmtId="0" fontId="5" fillId="7" borderId="7" xfId="0" applyFont="1" applyFill="1" applyBorder="1" applyAlignment="1">
      <alignment horizontal="center"/>
    </xf>
    <xf numFmtId="0" fontId="13" fillId="4" borderId="0" xfId="0" applyFont="1" applyFill="1"/>
    <xf numFmtId="0" fontId="17" fillId="4" borderId="0" xfId="0" applyFont="1" applyFill="1" applyAlignment="1"/>
    <xf numFmtId="37" fontId="5" fillId="4" borderId="1" xfId="0" applyNumberFormat="1" applyFont="1" applyFill="1" applyBorder="1"/>
    <xf numFmtId="0" fontId="17" fillId="4" borderId="0" xfId="0" applyFont="1" applyFill="1"/>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6" xfId="0" applyNumberFormat="1" applyFont="1" applyFill="1" applyBorder="1" applyAlignment="1" applyProtection="1">
      <alignment horizontal="left" vertical="center"/>
    </xf>
    <xf numFmtId="37" fontId="5" fillId="4" borderId="6" xfId="0" applyNumberFormat="1" applyFont="1" applyFill="1" applyBorder="1" applyAlignment="1" applyProtection="1">
      <alignment horizontal="center" vertical="center"/>
    </xf>
    <xf numFmtId="0" fontId="5" fillId="4" borderId="8"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2" xfId="0" applyNumberFormat="1"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7" xfId="0" applyNumberFormat="1" applyFont="1" applyFill="1" applyBorder="1" applyAlignment="1" applyProtection="1">
      <alignment horizontal="center" vertical="center"/>
    </xf>
    <xf numFmtId="37" fontId="5" fillId="4" borderId="9"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0"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1" xfId="0" applyFont="1" applyFill="1" applyBorder="1" applyAlignment="1" applyProtection="1">
      <alignment vertical="center"/>
    </xf>
    <xf numFmtId="37" fontId="5" fillId="4" borderId="12" xfId="0" applyNumberFormat="1" applyFont="1" applyFill="1" applyBorder="1" applyAlignment="1" applyProtection="1">
      <alignment horizontal="left" vertical="center"/>
    </xf>
    <xf numFmtId="37" fontId="6" fillId="4" borderId="12"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5"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9"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1" xfId="0" applyNumberFormat="1" applyFont="1" applyFill="1" applyBorder="1" applyAlignment="1" applyProtection="1">
      <alignment horizontal="center" vertical="center"/>
    </xf>
    <xf numFmtId="37" fontId="4" fillId="4" borderId="9"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5" borderId="13" xfId="0" applyNumberFormat="1"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3"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2"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1"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2" xfId="0" applyFont="1" applyFill="1" applyBorder="1" applyAlignment="1">
      <alignment vertical="center"/>
    </xf>
    <xf numFmtId="0" fontId="22" fillId="4" borderId="6" xfId="0" applyFont="1" applyFill="1" applyBorder="1" applyAlignment="1">
      <alignment vertical="center"/>
    </xf>
    <xf numFmtId="0" fontId="22" fillId="4" borderId="4" xfId="0" applyFont="1" applyFill="1" applyBorder="1" applyAlignment="1">
      <alignment horizontal="center" vertical="center"/>
    </xf>
    <xf numFmtId="0" fontId="22" fillId="4" borderId="10" xfId="0" applyFont="1" applyFill="1" applyBorder="1" applyAlignment="1">
      <alignment vertical="center"/>
    </xf>
    <xf numFmtId="0" fontId="22"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2" fillId="4" borderId="12" xfId="0" applyFont="1" applyFill="1" applyBorder="1" applyAlignment="1">
      <alignment vertical="center"/>
    </xf>
    <xf numFmtId="3" fontId="22" fillId="3" borderId="1" xfId="0" applyNumberFormat="1" applyFont="1" applyFill="1" applyBorder="1" applyAlignment="1" applyProtection="1">
      <alignment horizontal="center" vertical="center"/>
      <protection locked="0"/>
    </xf>
    <xf numFmtId="0" fontId="22" fillId="4" borderId="2" xfId="0" applyFont="1" applyFill="1" applyBorder="1" applyAlignment="1">
      <alignment vertical="center"/>
    </xf>
    <xf numFmtId="3" fontId="22" fillId="5" borderId="1"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3" borderId="1" xfId="0" applyFont="1" applyFill="1" applyBorder="1" applyAlignment="1" applyProtection="1">
      <alignment vertical="center"/>
      <protection locked="0"/>
    </xf>
    <xf numFmtId="0" fontId="22" fillId="3" borderId="10" xfId="0" applyFont="1" applyFill="1" applyBorder="1" applyAlignment="1" applyProtection="1">
      <alignment vertical="center"/>
      <protection locked="0"/>
    </xf>
    <xf numFmtId="3" fontId="22" fillId="3" borderId="10" xfId="0" applyNumberFormat="1" applyFont="1" applyFill="1" applyBorder="1" applyAlignment="1" applyProtection="1">
      <alignment horizontal="center" vertical="center"/>
      <protection locked="0"/>
    </xf>
    <xf numFmtId="0" fontId="22" fillId="3" borderId="0" xfId="0" applyFont="1" applyFill="1" applyAlignment="1" applyProtection="1">
      <alignment vertical="center"/>
      <protection locked="0"/>
    </xf>
    <xf numFmtId="3" fontId="22" fillId="3" borderId="5" xfId="0" applyNumberFormat="1" applyFont="1" applyFill="1" applyBorder="1" applyAlignment="1" applyProtection="1">
      <alignment horizontal="center" vertical="center"/>
      <protection locked="0"/>
    </xf>
    <xf numFmtId="3" fontId="22" fillId="3" borderId="4" xfId="0" applyNumberFormat="1" applyFont="1" applyFill="1" applyBorder="1" applyAlignment="1" applyProtection="1">
      <alignment horizontal="center" vertical="center"/>
      <protection locked="0"/>
    </xf>
    <xf numFmtId="0" fontId="22" fillId="3" borderId="4" xfId="0" applyFont="1" applyFill="1" applyBorder="1" applyAlignment="1" applyProtection="1">
      <alignment vertical="center"/>
      <protection locked="0"/>
    </xf>
    <xf numFmtId="0" fontId="22" fillId="3" borderId="7" xfId="0" applyFont="1" applyFill="1" applyBorder="1" applyAlignment="1" applyProtection="1">
      <alignment vertical="center"/>
      <protection locked="0"/>
    </xf>
    <xf numFmtId="3" fontId="22" fillId="3" borderId="11" xfId="0" applyNumberFormat="1" applyFont="1" applyFill="1" applyBorder="1" applyAlignment="1" applyProtection="1">
      <alignment horizontal="center" vertical="center"/>
      <protection locked="0"/>
    </xf>
    <xf numFmtId="0" fontId="22" fillId="3" borderId="11" xfId="0" applyFont="1" applyFill="1" applyBorder="1" applyAlignment="1" applyProtection="1">
      <alignment vertical="center"/>
      <protection locked="0"/>
    </xf>
    <xf numFmtId="3" fontId="22" fillId="5" borderId="7" xfId="0" applyNumberFormat="1" applyFont="1" applyFill="1" applyBorder="1" applyAlignment="1">
      <alignment horizontal="center" vertical="center"/>
    </xf>
    <xf numFmtId="3" fontId="22" fillId="6"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8" borderId="0" xfId="0" applyFont="1" applyFill="1" applyAlignment="1">
      <alignment vertical="center"/>
    </xf>
    <xf numFmtId="0" fontId="5" fillId="4" borderId="0" xfId="0" applyFont="1" applyFill="1" applyAlignment="1">
      <alignment horizontal="right" vertical="center"/>
    </xf>
    <xf numFmtId="3" fontId="5" fillId="0" borderId="0" xfId="0" applyNumberFormat="1" applyFont="1" applyAlignment="1">
      <alignmen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0" fontId="5" fillId="4" borderId="0" xfId="0" applyNumberFormat="1" applyFont="1" applyFill="1" applyAlignment="1" applyProtection="1">
      <alignment horizontal="center" vertical="center"/>
    </xf>
    <xf numFmtId="0" fontId="6" fillId="7" borderId="6"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7" borderId="7"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3" xfId="0" applyNumberFormat="1" applyFont="1" applyFill="1" applyBorder="1" applyAlignment="1" applyProtection="1">
      <alignment vertical="center"/>
    </xf>
    <xf numFmtId="37" fontId="5" fillId="5"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5" borderId="1" xfId="0" applyNumberFormat="1" applyFont="1" applyFill="1" applyBorder="1" applyAlignment="1" applyProtection="1">
      <alignment vertical="center"/>
    </xf>
    <xf numFmtId="165" fontId="5" fillId="4" borderId="2" xfId="0" applyNumberFormat="1" applyFont="1" applyFill="1" applyBorder="1" applyAlignment="1" applyProtection="1">
      <alignment vertical="center"/>
    </xf>
    <xf numFmtId="165" fontId="5" fillId="5" borderId="13" xfId="0" applyNumberFormat="1" applyFont="1" applyFill="1" applyBorder="1" applyAlignment="1" applyProtection="1">
      <alignment vertical="center"/>
    </xf>
    <xf numFmtId="3" fontId="5" fillId="4" borderId="0" xfId="0" applyNumberFormat="1" applyFont="1" applyFill="1" applyAlignment="1" applyProtection="1">
      <alignment vertical="center"/>
    </xf>
    <xf numFmtId="0" fontId="5" fillId="4" borderId="0" xfId="0" applyFont="1" applyFill="1" applyAlignment="1" applyProtection="1">
      <alignment vertical="center"/>
      <protection locked="0"/>
    </xf>
    <xf numFmtId="0" fontId="5" fillId="4" borderId="2"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9"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9" xfId="0" applyNumberFormat="1" applyFont="1" applyFill="1" applyBorder="1" applyAlignment="1" applyProtection="1">
      <alignment horizontal="centerContinuous" vertical="center"/>
    </xf>
    <xf numFmtId="0" fontId="5" fillId="4" borderId="3" xfId="0" applyFont="1" applyFill="1" applyBorder="1" applyAlignment="1" applyProtection="1">
      <alignment horizontal="centerContinuous" vertical="center"/>
    </xf>
    <xf numFmtId="1" fontId="5" fillId="4" borderId="6" xfId="0" applyNumberFormat="1" applyFont="1" applyFill="1" applyBorder="1" applyAlignment="1" applyProtection="1">
      <alignment horizontal="center" vertical="center"/>
    </xf>
    <xf numFmtId="0" fontId="5" fillId="4" borderId="6"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1" fontId="5" fillId="4" borderId="2"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7"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6" xfId="0" applyFont="1" applyFill="1" applyBorder="1" applyAlignment="1" applyProtection="1">
      <alignment horizontal="center" vertical="center"/>
    </xf>
    <xf numFmtId="37" fontId="5" fillId="4" borderId="7" xfId="0" applyNumberFormat="1" applyFont="1" applyFill="1" applyBorder="1" applyAlignment="1" applyProtection="1">
      <alignment vertical="center"/>
    </xf>
    <xf numFmtId="0" fontId="5" fillId="4" borderId="7" xfId="0" applyFont="1" applyFill="1" applyBorder="1" applyAlignment="1" applyProtection="1">
      <alignment horizontal="center" vertical="center"/>
    </xf>
    <xf numFmtId="37" fontId="5" fillId="4" borderId="2"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2"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7" xfId="0" applyFont="1" applyFill="1" applyBorder="1" applyAlignment="1" applyProtection="1">
      <alignment vertical="center"/>
      <protection locked="0"/>
    </xf>
    <xf numFmtId="171" fontId="5" fillId="3" borderId="7" xfId="1" applyNumberFormat="1" applyFont="1" applyFill="1" applyBorder="1" applyAlignment="1" applyProtection="1">
      <alignment vertical="center"/>
      <protection locked="0"/>
    </xf>
    <xf numFmtId="171" fontId="5" fillId="4" borderId="1" xfId="1" applyNumberFormat="1" applyFont="1" applyFill="1" applyBorder="1" applyAlignment="1" applyProtection="1">
      <alignment vertical="center"/>
    </xf>
    <xf numFmtId="171"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5" borderId="2" xfId="0" applyNumberFormat="1" applyFont="1" applyFill="1" applyBorder="1" applyAlignment="1" applyProtection="1">
      <alignment vertical="center"/>
    </xf>
    <xf numFmtId="3" fontId="5" fillId="5"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37" fontId="5" fillId="4" borderId="0" xfId="499" applyNumberFormat="1" applyFont="1" applyFill="1" applyAlignment="1" applyProtection="1">
      <alignment vertical="center"/>
    </xf>
    <xf numFmtId="0" fontId="5" fillId="4" borderId="0" xfId="499" applyFont="1" applyFill="1" applyAlignment="1" applyProtection="1">
      <alignment vertical="center"/>
    </xf>
    <xf numFmtId="0" fontId="5" fillId="0" borderId="0" xfId="499" applyFont="1" applyAlignment="1" applyProtection="1">
      <alignment vertical="center"/>
      <protection locked="0"/>
    </xf>
    <xf numFmtId="0" fontId="5" fillId="4" borderId="16" xfId="0" applyFont="1" applyFill="1" applyBorder="1" applyAlignment="1" applyProtection="1">
      <alignment horizontal="centerContinuous" vertical="center"/>
    </xf>
    <xf numFmtId="0" fontId="5" fillId="4" borderId="10" xfId="0" applyFont="1" applyFill="1" applyBorder="1" applyAlignment="1" applyProtection="1">
      <alignment horizontal="centerContinuous" vertical="center"/>
    </xf>
    <xf numFmtId="0" fontId="5" fillId="4" borderId="8" xfId="0" applyFont="1" applyFill="1" applyBorder="1" applyAlignment="1" applyProtection="1">
      <alignment horizontal="center" vertical="center"/>
    </xf>
    <xf numFmtId="0" fontId="5" fillId="4" borderId="12"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7"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7" fontId="5" fillId="4" borderId="1" xfId="0" applyNumberFormat="1"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7"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167"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8" fontId="5" fillId="5" borderId="1" xfId="0" applyNumberFormat="1" applyFont="1" applyFill="1" applyBorder="1" applyAlignment="1" applyProtection="1">
      <alignment vertical="center"/>
    </xf>
    <xf numFmtId="168" fontId="5" fillId="4" borderId="1" xfId="0" applyNumberFormat="1" applyFont="1" applyFill="1" applyBorder="1" applyAlignment="1" applyProtection="1">
      <alignment vertical="center"/>
    </xf>
    <xf numFmtId="0" fontId="4" fillId="4" borderId="1" xfId="499" applyFont="1" applyFill="1" applyBorder="1" applyAlignment="1" applyProtection="1">
      <alignment horizontal="left" vertical="center"/>
    </xf>
    <xf numFmtId="0" fontId="4" fillId="4" borderId="17" xfId="499" applyFont="1" applyFill="1" applyBorder="1" applyAlignment="1" applyProtection="1">
      <alignment vertical="center"/>
    </xf>
    <xf numFmtId="37" fontId="4" fillId="5" borderId="1" xfId="499" applyNumberFormat="1" applyFont="1" applyFill="1" applyBorder="1" applyAlignment="1" applyProtection="1">
      <alignment vertical="center"/>
    </xf>
    <xf numFmtId="0" fontId="5" fillId="4" borderId="0" xfId="500" applyFont="1" applyFill="1" applyAlignment="1" applyProtection="1">
      <alignment horizontal="centerContinuous" vertical="center"/>
    </xf>
    <xf numFmtId="0" fontId="5" fillId="4" borderId="0" xfId="500" applyFont="1" applyFill="1" applyAlignment="1" applyProtection="1">
      <alignment vertical="center"/>
    </xf>
    <xf numFmtId="0" fontId="5" fillId="0" borderId="0" xfId="500" applyFont="1" applyAlignment="1">
      <alignment vertical="center"/>
    </xf>
    <xf numFmtId="0" fontId="5" fillId="4" borderId="2"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8" xfId="500" applyFont="1" applyFill="1" applyBorder="1" applyAlignment="1" applyProtection="1">
      <alignment vertical="center"/>
    </xf>
    <xf numFmtId="0" fontId="5" fillId="4" borderId="0" xfId="500" applyFont="1" applyFill="1" applyBorder="1" applyAlignment="1" applyProtection="1">
      <alignment vertical="center"/>
    </xf>
    <xf numFmtId="0" fontId="8" fillId="4" borderId="7"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17" xfId="499" applyNumberFormat="1" applyFont="1" applyFill="1" applyBorder="1" applyAlignment="1" applyProtection="1">
      <alignment vertical="center"/>
    </xf>
    <xf numFmtId="0" fontId="0" fillId="4" borderId="0" xfId="0" applyFill="1" applyAlignment="1" applyProtection="1">
      <alignment vertical="center"/>
    </xf>
    <xf numFmtId="0" fontId="5" fillId="8" borderId="0" xfId="499"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2" xfId="0" quotePrefix="1" applyNumberFormat="1" applyFont="1" applyFill="1" applyBorder="1" applyAlignment="1" applyProtection="1">
      <alignment horizontal="right" vertical="center"/>
    </xf>
    <xf numFmtId="3" fontId="5" fillId="2" borderId="9"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9" xfId="0" applyFont="1" applyFill="1" applyBorder="1" applyAlignment="1" applyProtection="1">
      <alignment vertical="center"/>
    </xf>
    <xf numFmtId="0" fontId="5" fillId="2" borderId="9" xfId="0" applyFont="1" applyFill="1" applyBorder="1" applyAlignment="1" applyProtection="1">
      <alignment vertical="center"/>
      <protection locked="0"/>
    </xf>
    <xf numFmtId="37" fontId="5" fillId="2" borderId="9" xfId="0" applyNumberFormat="1" applyFont="1" applyFill="1" applyBorder="1" applyAlignment="1" applyProtection="1">
      <alignment horizontal="left" vertical="center"/>
      <protection locked="0"/>
    </xf>
    <xf numFmtId="37" fontId="5" fillId="4" borderId="9" xfId="0" applyNumberFormat="1" applyFont="1" applyFill="1" applyBorder="1" applyAlignment="1" applyProtection="1">
      <alignment horizontal="left" vertical="center"/>
      <protection locked="0"/>
    </xf>
    <xf numFmtId="3" fontId="13" fillId="6" borderId="4" xfId="0" applyNumberFormat="1" applyFont="1" applyFill="1" applyBorder="1" applyAlignment="1" applyProtection="1">
      <alignment horizontal="center" vertical="center"/>
    </xf>
    <xf numFmtId="0" fontId="4" fillId="4" borderId="9" xfId="0" applyFont="1" applyFill="1" applyBorder="1" applyAlignment="1" applyProtection="1">
      <alignment vertical="center"/>
    </xf>
    <xf numFmtId="3" fontId="4" fillId="5" borderId="1" xfId="0" applyNumberFormat="1" applyFont="1" applyFill="1" applyBorder="1" applyAlignment="1" applyProtection="1">
      <alignment vertical="center"/>
    </xf>
    <xf numFmtId="3" fontId="13" fillId="6" borderId="1" xfId="0" applyNumberFormat="1" applyFont="1" applyFill="1" applyBorder="1" applyAlignment="1" applyProtection="1">
      <alignment horizontal="center" vertical="center"/>
    </xf>
    <xf numFmtId="0" fontId="13" fillId="0" borderId="0" xfId="0" applyFont="1" applyAlignment="1" applyProtection="1">
      <alignment vertical="center"/>
    </xf>
    <xf numFmtId="0" fontId="14"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13"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9" xfId="0" applyFont="1" applyFill="1" applyBorder="1" applyAlignment="1" applyProtection="1">
      <alignment horizontal="left" vertical="center"/>
    </xf>
    <xf numFmtId="0" fontId="5" fillId="4" borderId="12" xfId="0" applyFont="1" applyFill="1" applyBorder="1" applyAlignment="1" applyProtection="1">
      <alignment horizontal="left" vertical="center"/>
    </xf>
    <xf numFmtId="0" fontId="5" fillId="2" borderId="9"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6"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2" fontId="5" fillId="4"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protection locked="0"/>
    </xf>
    <xf numFmtId="3" fontId="5" fillId="4" borderId="13" xfId="0" applyNumberFormat="1" applyFont="1" applyFill="1" applyBorder="1" applyAlignment="1" applyProtection="1">
      <alignment horizontal="center" vertical="center"/>
    </xf>
    <xf numFmtId="172" fontId="5" fillId="4" borderId="13" xfId="0" applyNumberFormat="1" applyFont="1" applyFill="1" applyBorder="1" applyAlignment="1" applyProtection="1">
      <alignment horizontal="center" vertical="center"/>
    </xf>
    <xf numFmtId="3" fontId="5" fillId="4" borderId="2" xfId="0" applyNumberFormat="1" applyFont="1" applyFill="1" applyBorder="1" applyAlignment="1" applyProtection="1">
      <alignment horizontal="center" vertical="center"/>
    </xf>
    <xf numFmtId="172" fontId="5" fillId="4" borderId="2" xfId="0" applyNumberFormat="1" applyFont="1" applyFill="1" applyBorder="1" applyAlignment="1" applyProtection="1">
      <alignment horizontal="center" vertical="center"/>
    </xf>
    <xf numFmtId="172" fontId="5" fillId="4" borderId="0" xfId="0" applyNumberFormat="1" applyFont="1" applyFill="1" applyBorder="1" applyAlignment="1" applyProtection="1">
      <alignment horizontal="center" vertical="center"/>
    </xf>
    <xf numFmtId="3" fontId="5" fillId="4" borderId="2" xfId="0" applyNumberFormat="1" applyFont="1" applyFill="1" applyBorder="1" applyAlignment="1">
      <alignment horizontal="center" vertical="center"/>
    </xf>
    <xf numFmtId="0" fontId="0" fillId="4" borderId="0" xfId="0" applyFill="1" applyAlignment="1">
      <alignment horizontal="center" vertical="center"/>
    </xf>
    <xf numFmtId="172" fontId="5" fillId="4" borderId="2" xfId="0" applyNumberFormat="1" applyFont="1" applyFill="1" applyBorder="1" applyAlignment="1">
      <alignment horizontal="center" vertical="center"/>
    </xf>
    <xf numFmtId="170"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26" fillId="6" borderId="0" xfId="0" applyNumberFormat="1" applyFont="1" applyFill="1" applyAlignment="1">
      <alignment horizontal="center" vertical="center"/>
    </xf>
    <xf numFmtId="0" fontId="25" fillId="0" borderId="0" xfId="0" applyFont="1" applyAlignment="1">
      <alignment horizontal="center" vertical="center"/>
    </xf>
    <xf numFmtId="0" fontId="47" fillId="0" borderId="0" xfId="0" applyFont="1" applyAlignment="1">
      <alignment vertical="center"/>
    </xf>
    <xf numFmtId="0" fontId="5" fillId="0" borderId="0" xfId="348" applyFont="1" applyAlignment="1">
      <alignment vertical="center" wrapText="1"/>
    </xf>
    <xf numFmtId="0" fontId="8" fillId="0" borderId="0" xfId="0" applyFont="1" applyAlignment="1">
      <alignment vertical="center"/>
    </xf>
    <xf numFmtId="0" fontId="12" fillId="0" borderId="0" xfId="0" applyFont="1" applyAlignment="1">
      <alignment vertical="center" wrapText="1"/>
    </xf>
    <xf numFmtId="0" fontId="48" fillId="0" borderId="0" xfId="0" applyFont="1" applyAlignment="1">
      <alignment vertical="center"/>
    </xf>
    <xf numFmtId="0" fontId="27" fillId="0" borderId="0" xfId="0" applyFont="1" applyAlignment="1">
      <alignment horizontal="center" vertical="center"/>
    </xf>
    <xf numFmtId="0" fontId="5" fillId="0" borderId="0" xfId="45"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173" fontId="22" fillId="0" borderId="0" xfId="0" applyNumberFormat="1" applyFont="1" applyAlignment="1">
      <alignment horizontal="left" vertical="center"/>
    </xf>
    <xf numFmtId="49" fontId="5" fillId="0" borderId="0" xfId="0" applyNumberFormat="1" applyFont="1" applyAlignment="1">
      <alignment horizontal="left" vertical="center"/>
    </xf>
    <xf numFmtId="0" fontId="22" fillId="0" borderId="0" xfId="0" applyFont="1" applyAlignment="1">
      <alignment horizontal="left" vertical="center"/>
    </xf>
    <xf numFmtId="174" fontId="22" fillId="0" borderId="0" xfId="0" applyNumberFormat="1" applyFont="1" applyAlignment="1">
      <alignment horizontal="left" vertical="center"/>
    </xf>
    <xf numFmtId="0" fontId="0" fillId="0" borderId="0" xfId="0" applyAlignment="1"/>
    <xf numFmtId="0" fontId="30" fillId="0" borderId="0" xfId="0" applyFont="1" applyAlignment="1">
      <alignment horizontal="center"/>
    </xf>
    <xf numFmtId="0" fontId="3" fillId="0" borderId="0" xfId="0" applyFont="1"/>
    <xf numFmtId="0" fontId="16" fillId="0" borderId="0" xfId="0" applyFont="1"/>
    <xf numFmtId="0" fontId="16" fillId="0" borderId="0" xfId="0" applyFont="1" applyAlignment="1"/>
    <xf numFmtId="0" fontId="3" fillId="0" borderId="0" xfId="0" quotePrefix="1" applyFont="1"/>
    <xf numFmtId="0" fontId="3" fillId="0" borderId="0" xfId="165" applyFont="1"/>
    <xf numFmtId="0" fontId="3" fillId="0" borderId="0" xfId="165" applyFont="1" applyFill="1"/>
    <xf numFmtId="0" fontId="3" fillId="0" borderId="0" xfId="0" applyFont="1" applyAlignment="1"/>
    <xf numFmtId="0" fontId="16" fillId="0" borderId="0" xfId="0" applyFont="1" applyAlignment="1">
      <alignment horizontal="center"/>
    </xf>
    <xf numFmtId="0" fontId="6" fillId="0" borderId="0" xfId="0" applyFont="1" applyAlignment="1">
      <alignment vertical="center"/>
    </xf>
    <xf numFmtId="0" fontId="6" fillId="0" borderId="0" xfId="82" applyFont="1" applyAlignment="1">
      <alignment vertical="center"/>
    </xf>
    <xf numFmtId="0" fontId="49"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6"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 fontId="5" fillId="4" borderId="9" xfId="0" applyNumberFormat="1" applyFont="1" applyFill="1" applyBorder="1" applyAlignment="1" applyProtection="1">
      <alignment vertical="center"/>
    </xf>
    <xf numFmtId="37" fontId="5" fillId="4" borderId="16" xfId="0" applyNumberFormat="1" applyFont="1" applyFill="1" applyBorder="1" applyAlignment="1" applyProtection="1">
      <alignment horizontal="center" vertical="center"/>
    </xf>
    <xf numFmtId="3" fontId="13" fillId="6" borderId="9" xfId="0" applyNumberFormat="1" applyFont="1" applyFill="1" applyBorder="1" applyAlignment="1" applyProtection="1">
      <alignment horizontal="center" vertical="center"/>
    </xf>
    <xf numFmtId="3" fontId="4" fillId="5" borderId="9" xfId="0" applyNumberFormat="1" applyFont="1" applyFill="1" applyBorder="1" applyAlignment="1" applyProtection="1">
      <alignment vertical="center"/>
    </xf>
    <xf numFmtId="3" fontId="5" fillId="5" borderId="9" xfId="0" applyNumberFormat="1" applyFont="1" applyFill="1" applyBorder="1" applyAlignment="1" applyProtection="1">
      <alignment vertical="center"/>
    </xf>
    <xf numFmtId="0" fontId="33" fillId="7" borderId="0" xfId="0" applyFont="1" applyFill="1"/>
    <xf numFmtId="0" fontId="33" fillId="4" borderId="0" xfId="0" applyFont="1" applyFill="1"/>
    <xf numFmtId="0" fontId="50" fillId="7" borderId="0" xfId="0" applyFont="1" applyFill="1" applyAlignment="1">
      <alignment horizontal="center" wrapText="1"/>
    </xf>
    <xf numFmtId="0" fontId="50" fillId="4" borderId="0" xfId="0" applyFont="1" applyFill="1" applyAlignment="1">
      <alignment horizontal="center"/>
    </xf>
    <xf numFmtId="0" fontId="50" fillId="4" borderId="0" xfId="0" applyFont="1" applyFill="1"/>
    <xf numFmtId="0" fontId="33" fillId="4" borderId="0" xfId="0" applyFont="1" applyFill="1" applyAlignment="1">
      <alignment horizontal="center"/>
    </xf>
    <xf numFmtId="0" fontId="50" fillId="4" borderId="19" xfId="0" applyFont="1" applyFill="1" applyBorder="1"/>
    <xf numFmtId="0" fontId="33" fillId="4" borderId="20" xfId="0" applyFont="1" applyFill="1" applyBorder="1"/>
    <xf numFmtId="0" fontId="33" fillId="4" borderId="21" xfId="0" applyFont="1" applyFill="1" applyBorder="1"/>
    <xf numFmtId="175" fontId="33" fillId="4" borderId="22" xfId="0" applyNumberFormat="1" applyFont="1" applyFill="1" applyBorder="1"/>
    <xf numFmtId="0" fontId="33" fillId="4" borderId="0" xfId="0" applyFont="1" applyFill="1" applyBorder="1"/>
    <xf numFmtId="0" fontId="33" fillId="4" borderId="0" xfId="0" applyFont="1" applyFill="1" applyBorder="1" applyAlignment="1">
      <alignment horizontal="center"/>
    </xf>
    <xf numFmtId="0" fontId="33" fillId="4" borderId="23" xfId="0" applyFont="1" applyFill="1" applyBorder="1"/>
    <xf numFmtId="0" fontId="33" fillId="4" borderId="24" xfId="0" applyFont="1" applyFill="1" applyBorder="1"/>
    <xf numFmtId="0" fontId="33" fillId="4" borderId="25" xfId="0" applyFont="1" applyFill="1" applyBorder="1"/>
    <xf numFmtId="0" fontId="33" fillId="4" borderId="26" xfId="0" applyFont="1" applyFill="1" applyBorder="1"/>
    <xf numFmtId="0" fontId="33" fillId="4" borderId="19" xfId="0" applyFont="1" applyFill="1" applyBorder="1"/>
    <xf numFmtId="0" fontId="33" fillId="4" borderId="27" xfId="0" applyFont="1" applyFill="1" applyBorder="1"/>
    <xf numFmtId="175" fontId="33" fillId="3" borderId="22" xfId="0" applyNumberFormat="1" applyFont="1" applyFill="1" applyBorder="1" applyAlignment="1" applyProtection="1">
      <alignment horizontal="center"/>
      <protection locked="0"/>
    </xf>
    <xf numFmtId="172" fontId="33" fillId="4" borderId="0" xfId="0" applyNumberFormat="1" applyFont="1" applyFill="1" applyBorder="1" applyAlignment="1">
      <alignment horizontal="center"/>
    </xf>
    <xf numFmtId="175" fontId="33" fillId="0" borderId="0" xfId="0" applyNumberFormat="1" applyFont="1"/>
    <xf numFmtId="0" fontId="51" fillId="0" borderId="0" xfId="0" applyFont="1" applyBorder="1"/>
    <xf numFmtId="0" fontId="33" fillId="0" borderId="0" xfId="0" applyFont="1" applyBorder="1"/>
    <xf numFmtId="0" fontId="50" fillId="0" borderId="0" xfId="0" applyFont="1" applyBorder="1" applyAlignment="1">
      <alignment horizontal="centerContinuous"/>
    </xf>
    <xf numFmtId="0" fontId="33" fillId="0" borderId="0" xfId="0" applyFont="1" applyBorder="1" applyAlignment="1">
      <alignment horizontal="centerContinuous"/>
    </xf>
    <xf numFmtId="0" fontId="33" fillId="7" borderId="0" xfId="0" applyFont="1" applyFill="1" applyBorder="1"/>
    <xf numFmtId="175" fontId="33" fillId="4" borderId="0" xfId="0" applyNumberFormat="1" applyFont="1" applyFill="1" applyBorder="1" applyAlignment="1">
      <alignment horizontal="center"/>
    </xf>
    <xf numFmtId="0" fontId="33" fillId="4" borderId="28" xfId="0" applyFont="1" applyFill="1" applyBorder="1"/>
    <xf numFmtId="0" fontId="33" fillId="4" borderId="17" xfId="0" applyFont="1" applyFill="1" applyBorder="1"/>
    <xf numFmtId="0" fontId="33" fillId="4" borderId="17" xfId="0" applyFont="1" applyFill="1" applyBorder="1" applyAlignment="1">
      <alignment horizontal="center"/>
    </xf>
    <xf numFmtId="0" fontId="33" fillId="4" borderId="29" xfId="0" applyFont="1" applyFill="1" applyBorder="1"/>
    <xf numFmtId="176" fontId="33" fillId="4" borderId="0" xfId="0" applyNumberFormat="1" applyFont="1" applyFill="1" applyBorder="1" applyAlignment="1">
      <alignment horizontal="center"/>
    </xf>
    <xf numFmtId="5" fontId="33" fillId="4" borderId="25" xfId="0" applyNumberFormat="1" applyFont="1" applyFill="1" applyBorder="1" applyAlignment="1">
      <alignment horizontal="center"/>
    </xf>
    <xf numFmtId="0" fontId="33" fillId="4" borderId="25" xfId="0" applyFont="1" applyFill="1" applyBorder="1" applyAlignment="1">
      <alignment horizontal="center"/>
    </xf>
    <xf numFmtId="172" fontId="33" fillId="4" borderId="25" xfId="0" applyNumberFormat="1" applyFont="1" applyFill="1" applyBorder="1" applyAlignment="1">
      <alignment horizontal="center"/>
    </xf>
    <xf numFmtId="176" fontId="33" fillId="4" borderId="25" xfId="0" applyNumberFormat="1" applyFont="1" applyFill="1" applyBorder="1" applyAlignment="1">
      <alignment horizontal="center"/>
    </xf>
    <xf numFmtId="0" fontId="33" fillId="4" borderId="0" xfId="0" applyFont="1" applyFill="1" applyAlignment="1">
      <alignment horizontal="center" wrapText="1"/>
    </xf>
    <xf numFmtId="0" fontId="50" fillId="4" borderId="0" xfId="0" applyFont="1" applyFill="1" applyAlignment="1">
      <alignment horizontal="center" wrapText="1"/>
    </xf>
    <xf numFmtId="0" fontId="50" fillId="4" borderId="19" xfId="0" applyFont="1" applyFill="1" applyBorder="1" applyAlignment="1"/>
    <xf numFmtId="0" fontId="33" fillId="4" borderId="20" xfId="0" applyFont="1" applyFill="1" applyBorder="1" applyAlignment="1"/>
    <xf numFmtId="0" fontId="33" fillId="4" borderId="21" xfId="0" applyFont="1" applyFill="1" applyBorder="1" applyAlignment="1"/>
    <xf numFmtId="0" fontId="33" fillId="4" borderId="27" xfId="0" applyFont="1" applyFill="1" applyBorder="1" applyAlignment="1"/>
    <xf numFmtId="0" fontId="33" fillId="4" borderId="0" xfId="0" applyFont="1" applyFill="1" applyBorder="1" applyAlignment="1"/>
    <xf numFmtId="0" fontId="33" fillId="4" borderId="23" xfId="0" applyFont="1" applyFill="1" applyBorder="1" applyAlignment="1"/>
    <xf numFmtId="0" fontId="33" fillId="4" borderId="28" xfId="0" applyFont="1" applyFill="1" applyBorder="1" applyAlignment="1"/>
    <xf numFmtId="0" fontId="33" fillId="4" borderId="17" xfId="0" applyFont="1" applyFill="1" applyBorder="1" applyAlignment="1"/>
    <xf numFmtId="0" fontId="33" fillId="4" borderId="29" xfId="0" applyFont="1" applyFill="1" applyBorder="1" applyAlignment="1"/>
    <xf numFmtId="170" fontId="33" fillId="4" borderId="0" xfId="0" applyNumberFormat="1" applyFont="1" applyFill="1" applyBorder="1" applyAlignment="1">
      <alignment horizontal="center"/>
    </xf>
    <xf numFmtId="0" fontId="33" fillId="4" borderId="24" xfId="0" applyFont="1" applyFill="1" applyBorder="1" applyAlignment="1"/>
    <xf numFmtId="0" fontId="33" fillId="4" borderId="26" xfId="0" applyFont="1" applyFill="1" applyBorder="1" applyAlignment="1"/>
    <xf numFmtId="5" fontId="33" fillId="4" borderId="0" xfId="0" applyNumberFormat="1" applyFont="1" applyFill="1" applyBorder="1" applyAlignment="1">
      <alignment horizontal="center"/>
    </xf>
    <xf numFmtId="0" fontId="33" fillId="7" borderId="0" xfId="0" applyFont="1" applyFill="1" applyAlignment="1"/>
    <xf numFmtId="172" fontId="33" fillId="3" borderId="2" xfId="0" applyNumberFormat="1" applyFont="1" applyFill="1" applyBorder="1" applyAlignment="1" applyProtection="1">
      <alignment horizontal="center"/>
      <protection locked="0"/>
    </xf>
    <xf numFmtId="176" fontId="33" fillId="4" borderId="0" xfId="0" applyNumberFormat="1" applyFont="1" applyFill="1" applyBorder="1"/>
    <xf numFmtId="175" fontId="33" fillId="4" borderId="25" xfId="0" applyNumberFormat="1" applyFont="1" applyFill="1" applyBorder="1" applyAlignment="1">
      <alignment horizontal="center"/>
    </xf>
    <xf numFmtId="172" fontId="33" fillId="4" borderId="25" xfId="0" applyNumberFormat="1" applyFont="1" applyFill="1" applyBorder="1" applyAlignment="1" applyProtection="1">
      <alignment horizontal="center"/>
      <protection locked="0"/>
    </xf>
    <xf numFmtId="176" fontId="33" fillId="4" borderId="25" xfId="0" applyNumberFormat="1" applyFont="1" applyFill="1" applyBorder="1"/>
    <xf numFmtId="0" fontId="50" fillId="4" borderId="27" xfId="0" applyFont="1" applyFill="1" applyBorder="1" applyAlignment="1">
      <alignment horizontal="centerContinuous" vertical="center"/>
    </xf>
    <xf numFmtId="175" fontId="50" fillId="4" borderId="0" xfId="0" applyNumberFormat="1" applyFont="1" applyFill="1" applyBorder="1" applyAlignment="1">
      <alignment horizontal="centerContinuous" vertical="center"/>
    </xf>
    <xf numFmtId="0" fontId="50" fillId="4" borderId="0" xfId="0" applyFont="1" applyFill="1" applyBorder="1" applyAlignment="1">
      <alignment horizontal="centerContinuous" vertical="center"/>
    </xf>
    <xf numFmtId="172" fontId="50" fillId="4" borderId="0" xfId="0" applyNumberFormat="1" applyFont="1" applyFill="1" applyBorder="1" applyAlignment="1" applyProtection="1">
      <alignment horizontal="centerContinuous" vertical="center"/>
      <protection locked="0"/>
    </xf>
    <xf numFmtId="176" fontId="50" fillId="4" borderId="0" xfId="0" applyNumberFormat="1" applyFont="1" applyFill="1" applyBorder="1" applyAlignment="1">
      <alignment horizontal="centerContinuous" vertical="center"/>
    </xf>
    <xf numFmtId="0" fontId="50" fillId="4" borderId="23" xfId="0" applyFont="1" applyFill="1" applyBorder="1" applyAlignment="1">
      <alignment horizontal="centerContinuous" vertical="center"/>
    </xf>
    <xf numFmtId="0" fontId="50" fillId="4" borderId="27" xfId="0" applyFont="1" applyFill="1" applyBorder="1" applyAlignment="1">
      <alignment horizontal="centerContinuous"/>
    </xf>
    <xf numFmtId="175" fontId="50" fillId="4" borderId="0" xfId="0" applyNumberFormat="1" applyFont="1" applyFill="1" applyBorder="1" applyAlignment="1">
      <alignment horizontal="centerContinuous"/>
    </xf>
    <xf numFmtId="0" fontId="50" fillId="4" borderId="0" xfId="0" applyFont="1" applyFill="1" applyBorder="1" applyAlignment="1">
      <alignment horizontal="centerContinuous"/>
    </xf>
    <xf numFmtId="172" fontId="50" fillId="4" borderId="0" xfId="0" applyNumberFormat="1" applyFont="1" applyFill="1" applyBorder="1" applyAlignment="1" applyProtection="1">
      <alignment horizontal="centerContinuous"/>
      <protection locked="0"/>
    </xf>
    <xf numFmtId="176" fontId="50" fillId="4" borderId="0" xfId="0" applyNumberFormat="1" applyFont="1" applyFill="1" applyBorder="1" applyAlignment="1">
      <alignment horizontal="centerContinuous"/>
    </xf>
    <xf numFmtId="0" fontId="50" fillId="4" borderId="23" xfId="0" applyFont="1" applyFill="1" applyBorder="1" applyAlignment="1">
      <alignment horizontal="centerContinuous"/>
    </xf>
    <xf numFmtId="172" fontId="33" fillId="4" borderId="0" xfId="0" applyNumberFormat="1" applyFont="1" applyFill="1" applyBorder="1" applyAlignment="1" applyProtection="1">
      <alignment horizontal="center"/>
      <protection locked="0"/>
    </xf>
    <xf numFmtId="175" fontId="33" fillId="4" borderId="20" xfId="0" applyNumberFormat="1" applyFont="1" applyFill="1" applyBorder="1" applyAlignment="1">
      <alignment horizontal="center"/>
    </xf>
    <xf numFmtId="0" fontId="33" fillId="4" borderId="20" xfId="0" applyFont="1" applyFill="1" applyBorder="1" applyAlignment="1">
      <alignment horizontal="center"/>
    </xf>
    <xf numFmtId="172" fontId="33" fillId="4" borderId="20" xfId="0" applyNumberFormat="1" applyFont="1" applyFill="1" applyBorder="1" applyAlignment="1" applyProtection="1">
      <alignment horizontal="center"/>
      <protection locked="0"/>
    </xf>
    <xf numFmtId="176" fontId="33" fillId="4" borderId="20" xfId="0" applyNumberFormat="1" applyFont="1" applyFill="1" applyBorder="1"/>
    <xf numFmtId="0" fontId="33" fillId="9" borderId="0" xfId="0" applyFont="1" applyFill="1"/>
    <xf numFmtId="37" fontId="5" fillId="5" borderId="7" xfId="0" applyNumberFormat="1" applyFont="1" applyFill="1" applyBorder="1" applyAlignment="1" applyProtection="1">
      <alignment vertical="center"/>
    </xf>
    <xf numFmtId="165" fontId="5" fillId="5" borderId="7" xfId="0" applyNumberFormat="1" applyFont="1" applyFill="1" applyBorder="1" applyAlignment="1" applyProtection="1">
      <alignment vertical="center"/>
    </xf>
    <xf numFmtId="37" fontId="5" fillId="4" borderId="30" xfId="0" applyNumberFormat="1" applyFont="1" applyFill="1" applyBorder="1" applyAlignment="1" applyProtection="1">
      <alignment vertical="center"/>
    </xf>
    <xf numFmtId="0" fontId="5" fillId="4" borderId="30" xfId="0" applyFont="1" applyFill="1" applyBorder="1" applyAlignment="1" applyProtection="1">
      <alignment vertical="center"/>
    </xf>
    <xf numFmtId="37" fontId="5" fillId="5" borderId="13" xfId="0" applyNumberFormat="1" applyFont="1" applyFill="1" applyBorder="1" applyAlignment="1" applyProtection="1">
      <alignment vertical="center"/>
    </xf>
    <xf numFmtId="37" fontId="5" fillId="4" borderId="7" xfId="0" applyNumberFormat="1" applyFont="1" applyFill="1" applyBorder="1" applyAlignment="1" applyProtection="1">
      <alignment horizontal="fill" vertical="center"/>
    </xf>
    <xf numFmtId="37" fontId="5" fillId="4" borderId="2"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2" xfId="0" applyNumberFormat="1" applyFont="1" applyFill="1" applyBorder="1" applyAlignment="1" applyProtection="1">
      <alignment vertical="center"/>
    </xf>
    <xf numFmtId="0" fontId="33" fillId="0" borderId="0" xfId="0" applyFont="1"/>
    <xf numFmtId="0" fontId="35" fillId="0" borderId="0" xfId="24" applyFont="1" applyAlignment="1">
      <alignment horizontal="center"/>
    </xf>
    <xf numFmtId="0" fontId="5" fillId="0" borderId="0" xfId="24" applyFont="1"/>
    <xf numFmtId="0" fontId="5" fillId="0" borderId="0" xfId="24" applyFont="1" applyAlignment="1">
      <alignment wrapText="1"/>
    </xf>
    <xf numFmtId="0" fontId="36" fillId="0" borderId="0" xfId="15" applyFont="1" applyAlignment="1" applyProtection="1"/>
    <xf numFmtId="3" fontId="4" fillId="4" borderId="1" xfId="0" applyNumberFormat="1" applyFont="1" applyFill="1" applyBorder="1" applyAlignment="1" applyProtection="1">
      <alignment horizontal="center" vertical="center"/>
    </xf>
    <xf numFmtId="3" fontId="5" fillId="5" borderId="1" xfId="0" applyNumberFormat="1" applyFont="1" applyFill="1" applyBorder="1" applyAlignment="1" applyProtection="1">
      <alignment horizontal="center" vertical="center"/>
      <protection locked="0"/>
    </xf>
    <xf numFmtId="3" fontId="5" fillId="5" borderId="1" xfId="0" applyNumberFormat="1" applyFont="1" applyFill="1" applyBorder="1" applyAlignment="1" applyProtection="1">
      <alignment horizontal="center" vertical="center"/>
    </xf>
    <xf numFmtId="37" fontId="5" fillId="4" borderId="7" xfId="24" applyNumberFormat="1" applyFont="1" applyFill="1" applyBorder="1" applyAlignment="1" applyProtection="1">
      <alignment horizontal="center" vertical="center"/>
    </xf>
    <xf numFmtId="37" fontId="5" fillId="4" borderId="8" xfId="24" applyNumberFormat="1" applyFont="1" applyFill="1" applyBorder="1" applyAlignment="1" applyProtection="1">
      <alignment horizontal="center" vertical="center"/>
    </xf>
    <xf numFmtId="37" fontId="5" fillId="4" borderId="8" xfId="31" applyNumberFormat="1" applyFont="1" applyFill="1" applyBorder="1" applyAlignment="1" applyProtection="1">
      <alignment horizontal="center" vertical="center"/>
    </xf>
    <xf numFmtId="37" fontId="5" fillId="4" borderId="7" xfId="31"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2" fillId="4" borderId="0" xfId="0" applyFont="1" applyFill="1" applyAlignment="1" applyProtection="1">
      <alignment horizontal="center" vertical="center"/>
    </xf>
    <xf numFmtId="0" fontId="5" fillId="4" borderId="0" xfId="50" applyFont="1" applyFill="1" applyAlignment="1" applyProtection="1">
      <alignment horizontal="right" vertical="center"/>
    </xf>
    <xf numFmtId="37" fontId="5" fillId="4" borderId="0" xfId="24" applyNumberFormat="1" applyFont="1" applyFill="1" applyAlignment="1" applyProtection="1">
      <alignment horizontal="right" vertical="center"/>
    </xf>
    <xf numFmtId="0" fontId="46" fillId="4" borderId="0" xfId="24" applyFont="1" applyFill="1" applyAlignment="1" applyProtection="1">
      <alignment horizontal="center" vertical="center"/>
    </xf>
    <xf numFmtId="0" fontId="5" fillId="4" borderId="18" xfId="0" applyFont="1" applyFill="1" applyBorder="1" applyAlignment="1" applyProtection="1">
      <alignment vertical="center"/>
    </xf>
    <xf numFmtId="0" fontId="9" fillId="4" borderId="18" xfId="0" applyFont="1" applyFill="1" applyBorder="1" applyAlignment="1" applyProtection="1">
      <alignment vertical="center"/>
    </xf>
    <xf numFmtId="175" fontId="9" fillId="4" borderId="11" xfId="0" applyNumberFormat="1" applyFont="1" applyFill="1" applyBorder="1" applyAlignment="1" applyProtection="1">
      <alignment horizontal="center" vertical="center"/>
    </xf>
    <xf numFmtId="0" fontId="9" fillId="4" borderId="18" xfId="0" applyFont="1" applyFill="1" applyBorder="1" applyAlignment="1" applyProtection="1">
      <alignment horizontal="left" vertical="center"/>
    </xf>
    <xf numFmtId="175" fontId="9" fillId="3" borderId="1" xfId="0" applyNumberFormat="1" applyFont="1" applyFill="1" applyBorder="1" applyAlignment="1" applyProtection="1">
      <alignment horizontal="center" vertical="center"/>
      <protection locked="0"/>
    </xf>
    <xf numFmtId="0" fontId="5" fillId="6" borderId="2" xfId="0" applyFont="1" applyFill="1" applyBorder="1" applyAlignment="1" applyProtection="1">
      <alignment vertical="center"/>
    </xf>
    <xf numFmtId="0" fontId="5" fillId="0" borderId="0" xfId="0" applyFont="1" applyProtection="1"/>
    <xf numFmtId="175" fontId="5" fillId="6" borderId="5" xfId="0" applyNumberFormat="1" applyFont="1" applyFill="1" applyBorder="1" applyAlignment="1" applyProtection="1">
      <alignment horizontal="center" vertical="center"/>
    </xf>
    <xf numFmtId="0" fontId="5" fillId="6" borderId="12" xfId="0" applyFont="1" applyFill="1" applyBorder="1" applyAlignment="1" applyProtection="1">
      <alignment vertical="center"/>
    </xf>
    <xf numFmtId="175" fontId="5" fillId="6" borderId="11" xfId="0" applyNumberFormat="1" applyFont="1" applyFill="1" applyBorder="1" applyAlignment="1" applyProtection="1">
      <alignment horizontal="center"/>
    </xf>
    <xf numFmtId="0" fontId="5" fillId="6" borderId="0" xfId="0" applyFont="1" applyFill="1" applyBorder="1" applyProtection="1"/>
    <xf numFmtId="0" fontId="5" fillId="6" borderId="18" xfId="0" applyFont="1" applyFill="1" applyBorder="1" applyProtection="1"/>
    <xf numFmtId="170" fontId="5" fillId="4" borderId="11" xfId="0" applyNumberFormat="1" applyFont="1" applyFill="1" applyBorder="1" applyAlignment="1" applyProtection="1">
      <alignment horizontal="center"/>
    </xf>
    <xf numFmtId="0" fontId="5" fillId="4" borderId="11" xfId="0" applyFont="1" applyFill="1" applyBorder="1" applyProtection="1"/>
    <xf numFmtId="0" fontId="5" fillId="4" borderId="18" xfId="0" applyFont="1" applyFill="1" applyBorder="1" applyProtection="1"/>
    <xf numFmtId="0" fontId="5" fillId="4" borderId="12" xfId="0" applyFont="1" applyFill="1" applyBorder="1" applyProtection="1"/>
    <xf numFmtId="175" fontId="5" fillId="4" borderId="11" xfId="0" applyNumberFormat="1" applyFont="1" applyFill="1" applyBorder="1" applyAlignment="1" applyProtection="1">
      <alignment horizontal="center"/>
    </xf>
    <xf numFmtId="0" fontId="9" fillId="4" borderId="18" xfId="0" applyFont="1" applyFill="1" applyBorder="1" applyProtection="1"/>
    <xf numFmtId="170" fontId="5" fillId="0" borderId="0" xfId="0" applyNumberFormat="1" applyFont="1" applyAlignment="1" applyProtection="1">
      <alignment vertical="center"/>
      <protection locked="0"/>
    </xf>
    <xf numFmtId="172" fontId="5" fillId="3" borderId="1" xfId="0" applyNumberFormat="1" applyFont="1" applyFill="1" applyBorder="1" applyAlignment="1" applyProtection="1">
      <alignment horizontal="center"/>
      <protection locked="0"/>
    </xf>
    <xf numFmtId="0" fontId="5" fillId="3" borderId="12" xfId="0" applyFont="1" applyFill="1" applyBorder="1" applyProtection="1"/>
    <xf numFmtId="0" fontId="5" fillId="3" borderId="2" xfId="0" applyFont="1" applyFill="1" applyBorder="1" applyProtection="1"/>
    <xf numFmtId="0" fontId="5" fillId="3" borderId="5" xfId="0" applyFont="1" applyFill="1" applyBorder="1" applyProtection="1"/>
    <xf numFmtId="175" fontId="5" fillId="0" borderId="0" xfId="0" applyNumberFormat="1" applyFont="1" applyAlignment="1" applyProtection="1">
      <alignment vertical="center"/>
      <protection locked="0"/>
    </xf>
    <xf numFmtId="0" fontId="5" fillId="4" borderId="11" xfId="0" applyFont="1" applyFill="1" applyBorder="1" applyAlignment="1" applyProtection="1">
      <alignment horizontal="center" vertical="center"/>
    </xf>
    <xf numFmtId="172" fontId="5" fillId="0" borderId="0" xfId="0" applyNumberFormat="1" applyFont="1" applyAlignment="1" applyProtection="1">
      <alignment vertical="center"/>
      <protection locked="0"/>
    </xf>
    <xf numFmtId="170" fontId="5" fillId="4" borderId="4" xfId="0" applyNumberFormat="1" applyFont="1" applyFill="1" applyBorder="1" applyAlignment="1" applyProtection="1">
      <alignment horizontal="center"/>
    </xf>
    <xf numFmtId="172" fontId="5" fillId="6" borderId="4" xfId="0" applyNumberFormat="1" applyFont="1" applyFill="1" applyBorder="1" applyAlignment="1" applyProtection="1">
      <alignment horizontal="center"/>
    </xf>
    <xf numFmtId="175" fontId="5" fillId="0" borderId="0" xfId="0" applyNumberFormat="1" applyFont="1" applyFill="1" applyBorder="1" applyAlignment="1" applyProtection="1">
      <alignment horizontal="center" vertical="center"/>
      <protection locked="0"/>
    </xf>
    <xf numFmtId="5" fontId="5" fillId="4" borderId="5" xfId="0" applyNumberFormat="1" applyFont="1" applyFill="1" applyBorder="1" applyAlignment="1" applyProtection="1">
      <alignment horizontal="center" vertical="center"/>
    </xf>
    <xf numFmtId="175" fontId="5" fillId="6" borderId="11" xfId="0" applyNumberFormat="1" applyFont="1" applyFill="1" applyBorder="1" applyAlignment="1" applyProtection="1">
      <alignment horizontal="center" vertical="center"/>
    </xf>
    <xf numFmtId="175" fontId="5" fillId="4" borderId="11" xfId="0" applyNumberFormat="1" applyFont="1" applyFill="1" applyBorder="1" applyAlignment="1" applyProtection="1">
      <alignment horizontal="center" vertical="center"/>
    </xf>
    <xf numFmtId="175" fontId="5" fillId="4" borderId="5" xfId="0" applyNumberFormat="1" applyFont="1" applyFill="1" applyBorder="1" applyAlignment="1" applyProtection="1">
      <alignment horizontal="center" vertical="center"/>
    </xf>
    <xf numFmtId="175" fontId="5" fillId="6" borderId="4" xfId="0" applyNumberFormat="1" applyFont="1" applyFill="1" applyBorder="1" applyAlignment="1" applyProtection="1">
      <alignment horizontal="center" vertical="center"/>
    </xf>
    <xf numFmtId="0" fontId="5" fillId="6" borderId="18" xfId="0" applyFont="1" applyFill="1" applyBorder="1" applyAlignment="1" applyProtection="1">
      <alignment vertical="center"/>
    </xf>
    <xf numFmtId="0" fontId="5" fillId="6" borderId="0" xfId="0" applyFont="1" applyFill="1" applyBorder="1" applyAlignment="1" applyProtection="1">
      <alignment vertical="center"/>
    </xf>
    <xf numFmtId="0" fontId="5" fillId="0" borderId="0" xfId="50" applyFont="1" applyAlignment="1">
      <alignment vertical="center" wrapText="1"/>
    </xf>
    <xf numFmtId="0" fontId="5" fillId="0" borderId="0" xfId="50" applyFont="1" applyAlignment="1">
      <alignment vertical="center"/>
    </xf>
    <xf numFmtId="0" fontId="4" fillId="4" borderId="0" xfId="31" applyFont="1" applyFill="1" applyAlignment="1" applyProtection="1">
      <alignment vertical="center"/>
    </xf>
    <xf numFmtId="175" fontId="9" fillId="4" borderId="18"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11" xfId="0" applyFont="1" applyFill="1" applyBorder="1" applyAlignment="1" applyProtection="1">
      <alignment vertical="center"/>
    </xf>
    <xf numFmtId="0" fontId="9" fillId="4" borderId="0" xfId="0" applyFont="1" applyFill="1" applyBorder="1" applyAlignment="1" applyProtection="1">
      <alignment vertical="center"/>
    </xf>
    <xf numFmtId="175" fontId="9" fillId="4" borderId="12" xfId="0" applyNumberFormat="1" applyFont="1" applyFill="1" applyBorder="1" applyAlignment="1" applyProtection="1">
      <alignment horizontal="center" vertical="center"/>
    </xf>
    <xf numFmtId="175" fontId="9" fillId="4" borderId="18" xfId="0" applyNumberFormat="1" applyFont="1" applyFill="1" applyBorder="1" applyAlignment="1" applyProtection="1">
      <alignment vertical="center"/>
    </xf>
    <xf numFmtId="175" fontId="38" fillId="6" borderId="12" xfId="0" applyNumberFormat="1" applyFont="1" applyFill="1" applyBorder="1" applyAlignment="1" applyProtection="1">
      <alignment horizontal="center" vertical="center"/>
    </xf>
    <xf numFmtId="0" fontId="38" fillId="6" borderId="2" xfId="0" applyFont="1" applyFill="1" applyBorder="1" applyAlignment="1" applyProtection="1">
      <alignment vertical="center"/>
    </xf>
    <xf numFmtId="0" fontId="9" fillId="6" borderId="5" xfId="0" applyFont="1" applyFill="1" applyBorder="1" applyAlignment="1" applyProtection="1">
      <alignment vertical="center"/>
    </xf>
    <xf numFmtId="0" fontId="5" fillId="6"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83" applyFont="1" applyAlignment="1">
      <alignment vertical="center"/>
    </xf>
    <xf numFmtId="0" fontId="5" fillId="4" borderId="0" xfId="13" applyNumberFormat="1" applyFont="1" applyFill="1" applyBorder="1" applyAlignment="1" applyProtection="1">
      <alignment horizontal="right" vertical="center"/>
    </xf>
    <xf numFmtId="0" fontId="4" fillId="4" borderId="9" xfId="499" applyFont="1" applyFill="1" applyBorder="1" applyAlignment="1" applyProtection="1">
      <alignment vertical="center"/>
    </xf>
    <xf numFmtId="0" fontId="4" fillId="4" borderId="3" xfId="499" applyFont="1" applyFill="1" applyBorder="1" applyAlignment="1" applyProtection="1">
      <alignment vertical="center"/>
    </xf>
    <xf numFmtId="3" fontId="4" fillId="4" borderId="4" xfId="499" applyNumberFormat="1" applyFont="1" applyFill="1" applyBorder="1" applyAlignment="1" applyProtection="1">
      <alignment vertical="center"/>
    </xf>
    <xf numFmtId="0" fontId="4" fillId="4" borderId="4" xfId="499" applyFont="1" applyFill="1" applyBorder="1" applyAlignment="1" applyProtection="1">
      <alignment vertical="center"/>
    </xf>
    <xf numFmtId="0" fontId="4" fillId="4" borderId="1" xfId="499" applyFont="1" applyFill="1" applyBorder="1" applyAlignment="1" applyProtection="1">
      <alignment horizontal="center" vertical="center"/>
    </xf>
    <xf numFmtId="0" fontId="53" fillId="0" borderId="0" xfId="0" applyFont="1"/>
    <xf numFmtId="49" fontId="5" fillId="0" borderId="0" xfId="466" applyNumberFormat="1" applyFont="1" applyFill="1" applyAlignment="1" applyProtection="1">
      <alignment horizontal="left" vertical="center"/>
      <protection locked="0"/>
    </xf>
    <xf numFmtId="0" fontId="5" fillId="0" borderId="0" xfId="466" applyFont="1" applyAlignment="1">
      <alignment horizontal="left" vertical="center"/>
    </xf>
    <xf numFmtId="0" fontId="54" fillId="0" borderId="0" xfId="466" applyFont="1"/>
    <xf numFmtId="173" fontId="55" fillId="0" borderId="0" xfId="466" applyNumberFormat="1" applyFont="1" applyAlignment="1">
      <alignment horizontal="left" vertical="center"/>
    </xf>
    <xf numFmtId="0" fontId="55" fillId="0" borderId="0" xfId="466" applyNumberFormat="1" applyFont="1" applyAlignment="1">
      <alignment horizontal="left" vertical="center"/>
    </xf>
    <xf numFmtId="1" fontId="55" fillId="0" borderId="0" xfId="466" applyNumberFormat="1" applyFont="1" applyAlignment="1">
      <alignment horizontal="left" vertical="center"/>
    </xf>
    <xf numFmtId="0" fontId="56" fillId="0" borderId="0" xfId="466"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5" borderId="13" xfId="0" applyNumberFormat="1" applyFont="1" applyFill="1" applyBorder="1" applyAlignment="1" applyProtection="1">
      <alignment horizontal="right" vertical="center"/>
    </xf>
    <xf numFmtId="169" fontId="5" fillId="5" borderId="13" xfId="0" applyNumberFormat="1" applyFont="1" applyFill="1" applyBorder="1" applyAlignment="1" applyProtection="1">
      <alignment horizontal="right" vertical="center"/>
    </xf>
    <xf numFmtId="177" fontId="5" fillId="2" borderId="1" xfId="0" applyNumberFormat="1" applyFont="1" applyFill="1" applyBorder="1" applyProtection="1">
      <protection locked="0"/>
    </xf>
    <xf numFmtId="177"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31" applyFont="1" applyFill="1"/>
    <xf numFmtId="0" fontId="3" fillId="0" borderId="0" xfId="31"/>
    <xf numFmtId="0" fontId="5" fillId="4" borderId="0" xfId="31" applyFont="1" applyFill="1" applyAlignment="1">
      <alignment vertical="center"/>
    </xf>
    <xf numFmtId="37" fontId="5" fillId="4" borderId="0" xfId="31" applyNumberFormat="1" applyFont="1" applyFill="1" applyAlignment="1">
      <alignment vertical="center"/>
    </xf>
    <xf numFmtId="0" fontId="5" fillId="4" borderId="2" xfId="31" applyFont="1" applyFill="1" applyBorder="1" applyAlignment="1">
      <alignment vertical="center"/>
    </xf>
    <xf numFmtId="0" fontId="5" fillId="4" borderId="0" xfId="31" applyFont="1" applyFill="1" applyAlignment="1">
      <alignment horizontal="center" vertical="center"/>
    </xf>
    <xf numFmtId="0" fontId="6" fillId="4" borderId="0" xfId="31" applyFont="1" applyFill="1" applyAlignment="1">
      <alignment horizontal="center" vertical="center"/>
    </xf>
    <xf numFmtId="175" fontId="5" fillId="4" borderId="0" xfId="31" applyNumberFormat="1" applyFont="1" applyFill="1" applyAlignment="1">
      <alignment vertical="center"/>
    </xf>
    <xf numFmtId="175" fontId="5" fillId="4" borderId="17" xfId="31" applyNumberFormat="1" applyFont="1" applyFill="1" applyBorder="1" applyAlignment="1">
      <alignment vertical="center"/>
    </xf>
    <xf numFmtId="6" fontId="5" fillId="4" borderId="0" xfId="31" applyNumberFormat="1" applyFont="1" applyFill="1" applyBorder="1" applyAlignment="1">
      <alignment vertical="center"/>
    </xf>
    <xf numFmtId="175" fontId="5" fillId="4" borderId="0" xfId="31" applyNumberFormat="1" applyFont="1" applyFill="1" applyBorder="1" applyAlignment="1">
      <alignment vertical="center"/>
    </xf>
    <xf numFmtId="0" fontId="57" fillId="6" borderId="0" xfId="31" applyFont="1" applyFill="1" applyAlignment="1">
      <alignment vertical="center"/>
    </xf>
    <xf numFmtId="0" fontId="57" fillId="4" borderId="0" xfId="31" applyFont="1" applyFill="1" applyAlignment="1">
      <alignment horizontal="center" vertical="center"/>
    </xf>
    <xf numFmtId="172" fontId="5" fillId="4" borderId="0" xfId="31" applyNumberFormat="1" applyFont="1" applyFill="1" applyAlignment="1">
      <alignment horizontal="center" vertical="center"/>
    </xf>
    <xf numFmtId="178" fontId="57" fillId="4" borderId="0" xfId="31" applyNumberFormat="1" applyFont="1" applyFill="1" applyAlignment="1">
      <alignment horizontal="center" vertical="center"/>
    </xf>
    <xf numFmtId="0" fontId="57" fillId="6" borderId="0" xfId="31" applyFont="1" applyFill="1" applyAlignment="1">
      <alignment horizontal="center" vertical="center"/>
    </xf>
    <xf numFmtId="0" fontId="46" fillId="6" borderId="0" xfId="31" applyFont="1" applyFill="1" applyAlignment="1">
      <alignment horizontal="center" vertical="center"/>
    </xf>
    <xf numFmtId="0" fontId="5" fillId="4" borderId="0" xfId="31" applyFont="1" applyFill="1" applyAlignment="1">
      <alignment horizontal="right" vertical="center"/>
    </xf>
    <xf numFmtId="0" fontId="5" fillId="4" borderId="0" xfId="31" applyFont="1" applyFill="1" applyAlignment="1">
      <alignment horizontal="left" vertical="center"/>
    </xf>
    <xf numFmtId="0" fontId="5" fillId="4" borderId="0" xfId="26" applyFont="1" applyFill="1"/>
    <xf numFmtId="0" fontId="3" fillId="4" borderId="0" xfId="31" applyFill="1"/>
    <xf numFmtId="0" fontId="4" fillId="4" borderId="0" xfId="26" applyFont="1" applyFill="1"/>
    <xf numFmtId="0" fontId="3" fillId="4" borderId="0" xfId="26" applyFill="1"/>
    <xf numFmtId="0" fontId="29" fillId="0" borderId="0" xfId="14" applyAlignment="1" applyProtection="1"/>
    <xf numFmtId="37" fontId="5" fillId="4" borderId="0" xfId="26" applyNumberFormat="1" applyFont="1" applyFill="1" applyAlignment="1" applyProtection="1">
      <alignment vertical="center"/>
    </xf>
    <xf numFmtId="0" fontId="5" fillId="4" borderId="0" xfId="26" applyFont="1" applyFill="1" applyAlignment="1" applyProtection="1">
      <alignment vertical="center"/>
    </xf>
    <xf numFmtId="1" fontId="5" fillId="4" borderId="0" xfId="26" applyNumberFormat="1" applyFont="1" applyFill="1" applyBorder="1" applyAlignment="1" applyProtection="1">
      <alignment horizontal="right" vertical="center"/>
    </xf>
    <xf numFmtId="0" fontId="5" fillId="0" borderId="0" xfId="26" applyFont="1" applyProtection="1">
      <protection locked="0"/>
    </xf>
    <xf numFmtId="37" fontId="5" fillId="4" borderId="0" xfId="26" applyNumberFormat="1" applyFont="1" applyFill="1" applyAlignment="1" applyProtection="1">
      <alignment horizontal="right" vertical="center"/>
    </xf>
    <xf numFmtId="0" fontId="4" fillId="4" borderId="0" xfId="26" applyFont="1" applyFill="1" applyAlignment="1" applyProtection="1">
      <alignment vertical="center"/>
    </xf>
    <xf numFmtId="37" fontId="5" fillId="4" borderId="0" xfId="26" applyNumberFormat="1" applyFont="1" applyFill="1" applyAlignment="1" applyProtection="1">
      <alignment horizontal="fill" vertical="center"/>
    </xf>
    <xf numFmtId="37" fontId="5" fillId="4" borderId="0" xfId="26" quotePrefix="1" applyNumberFormat="1" applyFont="1" applyFill="1" applyAlignment="1" applyProtection="1">
      <alignment horizontal="right" vertical="center"/>
    </xf>
    <xf numFmtId="37" fontId="5" fillId="4" borderId="0" xfId="26" applyNumberFormat="1" applyFont="1" applyFill="1" applyAlignment="1" applyProtection="1">
      <alignment horizontal="left" vertical="center"/>
    </xf>
    <xf numFmtId="1" fontId="5" fillId="4" borderId="6" xfId="26" applyNumberFormat="1" applyFont="1" applyFill="1" applyBorder="1" applyAlignment="1" applyProtection="1">
      <alignment horizontal="center" vertical="center"/>
    </xf>
    <xf numFmtId="37" fontId="5" fillId="4" borderId="16" xfId="26" applyNumberFormat="1" applyFont="1" applyFill="1" applyBorder="1" applyAlignment="1" applyProtection="1">
      <alignment horizontal="center" vertical="center"/>
    </xf>
    <xf numFmtId="37" fontId="5" fillId="4" borderId="6" xfId="26" applyNumberFormat="1" applyFont="1" applyFill="1" applyBorder="1" applyAlignment="1" applyProtection="1">
      <alignment horizontal="center" vertical="center"/>
    </xf>
    <xf numFmtId="37" fontId="4" fillId="4" borderId="2" xfId="26" applyNumberFormat="1" applyFont="1" applyFill="1" applyBorder="1" applyAlignment="1" applyProtection="1">
      <alignment vertical="center"/>
    </xf>
    <xf numFmtId="0" fontId="5" fillId="4" borderId="7" xfId="26" applyNumberFormat="1" applyFont="1" applyFill="1" applyBorder="1" applyAlignment="1" applyProtection="1">
      <alignment horizontal="center" vertical="center"/>
    </xf>
    <xf numFmtId="0" fontId="5" fillId="4" borderId="12" xfId="26" applyNumberFormat="1" applyFont="1" applyFill="1" applyBorder="1" applyAlignment="1" applyProtection="1">
      <alignment horizontal="center" vertical="center"/>
    </xf>
    <xf numFmtId="1" fontId="5" fillId="4" borderId="7" xfId="26" applyNumberFormat="1" applyFont="1" applyFill="1" applyBorder="1" applyAlignment="1" applyProtection="1">
      <alignment horizontal="center" vertical="center"/>
    </xf>
    <xf numFmtId="37" fontId="5" fillId="4" borderId="9" xfId="26" applyNumberFormat="1" applyFont="1" applyFill="1" applyBorder="1" applyAlignment="1" applyProtection="1">
      <alignment horizontal="left" vertical="center"/>
    </xf>
    <xf numFmtId="37" fontId="5" fillId="3" borderId="9" xfId="26" applyNumberFormat="1" applyFont="1" applyFill="1" applyBorder="1" applyAlignment="1" applyProtection="1">
      <alignment vertical="center"/>
      <protection locked="0"/>
    </xf>
    <xf numFmtId="3" fontId="5" fillId="4" borderId="9" xfId="26" applyNumberFormat="1" applyFont="1" applyFill="1" applyBorder="1" applyAlignment="1" applyProtection="1">
      <alignment vertical="center"/>
    </xf>
    <xf numFmtId="3" fontId="5" fillId="4" borderId="1" xfId="26" applyNumberFormat="1" applyFont="1" applyFill="1" applyBorder="1" applyAlignment="1" applyProtection="1">
      <alignment vertical="center"/>
    </xf>
    <xf numFmtId="37" fontId="5" fillId="4" borderId="9" xfId="26" applyNumberFormat="1" applyFont="1" applyFill="1" applyBorder="1" applyAlignment="1" applyProtection="1">
      <alignment vertical="center"/>
    </xf>
    <xf numFmtId="37" fontId="5" fillId="3" borderId="9" xfId="26" applyNumberFormat="1" applyFont="1" applyFill="1" applyBorder="1" applyAlignment="1" applyProtection="1">
      <alignment horizontal="right" vertical="center"/>
      <protection locked="0"/>
    </xf>
    <xf numFmtId="3" fontId="5" fillId="4" borderId="1" xfId="26" applyNumberFormat="1" applyFont="1" applyFill="1" applyBorder="1" applyAlignment="1" applyProtection="1">
      <alignment horizontal="fill" vertical="center"/>
    </xf>
    <xf numFmtId="3" fontId="5" fillId="2" borderId="9" xfId="26" applyNumberFormat="1" applyFont="1" applyFill="1" applyBorder="1" applyAlignment="1" applyProtection="1">
      <alignment vertical="center"/>
      <protection locked="0"/>
    </xf>
    <xf numFmtId="3" fontId="5" fillId="2" borderId="1" xfId="26" applyNumberFormat="1" applyFont="1" applyFill="1" applyBorder="1" applyAlignment="1" applyProtection="1">
      <alignment vertical="center"/>
      <protection locked="0"/>
    </xf>
    <xf numFmtId="0" fontId="5" fillId="4" borderId="9" xfId="26" applyFont="1" applyFill="1" applyBorder="1" applyAlignment="1" applyProtection="1">
      <alignment vertical="center"/>
    </xf>
    <xf numFmtId="0" fontId="5" fillId="2" borderId="9" xfId="26" applyFont="1" applyFill="1" applyBorder="1" applyAlignment="1" applyProtection="1">
      <alignment horizontal="left" vertical="center"/>
      <protection locked="0"/>
    </xf>
    <xf numFmtId="0" fontId="5" fillId="2" borderId="1" xfId="26" applyFont="1" applyFill="1" applyBorder="1" applyAlignment="1" applyProtection="1">
      <alignment horizontal="left" vertical="center"/>
      <protection locked="0"/>
    </xf>
    <xf numFmtId="37" fontId="5" fillId="2" borderId="9" xfId="26" applyNumberFormat="1" applyFont="1" applyFill="1" applyBorder="1" applyAlignment="1" applyProtection="1">
      <alignment horizontal="left" vertical="center"/>
      <protection locked="0"/>
    </xf>
    <xf numFmtId="3" fontId="5" fillId="3" borderId="9" xfId="26" applyNumberFormat="1" applyFont="1" applyFill="1" applyBorder="1" applyAlignment="1" applyProtection="1">
      <alignment horizontal="right" vertical="center"/>
      <protection locked="0"/>
    </xf>
    <xf numFmtId="3" fontId="13" fillId="10" borderId="9" xfId="26" applyNumberFormat="1" applyFont="1" applyFill="1" applyBorder="1" applyAlignment="1" applyProtection="1">
      <alignment horizontal="center" vertical="center"/>
    </xf>
    <xf numFmtId="3" fontId="13" fillId="10" borderId="1" xfId="26" applyNumberFormat="1" applyFont="1" applyFill="1" applyBorder="1" applyAlignment="1" applyProtection="1">
      <alignment horizontal="center" vertical="center"/>
    </xf>
    <xf numFmtId="37" fontId="4" fillId="4" borderId="9" xfId="26" applyNumberFormat="1" applyFont="1" applyFill="1" applyBorder="1" applyAlignment="1" applyProtection="1">
      <alignment horizontal="left" vertical="center"/>
    </xf>
    <xf numFmtId="3" fontId="4" fillId="4" borderId="9" xfId="26" applyNumberFormat="1" applyFont="1" applyFill="1" applyBorder="1" applyAlignment="1" applyProtection="1">
      <alignment vertical="center"/>
    </xf>
    <xf numFmtId="3" fontId="4" fillId="4" borderId="1" xfId="26" applyNumberFormat="1" applyFont="1" applyFill="1" applyBorder="1" applyAlignment="1" applyProtection="1">
      <alignment vertical="center"/>
    </xf>
    <xf numFmtId="0" fontId="9" fillId="4" borderId="18" xfId="26" applyFont="1" applyFill="1" applyBorder="1" applyAlignment="1" applyProtection="1">
      <alignment vertical="center"/>
    </xf>
    <xf numFmtId="0" fontId="5" fillId="4" borderId="0" xfId="26" applyFont="1" applyFill="1" applyBorder="1" applyAlignment="1" applyProtection="1">
      <alignment vertical="center"/>
    </xf>
    <xf numFmtId="0" fontId="9" fillId="4" borderId="0" xfId="26" applyFont="1" applyFill="1" applyBorder="1" applyAlignment="1" applyProtection="1">
      <alignment vertical="center"/>
    </xf>
    <xf numFmtId="175" fontId="9" fillId="4" borderId="11" xfId="26" applyNumberFormat="1" applyFont="1" applyFill="1" applyBorder="1" applyAlignment="1" applyProtection="1">
      <alignment horizontal="center" vertical="center"/>
    </xf>
    <xf numFmtId="0" fontId="9" fillId="4" borderId="18" xfId="26" applyFont="1" applyFill="1" applyBorder="1" applyAlignment="1" applyProtection="1">
      <alignment horizontal="left" vertical="center"/>
    </xf>
    <xf numFmtId="175" fontId="9" fillId="3" borderId="1" xfId="26" applyNumberFormat="1" applyFont="1" applyFill="1" applyBorder="1" applyAlignment="1" applyProtection="1">
      <alignment horizontal="center" vertical="center"/>
      <protection locked="0"/>
    </xf>
    <xf numFmtId="172" fontId="38" fillId="4" borderId="4" xfId="26" applyNumberFormat="1" applyFont="1" applyFill="1" applyBorder="1" applyAlignment="1" applyProtection="1">
      <alignment horizontal="center" vertical="center"/>
    </xf>
    <xf numFmtId="0" fontId="38" fillId="6" borderId="18" xfId="26" applyFont="1" applyFill="1" applyBorder="1" applyAlignment="1" applyProtection="1">
      <alignment vertical="center"/>
    </xf>
    <xf numFmtId="0" fontId="5" fillId="6" borderId="0" xfId="26" applyFont="1" applyFill="1" applyBorder="1" applyAlignment="1" applyProtection="1">
      <alignment vertical="center"/>
    </xf>
    <xf numFmtId="0" fontId="9" fillId="6" borderId="0" xfId="26" applyFont="1" applyFill="1" applyBorder="1" applyAlignment="1" applyProtection="1">
      <alignment vertical="center"/>
    </xf>
    <xf numFmtId="175" fontId="38" fillId="6" borderId="4" xfId="26" applyNumberFormat="1" applyFont="1" applyFill="1" applyBorder="1" applyAlignment="1" applyProtection="1">
      <alignment horizontal="center" vertical="center"/>
    </xf>
    <xf numFmtId="37" fontId="9" fillId="4" borderId="12" xfId="26" applyNumberFormat="1" applyFont="1" applyFill="1" applyBorder="1" applyAlignment="1" applyProtection="1">
      <alignment horizontal="left" vertical="center"/>
    </xf>
    <xf numFmtId="0" fontId="42" fillId="4" borderId="2" xfId="26" applyFont="1" applyFill="1" applyBorder="1" applyAlignment="1">
      <alignment horizontal="left" vertical="center"/>
    </xf>
    <xf numFmtId="175" fontId="38" fillId="6" borderId="5" xfId="26" applyNumberFormat="1" applyFont="1" applyFill="1" applyBorder="1" applyAlignment="1" applyProtection="1">
      <alignment horizontal="center" vertical="center"/>
      <protection locked="0"/>
    </xf>
    <xf numFmtId="0" fontId="5" fillId="4" borderId="9" xfId="26" applyFont="1" applyFill="1" applyBorder="1" applyAlignment="1" applyProtection="1">
      <alignment vertical="center"/>
      <protection locked="0"/>
    </xf>
    <xf numFmtId="37" fontId="5" fillId="4" borderId="11" xfId="26" applyNumberFormat="1" applyFont="1" applyFill="1" applyBorder="1" applyAlignment="1" applyProtection="1">
      <alignment horizontal="right" vertical="center"/>
    </xf>
    <xf numFmtId="3" fontId="4" fillId="5" borderId="9" xfId="26" applyNumberFormat="1" applyFont="1" applyFill="1" applyBorder="1" applyAlignment="1" applyProtection="1">
      <alignment vertical="center"/>
    </xf>
    <xf numFmtId="3" fontId="4" fillId="5" borderId="1" xfId="26" applyNumberFormat="1" applyFont="1" applyFill="1" applyBorder="1" applyAlignment="1" applyProtection="1">
      <alignment vertical="center"/>
    </xf>
    <xf numFmtId="175" fontId="9" fillId="4" borderId="18" xfId="26" applyNumberFormat="1" applyFont="1" applyFill="1" applyBorder="1" applyAlignment="1" applyProtection="1">
      <alignment horizontal="center" vertical="center"/>
    </xf>
    <xf numFmtId="0" fontId="9" fillId="4" borderId="0" xfId="26" applyFont="1" applyFill="1" applyBorder="1" applyAlignment="1" applyProtection="1">
      <alignment horizontal="left" vertical="center"/>
    </xf>
    <xf numFmtId="0" fontId="9" fillId="4" borderId="11" xfId="26" applyFont="1" applyFill="1" applyBorder="1" applyAlignment="1" applyProtection="1">
      <alignment vertical="center"/>
    </xf>
    <xf numFmtId="3" fontId="5" fillId="5" borderId="9" xfId="26" applyNumberFormat="1" applyFont="1" applyFill="1" applyBorder="1" applyAlignment="1" applyProtection="1">
      <alignment vertical="center"/>
    </xf>
    <xf numFmtId="0" fontId="3" fillId="0" borderId="0" xfId="26"/>
    <xf numFmtId="0" fontId="5" fillId="4" borderId="0" xfId="26" applyFont="1" applyFill="1" applyAlignment="1" applyProtection="1">
      <alignment horizontal="right" vertical="center"/>
    </xf>
    <xf numFmtId="0" fontId="13" fillId="0" borderId="0" xfId="26" applyFont="1" applyAlignment="1" applyProtection="1">
      <alignment vertical="center"/>
    </xf>
    <xf numFmtId="175" fontId="9" fillId="4" borderId="12" xfId="26" applyNumberFormat="1" applyFont="1" applyFill="1" applyBorder="1" applyAlignment="1" applyProtection="1">
      <alignment horizontal="center" vertical="center"/>
    </xf>
    <xf numFmtId="0" fontId="58" fillId="0" borderId="0" xfId="26" applyFont="1" applyProtection="1">
      <protection locked="0"/>
    </xf>
    <xf numFmtId="0" fontId="44" fillId="0" borderId="0" xfId="26" applyFont="1" applyAlignment="1" applyProtection="1">
      <alignment vertical="center"/>
    </xf>
    <xf numFmtId="0" fontId="52" fillId="4" borderId="0" xfId="26" applyFont="1" applyFill="1" applyAlignment="1" applyProtection="1">
      <alignment horizontal="center" vertical="center"/>
    </xf>
    <xf numFmtId="175" fontId="9" fillId="4" borderId="18" xfId="26" applyNumberFormat="1" applyFont="1" applyFill="1" applyBorder="1" applyAlignment="1" applyProtection="1">
      <alignment vertical="center"/>
    </xf>
    <xf numFmtId="0" fontId="14" fillId="4" borderId="0" xfId="26" applyFont="1" applyFill="1" applyAlignment="1" applyProtection="1">
      <alignment horizontal="center" vertical="center"/>
    </xf>
    <xf numFmtId="3" fontId="5" fillId="5" borderId="1" xfId="26" applyNumberFormat="1" applyFont="1" applyFill="1" applyBorder="1" applyAlignment="1" applyProtection="1">
      <alignment vertical="center"/>
    </xf>
    <xf numFmtId="177" fontId="5" fillId="4" borderId="0" xfId="50" applyNumberFormat="1" applyFont="1" applyFill="1" applyAlignment="1">
      <alignment horizontal="center" vertical="center"/>
    </xf>
    <xf numFmtId="175" fontId="9" fillId="6" borderId="12" xfId="26" applyNumberFormat="1" applyFont="1" applyFill="1" applyBorder="1" applyAlignment="1" applyProtection="1">
      <alignment horizontal="center" vertical="center"/>
    </xf>
    <xf numFmtId="0" fontId="9" fillId="6" borderId="2" xfId="26" applyFont="1" applyFill="1" applyBorder="1" applyAlignment="1" applyProtection="1">
      <alignment vertical="center"/>
    </xf>
    <xf numFmtId="0" fontId="9" fillId="6" borderId="5" xfId="26" applyFont="1" applyFill="1" applyBorder="1" applyAlignment="1" applyProtection="1">
      <alignment vertical="center"/>
    </xf>
    <xf numFmtId="37" fontId="5" fillId="6" borderId="5" xfId="26" applyNumberFormat="1" applyFont="1" applyFill="1" applyBorder="1" applyAlignment="1" applyProtection="1">
      <alignment horizontal="right" vertical="center"/>
    </xf>
    <xf numFmtId="0" fontId="5" fillId="4" borderId="0" xfId="14" applyNumberFormat="1" applyFont="1" applyFill="1" applyBorder="1" applyAlignment="1" applyProtection="1">
      <alignment horizontal="right" vertical="center"/>
    </xf>
    <xf numFmtId="3" fontId="5" fillId="6" borderId="13" xfId="26" applyNumberFormat="1" applyFont="1" applyFill="1" applyBorder="1" applyAlignment="1" applyProtection="1">
      <alignment vertical="center"/>
    </xf>
    <xf numFmtId="172" fontId="5" fillId="4" borderId="0" xfId="26" applyNumberFormat="1" applyFont="1" applyFill="1" applyBorder="1" applyAlignment="1" applyProtection="1">
      <alignment vertical="center"/>
    </xf>
    <xf numFmtId="172" fontId="9" fillId="4" borderId="18" xfId="26" applyNumberFormat="1" applyFont="1" applyFill="1" applyBorder="1" applyAlignment="1" applyProtection="1">
      <alignment horizontal="center" vertical="center"/>
    </xf>
    <xf numFmtId="0" fontId="37" fillId="4" borderId="0" xfId="26" applyFont="1" applyFill="1" applyBorder="1" applyAlignment="1" applyProtection="1">
      <alignment horizontal="center" vertical="center"/>
    </xf>
    <xf numFmtId="0" fontId="3" fillId="4" borderId="11" xfId="26" applyFill="1" applyBorder="1" applyAlignment="1" applyProtection="1">
      <alignment vertical="center"/>
    </xf>
    <xf numFmtId="172" fontId="9" fillId="6" borderId="12" xfId="26" applyNumberFormat="1" applyFont="1" applyFill="1" applyBorder="1" applyAlignment="1" applyProtection="1">
      <alignment horizontal="center" vertical="center"/>
    </xf>
    <xf numFmtId="172" fontId="9" fillId="4" borderId="9" xfId="26" applyNumberFormat="1" applyFont="1" applyFill="1" applyBorder="1" applyAlignment="1" applyProtection="1">
      <alignment horizontal="center" vertical="center"/>
    </xf>
    <xf numFmtId="37" fontId="4" fillId="4" borderId="0" xfId="26" applyNumberFormat="1" applyFont="1" applyFill="1" applyBorder="1" applyAlignment="1" applyProtection="1">
      <alignment vertical="center"/>
    </xf>
    <xf numFmtId="172" fontId="9" fillId="6" borderId="9" xfId="26" applyNumberFormat="1" applyFont="1" applyFill="1" applyBorder="1" applyAlignment="1" applyProtection="1">
      <alignment horizontal="center" vertical="center"/>
    </xf>
    <xf numFmtId="0" fontId="9" fillId="4" borderId="2" xfId="26" applyFont="1" applyFill="1" applyBorder="1" applyAlignment="1" applyProtection="1">
      <alignment horizontal="left" vertical="center"/>
    </xf>
    <xf numFmtId="0" fontId="37" fillId="4" borderId="2" xfId="26" applyFont="1" applyFill="1" applyBorder="1" applyAlignment="1" applyProtection="1">
      <alignment horizontal="center" vertical="center"/>
    </xf>
    <xf numFmtId="0" fontId="3" fillId="4" borderId="5" xfId="26" applyFill="1" applyBorder="1" applyAlignment="1" applyProtection="1">
      <alignment vertical="center"/>
    </xf>
    <xf numFmtId="37" fontId="5" fillId="4" borderId="12" xfId="26" applyNumberFormat="1" applyFont="1" applyFill="1" applyBorder="1" applyAlignment="1" applyProtection="1">
      <alignment horizontal="left" vertical="center"/>
    </xf>
    <xf numFmtId="3" fontId="5" fillId="3" borderId="1" xfId="26" applyNumberFormat="1" applyFont="1" applyFill="1" applyBorder="1" applyAlignment="1" applyProtection="1">
      <alignment horizontal="right" vertical="center"/>
      <protection locked="0"/>
    </xf>
    <xf numFmtId="0" fontId="5" fillId="4" borderId="18" xfId="26" applyFont="1" applyFill="1" applyBorder="1" applyAlignment="1" applyProtection="1">
      <alignment vertical="center"/>
    </xf>
    <xf numFmtId="0" fontId="5" fillId="4" borderId="11" xfId="26" applyFont="1" applyFill="1" applyBorder="1" applyProtection="1">
      <protection locked="0"/>
    </xf>
    <xf numFmtId="0" fontId="44" fillId="0" borderId="0" xfId="26" applyFont="1" applyAlignment="1" applyProtection="1">
      <alignment horizontal="right" vertical="center"/>
    </xf>
    <xf numFmtId="175" fontId="22" fillId="4" borderId="18" xfId="26" applyNumberFormat="1" applyFont="1" applyFill="1" applyBorder="1" applyAlignment="1" applyProtection="1">
      <alignment horizontal="center" vertical="center"/>
    </xf>
    <xf numFmtId="0" fontId="5" fillId="4" borderId="11" xfId="26" applyFont="1" applyFill="1" applyBorder="1" applyAlignment="1" applyProtection="1">
      <alignment vertical="center"/>
    </xf>
    <xf numFmtId="175" fontId="22" fillId="4" borderId="18" xfId="26" applyNumberFormat="1" applyFont="1" applyFill="1" applyBorder="1" applyAlignment="1" applyProtection="1">
      <alignment vertical="center"/>
    </xf>
    <xf numFmtId="0" fontId="22" fillId="4" borderId="0" xfId="26" applyFont="1" applyFill="1" applyBorder="1" applyAlignment="1" applyProtection="1">
      <alignment vertical="center"/>
    </xf>
    <xf numFmtId="0" fontId="5" fillId="6" borderId="5" xfId="26" applyFont="1" applyFill="1" applyBorder="1" applyAlignment="1" applyProtection="1">
      <alignment vertical="center"/>
    </xf>
    <xf numFmtId="0" fontId="5" fillId="6" borderId="5" xfId="26" applyFont="1" applyFill="1" applyBorder="1" applyProtection="1">
      <protection locked="0"/>
    </xf>
    <xf numFmtId="0" fontId="58" fillId="0" borderId="0" xfId="26" applyFont="1"/>
    <xf numFmtId="172" fontId="9" fillId="0" borderId="0" xfId="14" applyNumberFormat="1" applyFont="1" applyFill="1" applyBorder="1" applyAlignment="1" applyProtection="1">
      <alignment horizontal="center" vertical="center"/>
    </xf>
    <xf numFmtId="0" fontId="5" fillId="0" borderId="0" xfId="26" applyFont="1" applyAlignment="1" applyProtection="1">
      <alignment vertical="center"/>
      <protection locked="0"/>
    </xf>
    <xf numFmtId="0" fontId="52" fillId="0" borderId="0" xfId="26" applyFont="1" applyProtection="1">
      <protection locked="0"/>
    </xf>
    <xf numFmtId="0" fontId="52" fillId="0" borderId="0" xfId="50" applyFont="1" applyAlignment="1" applyProtection="1">
      <alignment vertical="center"/>
      <protection locked="0"/>
    </xf>
    <xf numFmtId="0" fontId="9" fillId="6" borderId="0" xfId="0" applyFont="1" applyFill="1" applyBorder="1" applyAlignment="1" applyProtection="1">
      <alignment vertical="center"/>
    </xf>
    <xf numFmtId="0" fontId="37" fillId="4" borderId="0" xfId="0" applyFont="1" applyFill="1" applyBorder="1" applyAlignment="1" applyProtection="1">
      <alignment horizontal="center" vertical="center"/>
    </xf>
    <xf numFmtId="177" fontId="5" fillId="4" borderId="0" xfId="24" applyNumberFormat="1" applyFont="1" applyFill="1" applyBorder="1" applyAlignment="1">
      <alignment horizontal="center" vertical="center"/>
    </xf>
    <xf numFmtId="0" fontId="38" fillId="4" borderId="4" xfId="0" applyFont="1" applyFill="1" applyBorder="1" applyAlignment="1" applyProtection="1">
      <alignment horizontal="center" vertical="center"/>
    </xf>
    <xf numFmtId="0" fontId="38" fillId="6" borderId="18" xfId="0" applyFont="1" applyFill="1" applyBorder="1" applyAlignment="1" applyProtection="1">
      <alignment vertical="center"/>
    </xf>
    <xf numFmtId="175" fontId="38" fillId="6" borderId="4" xfId="0" applyNumberFormat="1" applyFont="1" applyFill="1" applyBorder="1" applyAlignment="1" applyProtection="1">
      <alignment horizontal="center" vertical="center"/>
    </xf>
    <xf numFmtId="37" fontId="9" fillId="4" borderId="12" xfId="0" applyNumberFormat="1" applyFont="1" applyFill="1" applyBorder="1" applyAlignment="1" applyProtection="1">
      <alignment horizontal="left" vertical="center"/>
    </xf>
    <xf numFmtId="0" fontId="42" fillId="4" borderId="2" xfId="0" applyFont="1" applyFill="1" applyBorder="1" applyAlignment="1">
      <alignment horizontal="left" vertical="center"/>
    </xf>
    <xf numFmtId="175" fontId="38" fillId="6" borderId="5" xfId="0" applyNumberFormat="1" applyFont="1" applyFill="1" applyBorder="1" applyAlignment="1" applyProtection="1">
      <alignment horizontal="center" vertical="center"/>
      <protection locked="0"/>
    </xf>
    <xf numFmtId="0" fontId="58" fillId="0" borderId="0" xfId="0" applyFont="1" applyProtection="1">
      <protection locked="0"/>
    </xf>
    <xf numFmtId="172" fontId="9" fillId="4" borderId="18" xfId="0" applyNumberFormat="1" applyFont="1" applyFill="1" applyBorder="1" applyAlignment="1" applyProtection="1">
      <alignment horizontal="center" vertical="center"/>
    </xf>
    <xf numFmtId="0" fontId="0" fillId="4" borderId="11" xfId="0" applyFill="1" applyBorder="1" applyAlignment="1" applyProtection="1">
      <alignment vertical="center"/>
    </xf>
    <xf numFmtId="172" fontId="9" fillId="6" borderId="12" xfId="0" applyNumberFormat="1" applyFont="1" applyFill="1" applyBorder="1" applyAlignment="1" applyProtection="1">
      <alignment horizontal="center" vertical="center"/>
    </xf>
    <xf numFmtId="172" fontId="9" fillId="4" borderId="9" xfId="0" applyNumberFormat="1" applyFont="1" applyFill="1" applyBorder="1" applyAlignment="1" applyProtection="1">
      <alignment horizontal="center" vertical="center"/>
    </xf>
    <xf numFmtId="172" fontId="9" fillId="6" borderId="9" xfId="0" applyNumberFormat="1" applyFont="1" applyFill="1" applyBorder="1" applyAlignment="1" applyProtection="1">
      <alignment horizontal="center" vertical="center"/>
    </xf>
    <xf numFmtId="0" fontId="9" fillId="4" borderId="2" xfId="0" applyFont="1" applyFill="1" applyBorder="1" applyAlignment="1" applyProtection="1">
      <alignment horizontal="left" vertical="center"/>
    </xf>
    <xf numFmtId="0" fontId="37" fillId="4" borderId="2" xfId="0" applyFont="1" applyFill="1" applyBorder="1" applyAlignment="1" applyProtection="1">
      <alignment horizontal="center" vertical="center"/>
    </xf>
    <xf numFmtId="0" fontId="0" fillId="4" borderId="5" xfId="0" applyFill="1" applyBorder="1" applyAlignment="1" applyProtection="1">
      <alignment vertical="center"/>
    </xf>
    <xf numFmtId="0" fontId="43"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6" applyNumberFormat="1" applyFont="1" applyFill="1" applyAlignment="1" applyProtection="1">
      <alignment horizontal="left" vertical="center" wrapText="1"/>
    </xf>
    <xf numFmtId="0" fontId="5" fillId="0" borderId="0" xfId="24" applyFont="1" applyAlignment="1">
      <alignment vertical="center" wrapText="1"/>
    </xf>
    <xf numFmtId="0" fontId="5" fillId="0" borderId="0" xfId="26" applyFont="1" applyAlignment="1">
      <alignment vertical="center" wrapText="1"/>
    </xf>
    <xf numFmtId="0" fontId="5" fillId="0" borderId="0" xfId="72" applyFont="1" applyAlignment="1">
      <alignment vertical="center" wrapText="1"/>
    </xf>
    <xf numFmtId="0" fontId="5" fillId="0" borderId="0" xfId="24" applyFont="1" applyAlignment="1">
      <alignment vertical="center"/>
    </xf>
    <xf numFmtId="0" fontId="68" fillId="4" borderId="0" xfId="388" applyFill="1"/>
    <xf numFmtId="0" fontId="5" fillId="0" borderId="0" xfId="160" applyFont="1" applyAlignment="1">
      <alignment vertical="center"/>
    </xf>
    <xf numFmtId="0" fontId="5" fillId="0" borderId="0" xfId="83" applyFont="1" applyAlignment="1">
      <alignment vertical="center"/>
    </xf>
    <xf numFmtId="0" fontId="5" fillId="0" borderId="0" xfId="160" applyFont="1" applyAlignment="1">
      <alignment wrapText="1"/>
    </xf>
    <xf numFmtId="37" fontId="5" fillId="3" borderId="1" xfId="0" applyNumberFormat="1" applyFont="1" applyFill="1" applyBorder="1" applyAlignment="1" applyProtection="1">
      <alignment horizontal="left" vertical="center"/>
      <protection locked="0"/>
    </xf>
    <xf numFmtId="37" fontId="5" fillId="2" borderId="7" xfId="0" applyNumberFormat="1" applyFont="1" applyFill="1" applyBorder="1" applyAlignment="1" applyProtection="1">
      <alignment vertical="center"/>
      <protection locked="0"/>
    </xf>
    <xf numFmtId="3" fontId="5" fillId="2" borderId="7" xfId="0" applyNumberFormat="1" applyFont="1" applyFill="1" applyBorder="1" applyProtection="1">
      <protection locked="0"/>
    </xf>
    <xf numFmtId="37" fontId="5" fillId="3" borderId="1" xfId="0" applyNumberFormat="1" applyFont="1" applyFill="1" applyBorder="1" applyProtection="1">
      <protection locked="0"/>
    </xf>
    <xf numFmtId="170" fontId="5" fillId="3" borderId="1" xfId="0" applyNumberFormat="1" applyFont="1" applyFill="1" applyBorder="1" applyProtection="1">
      <protection locked="0"/>
    </xf>
    <xf numFmtId="170" fontId="5" fillId="3" borderId="6" xfId="0" applyNumberFormat="1" applyFont="1" applyFill="1" applyBorder="1" applyProtection="1">
      <protection locked="0"/>
    </xf>
    <xf numFmtId="49" fontId="5" fillId="3" borderId="1" xfId="466" applyNumberFormat="1" applyFont="1" applyFill="1" applyBorder="1" applyAlignment="1" applyProtection="1">
      <alignment horizontal="left" vertical="center"/>
      <protection locked="0"/>
    </xf>
    <xf numFmtId="49" fontId="5" fillId="3" borderId="1" xfId="0" applyNumberFormat="1"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3" fontId="5" fillId="4" borderId="1" xfId="0" applyNumberFormat="1" applyFont="1" applyFill="1" applyBorder="1" applyAlignment="1" applyProtection="1">
      <alignment horizontal="right" vertical="center"/>
    </xf>
    <xf numFmtId="3" fontId="5" fillId="4" borderId="0" xfId="26" applyNumberFormat="1" applyFont="1" applyFill="1" applyAlignment="1" applyProtection="1">
      <alignment horizontal="right" vertical="center"/>
    </xf>
    <xf numFmtId="3" fontId="5" fillId="4" borderId="1" xfId="26" applyNumberFormat="1" applyFont="1" applyFill="1" applyBorder="1" applyAlignment="1" applyProtection="1">
      <alignment horizontal="right" vertical="center"/>
    </xf>
    <xf numFmtId="0" fontId="5" fillId="4" borderId="0" xfId="26" applyFont="1" applyFill="1" applyAlignment="1" applyProtection="1">
      <alignment horizontal="left" vertical="center"/>
    </xf>
    <xf numFmtId="3" fontId="5" fillId="4" borderId="6" xfId="0" applyNumberFormat="1" applyFont="1" applyFill="1" applyBorder="1" applyAlignment="1" applyProtection="1">
      <alignment horizontal="right" vertical="center"/>
    </xf>
    <xf numFmtId="3" fontId="14" fillId="4" borderId="17" xfId="0" applyNumberFormat="1" applyFont="1" applyFill="1" applyBorder="1" applyAlignment="1" applyProtection="1">
      <alignment horizontal="center" vertical="center"/>
    </xf>
    <xf numFmtId="0" fontId="14" fillId="4" borderId="17" xfId="0" applyFont="1" applyFill="1" applyBorder="1" applyAlignment="1" applyProtection="1">
      <alignment horizontal="center" vertical="center"/>
    </xf>
    <xf numFmtId="0" fontId="5" fillId="0" borderId="0" xfId="26" applyFont="1" applyAlignment="1">
      <alignment horizontal="left" vertical="center"/>
    </xf>
    <xf numFmtId="3" fontId="5" fillId="4" borderId="2" xfId="0" applyNumberFormat="1" applyFont="1" applyFill="1" applyBorder="1" applyAlignment="1" applyProtection="1">
      <alignment vertical="center"/>
    </xf>
    <xf numFmtId="0" fontId="5" fillId="4" borderId="17" xfId="0" applyFont="1" applyFill="1" applyBorder="1" applyAlignment="1" applyProtection="1">
      <alignment vertical="center"/>
    </xf>
    <xf numFmtId="166" fontId="5" fillId="4" borderId="2"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31" xfId="0" applyNumberFormat="1" applyFont="1" applyFill="1" applyBorder="1" applyAlignment="1" applyProtection="1">
      <alignment vertical="center"/>
    </xf>
    <xf numFmtId="37" fontId="5" fillId="4" borderId="3" xfId="0" applyNumberFormat="1" applyFont="1" applyFill="1" applyBorder="1" applyAlignment="1" applyProtection="1">
      <alignment horizontal="left" vertical="center"/>
    </xf>
    <xf numFmtId="164" fontId="5" fillId="4" borderId="3" xfId="0" applyNumberFormat="1" applyFont="1" applyFill="1" applyBorder="1" applyAlignment="1" applyProtection="1">
      <alignment horizontal="center" vertical="center"/>
    </xf>
    <xf numFmtId="164" fontId="5" fillId="4" borderId="10" xfId="0" applyNumberFormat="1" applyFont="1" applyFill="1" applyBorder="1" applyAlignment="1" applyProtection="1">
      <alignment horizontal="center" vertical="center"/>
    </xf>
    <xf numFmtId="37" fontId="5" fillId="4" borderId="16" xfId="0" applyNumberFormat="1" applyFont="1" applyFill="1" applyBorder="1" applyAlignment="1" applyProtection="1">
      <alignment horizontal="left" vertical="center"/>
    </xf>
    <xf numFmtId="0" fontId="7" fillId="4" borderId="0" xfId="26" applyFont="1" applyFill="1" applyAlignment="1" applyProtection="1">
      <alignment horizontal="center" vertical="center"/>
    </xf>
    <xf numFmtId="3" fontId="5" fillId="4" borderId="0" xfId="26" applyNumberFormat="1" applyFont="1" applyFill="1" applyAlignment="1" applyProtection="1">
      <alignment vertical="center"/>
    </xf>
    <xf numFmtId="3" fontId="5" fillId="4" borderId="2" xfId="26" applyNumberFormat="1" applyFont="1" applyFill="1" applyBorder="1" applyAlignment="1" applyProtection="1">
      <alignment vertical="center"/>
    </xf>
    <xf numFmtId="3" fontId="5" fillId="4" borderId="0" xfId="26" applyNumberFormat="1" applyFont="1" applyFill="1" applyBorder="1" applyAlignment="1" applyProtection="1">
      <alignment vertical="center"/>
    </xf>
    <xf numFmtId="0" fontId="5" fillId="13" borderId="0" xfId="26" applyFont="1" applyFill="1" applyAlignment="1" applyProtection="1">
      <alignment vertical="center"/>
    </xf>
    <xf numFmtId="0" fontId="5" fillId="4" borderId="0" xfId="26" quotePrefix="1" applyFont="1" applyFill="1" applyAlignment="1" applyProtection="1">
      <alignment vertical="center"/>
    </xf>
    <xf numFmtId="3" fontId="5" fillId="4" borderId="31" xfId="26" applyNumberFormat="1" applyFont="1" applyFill="1" applyBorder="1" applyAlignment="1" applyProtection="1">
      <alignment vertical="center"/>
    </xf>
    <xf numFmtId="0" fontId="5" fillId="4" borderId="0" xfId="26" quotePrefix="1" applyFont="1" applyFill="1" applyAlignment="1" applyProtection="1">
      <alignment horizontal="left" vertical="center"/>
    </xf>
    <xf numFmtId="10" fontId="5" fillId="4" borderId="0" xfId="26" applyNumberFormat="1" applyFont="1" applyFill="1" applyBorder="1" applyAlignment="1" applyProtection="1">
      <alignment vertical="center"/>
    </xf>
    <xf numFmtId="0" fontId="7" fillId="4" borderId="0" xfId="26" applyFont="1" applyFill="1" applyAlignment="1" applyProtection="1">
      <alignment horizontal="left" vertical="center"/>
    </xf>
    <xf numFmtId="0" fontId="68" fillId="14" borderId="0" xfId="371" applyFill="1" applyBorder="1"/>
    <xf numFmtId="0" fontId="68" fillId="14" borderId="0" xfId="371" applyFill="1" applyBorder="1" applyAlignment="1">
      <alignment horizontal="left" vertical="center"/>
    </xf>
    <xf numFmtId="0" fontId="68" fillId="14" borderId="0" xfId="371" applyFill="1" applyBorder="1" applyAlignment="1">
      <alignment horizontal="center" vertical="center"/>
    </xf>
    <xf numFmtId="0" fontId="60" fillId="0" borderId="0" xfId="26" applyFont="1"/>
    <xf numFmtId="0" fontId="5" fillId="0" borderId="0" xfId="26" applyFont="1" applyAlignment="1">
      <alignment vertical="center"/>
    </xf>
    <xf numFmtId="176" fontId="33" fillId="4" borderId="0" xfId="0" applyNumberFormat="1" applyFont="1" applyFill="1"/>
    <xf numFmtId="176" fontId="33" fillId="4" borderId="0" xfId="0" applyNumberFormat="1" applyFont="1" applyFill="1" applyAlignment="1">
      <alignment horizontal="center"/>
    </xf>
    <xf numFmtId="176" fontId="5" fillId="6" borderId="5" xfId="0" applyNumberFormat="1" applyFont="1" applyFill="1" applyBorder="1" applyAlignment="1" applyProtection="1">
      <alignment horizontal="center"/>
    </xf>
    <xf numFmtId="0" fontId="5" fillId="2" borderId="0" xfId="0" applyFont="1" applyFill="1" applyAlignment="1" applyProtection="1">
      <alignment horizontal="center" vertical="center"/>
      <protection locked="0"/>
    </xf>
    <xf numFmtId="164" fontId="5" fillId="3" borderId="0" xfId="0" applyNumberFormat="1"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3" fontId="5" fillId="11" borderId="4" xfId="0" applyNumberFormat="1" applyFont="1" applyFill="1" applyBorder="1" applyProtection="1"/>
    <xf numFmtId="3" fontId="5" fillId="12" borderId="3" xfId="0" applyNumberFormat="1" applyFont="1" applyFill="1" applyBorder="1" applyProtection="1"/>
    <xf numFmtId="0" fontId="5" fillId="12" borderId="3" xfId="0" applyFont="1" applyFill="1" applyBorder="1" applyProtection="1"/>
    <xf numFmtId="37" fontId="4" fillId="12" borderId="9" xfId="0" applyNumberFormat="1" applyFont="1" applyFill="1" applyBorder="1" applyAlignment="1" applyProtection="1">
      <alignment horizontal="left"/>
    </xf>
    <xf numFmtId="0" fontId="5" fillId="12" borderId="12" xfId="0" applyFont="1" applyFill="1" applyBorder="1" applyAlignment="1" applyProtection="1">
      <alignment vertical="center"/>
    </xf>
    <xf numFmtId="0" fontId="5" fillId="12" borderId="4" xfId="0" applyFont="1" applyFill="1" applyBorder="1" applyAlignment="1" applyProtection="1">
      <alignment vertical="center"/>
    </xf>
    <xf numFmtId="0" fontId="5" fillId="12" borderId="9" xfId="0" applyFont="1" applyFill="1" applyBorder="1" applyAlignment="1" applyProtection="1">
      <alignment vertical="center"/>
    </xf>
    <xf numFmtId="0" fontId="5" fillId="12" borderId="5" xfId="0" applyFont="1" applyFill="1" applyBorder="1" applyAlignment="1" applyProtection="1">
      <alignment vertical="center"/>
    </xf>
    <xf numFmtId="37" fontId="5" fillId="12" borderId="12" xfId="0" applyNumberFormat="1" applyFont="1" applyFill="1" applyBorder="1" applyAlignment="1" applyProtection="1">
      <alignment horizontal="left" vertical="center"/>
    </xf>
    <xf numFmtId="37" fontId="5" fillId="12" borderId="16" xfId="0" applyNumberFormat="1" applyFont="1" applyFill="1" applyBorder="1" applyAlignment="1" applyProtection="1">
      <alignment horizontal="left" vertical="center"/>
    </xf>
    <xf numFmtId="0" fontId="5" fillId="7" borderId="5" xfId="0" applyFont="1" applyFill="1" applyBorder="1" applyAlignment="1" applyProtection="1">
      <alignment vertical="center"/>
    </xf>
    <xf numFmtId="0" fontId="5" fillId="11" borderId="5" xfId="0" applyFont="1" applyFill="1" applyBorder="1" applyAlignment="1" applyProtection="1">
      <alignment vertical="center"/>
    </xf>
    <xf numFmtId="176" fontId="33" fillId="4" borderId="2" xfId="0" applyNumberFormat="1" applyFont="1" applyFill="1" applyBorder="1" applyAlignment="1">
      <alignment horizontal="center"/>
    </xf>
    <xf numFmtId="37" fontId="4" fillId="11" borderId="12" xfId="0" applyNumberFormat="1" applyFont="1" applyFill="1" applyBorder="1" applyAlignment="1" applyProtection="1">
      <alignment horizontal="left" vertical="center"/>
    </xf>
    <xf numFmtId="0" fontId="5" fillId="11" borderId="11" xfId="0" applyFont="1" applyFill="1" applyBorder="1" applyAlignment="1" applyProtection="1">
      <alignment vertical="center"/>
    </xf>
    <xf numFmtId="37" fontId="4" fillId="11" borderId="18" xfId="0" applyNumberFormat="1" applyFont="1" applyFill="1" applyBorder="1" applyAlignment="1" applyProtection="1">
      <alignment horizontal="left" vertical="center"/>
    </xf>
    <xf numFmtId="0" fontId="5" fillId="12" borderId="10" xfId="0" applyFont="1" applyFill="1" applyBorder="1" applyAlignment="1" applyProtection="1">
      <alignment vertical="center"/>
    </xf>
    <xf numFmtId="0" fontId="4" fillId="12" borderId="16" xfId="0" applyFont="1" applyFill="1" applyBorder="1" applyAlignment="1" applyProtection="1">
      <alignment vertical="center"/>
    </xf>
    <xf numFmtId="164" fontId="5" fillId="2" borderId="0" xfId="0" applyNumberFormat="1" applyFont="1" applyFill="1" applyAlignment="1" applyProtection="1">
      <alignment horizontal="center" vertical="center"/>
      <protection locked="0"/>
    </xf>
    <xf numFmtId="0" fontId="10" fillId="4" borderId="0" xfId="13" applyFill="1" applyAlignment="1" applyProtection="1"/>
    <xf numFmtId="37" fontId="5" fillId="3" borderId="0" xfId="26" applyNumberFormat="1" applyFont="1" applyFill="1" applyAlignment="1" applyProtection="1">
      <alignment horizontal="center" vertical="center"/>
      <protection locked="0"/>
    </xf>
    <xf numFmtId="0" fontId="5" fillId="4" borderId="0" xfId="24" applyFont="1" applyFill="1" applyAlignment="1" applyProtection="1">
      <alignment vertical="center"/>
    </xf>
    <xf numFmtId="3" fontId="5" fillId="4" borderId="3" xfId="0" applyNumberFormat="1" applyFont="1" applyFill="1" applyBorder="1" applyProtection="1"/>
    <xf numFmtId="3" fontId="5" fillId="4" borderId="3" xfId="0" applyNumberFormat="1" applyFont="1" applyFill="1" applyBorder="1" applyProtection="1">
      <protection locked="0"/>
    </xf>
    <xf numFmtId="3" fontId="5" fillId="4" borderId="2" xfId="0" applyNumberFormat="1" applyFont="1" applyFill="1" applyBorder="1" applyProtection="1">
      <protection locked="0"/>
    </xf>
    <xf numFmtId="37" fontId="5" fillId="2" borderId="1" xfId="24" applyNumberFormat="1" applyFont="1" applyFill="1" applyBorder="1" applyAlignment="1" applyProtection="1">
      <alignment vertical="center"/>
      <protection locked="0"/>
    </xf>
    <xf numFmtId="37" fontId="5" fillId="2" borderId="1" xfId="24" applyNumberFormat="1" applyFont="1" applyFill="1" applyBorder="1" applyAlignment="1" applyProtection="1">
      <alignment horizontal="left" vertical="center"/>
      <protection locked="0"/>
    </xf>
    <xf numFmtId="37" fontId="5" fillId="2" borderId="1" xfId="24" applyNumberFormat="1" applyFont="1" applyFill="1" applyBorder="1" applyAlignment="1" applyProtection="1">
      <alignment horizontal="left"/>
      <protection locked="0"/>
    </xf>
    <xf numFmtId="37" fontId="5" fillId="4" borderId="3" xfId="391" applyNumberFormat="1" applyFont="1" applyFill="1" applyBorder="1" applyAlignment="1" applyProtection="1">
      <alignment horizontal="left" vertical="center"/>
    </xf>
    <xf numFmtId="37" fontId="5" fillId="4" borderId="7" xfId="26" applyNumberFormat="1" applyFont="1" applyFill="1" applyBorder="1" applyAlignment="1" applyProtection="1">
      <alignment horizontal="center" vertical="center"/>
    </xf>
    <xf numFmtId="0" fontId="5" fillId="13" borderId="0" xfId="0" applyFont="1" applyFill="1" applyAlignment="1" applyProtection="1">
      <alignment vertical="center"/>
    </xf>
    <xf numFmtId="0" fontId="5" fillId="4" borderId="9" xfId="26" applyNumberFormat="1" applyFont="1" applyFill="1" applyBorder="1" applyAlignment="1" applyProtection="1">
      <alignment horizontal="left" vertical="center"/>
    </xf>
    <xf numFmtId="0" fontId="5" fillId="0" borderId="0" xfId="392" applyFont="1" applyAlignment="1">
      <alignment vertical="center"/>
    </xf>
    <xf numFmtId="0" fontId="62" fillId="4" borderId="0" xfId="0" applyFont="1" applyFill="1" applyAlignment="1" applyProtection="1">
      <alignment horizontal="right" vertical="center"/>
    </xf>
    <xf numFmtId="179" fontId="5" fillId="4" borderId="1" xfId="0" applyNumberFormat="1" applyFont="1" applyFill="1" applyBorder="1" applyAlignment="1" applyProtection="1">
      <alignment vertical="center"/>
    </xf>
    <xf numFmtId="37" fontId="5" fillId="13" borderId="1" xfId="0" applyNumberFormat="1" applyFont="1" applyFill="1" applyBorder="1" applyAlignment="1" applyProtection="1">
      <alignment vertical="center"/>
    </xf>
    <xf numFmtId="179" fontId="5" fillId="13" borderId="1" xfId="0" applyNumberFormat="1" applyFont="1" applyFill="1" applyBorder="1" applyAlignment="1" applyProtection="1">
      <alignment vertical="center"/>
    </xf>
    <xf numFmtId="37" fontId="5" fillId="13" borderId="0" xfId="0" applyNumberFormat="1" applyFont="1" applyFill="1" applyBorder="1" applyAlignment="1" applyProtection="1">
      <alignment vertical="center"/>
    </xf>
    <xf numFmtId="37" fontId="5" fillId="13" borderId="0" xfId="0" applyNumberFormat="1" applyFont="1" applyFill="1" applyBorder="1" applyAlignment="1" applyProtection="1">
      <alignment horizontal="left" vertical="center"/>
    </xf>
    <xf numFmtId="37" fontId="5" fillId="4" borderId="18" xfId="0" applyNumberFormat="1" applyFont="1" applyFill="1" applyBorder="1" applyAlignment="1" applyProtection="1">
      <alignment horizontal="right" vertical="center"/>
    </xf>
    <xf numFmtId="37" fontId="5" fillId="15" borderId="13" xfId="0" applyNumberFormat="1" applyFont="1" applyFill="1" applyBorder="1" applyAlignment="1" applyProtection="1">
      <alignment vertical="center"/>
    </xf>
    <xf numFmtId="179" fontId="5" fillId="15" borderId="1" xfId="0" applyNumberFormat="1" applyFont="1" applyFill="1" applyBorder="1" applyAlignment="1" applyProtection="1">
      <alignment vertical="center"/>
    </xf>
    <xf numFmtId="37" fontId="5" fillId="15" borderId="1" xfId="0" applyNumberFormat="1" applyFont="1" applyFill="1" applyBorder="1" applyAlignment="1" applyProtection="1">
      <alignment horizontal="left" vertical="center"/>
    </xf>
    <xf numFmtId="179" fontId="5" fillId="15" borderId="6" xfId="0" applyNumberFormat="1" applyFont="1" applyFill="1" applyBorder="1" applyAlignment="1" applyProtection="1">
      <alignment vertical="center"/>
    </xf>
    <xf numFmtId="37" fontId="5" fillId="15" borderId="6" xfId="0" applyNumberFormat="1" applyFont="1" applyFill="1" applyBorder="1" applyAlignment="1" applyProtection="1">
      <alignment horizontal="left" vertical="center"/>
    </xf>
    <xf numFmtId="37" fontId="5" fillId="13" borderId="6" xfId="0" applyNumberFormat="1" applyFont="1" applyFill="1" applyBorder="1" applyAlignment="1" applyProtection="1">
      <alignment vertical="center"/>
    </xf>
    <xf numFmtId="0" fontId="5" fillId="0" borderId="0" xfId="0" applyFont="1" applyBorder="1"/>
    <xf numFmtId="37" fontId="66" fillId="0" borderId="0" xfId="0" applyNumberFormat="1" applyFont="1" applyAlignment="1">
      <alignment horizontal="left"/>
    </xf>
    <xf numFmtId="0" fontId="66" fillId="0" borderId="0" xfId="0" applyFont="1" applyAlignment="1">
      <alignment horizontal="left"/>
    </xf>
    <xf numFmtId="0" fontId="64" fillId="0" borderId="0" xfId="0" applyFont="1"/>
    <xf numFmtId="3" fontId="5" fillId="16" borderId="31" xfId="26" applyNumberFormat="1" applyFont="1" applyFill="1" applyBorder="1" applyAlignment="1" applyProtection="1">
      <alignment vertical="center"/>
    </xf>
    <xf numFmtId="3" fontId="9" fillId="13" borderId="5" xfId="26" applyNumberFormat="1" applyFont="1" applyFill="1" applyBorder="1" applyProtection="1">
      <protection locked="0"/>
    </xf>
    <xf numFmtId="0" fontId="9" fillId="13" borderId="2" xfId="26" applyFont="1" applyFill="1" applyBorder="1" applyProtection="1">
      <protection locked="0"/>
    </xf>
    <xf numFmtId="0" fontId="9" fillId="13" borderId="12" xfId="26" applyFont="1" applyFill="1" applyBorder="1" applyAlignment="1" applyProtection="1">
      <alignment horizontal="left"/>
      <protection locked="0"/>
    </xf>
    <xf numFmtId="3" fontId="9" fillId="13" borderId="11" xfId="26" applyNumberFormat="1" applyFont="1" applyFill="1" applyBorder="1" applyProtection="1">
      <protection locked="0"/>
    </xf>
    <xf numFmtId="0" fontId="9" fillId="13" borderId="0" xfId="26" applyFont="1" applyFill="1" applyBorder="1" applyProtection="1">
      <protection locked="0"/>
    </xf>
    <xf numFmtId="0" fontId="9" fillId="13" borderId="18" xfId="26" applyFont="1" applyFill="1" applyBorder="1" applyAlignment="1" applyProtection="1">
      <alignment horizontal="left"/>
      <protection locked="0"/>
    </xf>
    <xf numFmtId="0" fontId="5" fillId="13" borderId="17" xfId="26" applyFont="1" applyFill="1" applyBorder="1" applyProtection="1">
      <protection locked="0"/>
    </xf>
    <xf numFmtId="3" fontId="9" fillId="13" borderId="5" xfId="0" applyNumberFormat="1" applyFont="1" applyFill="1" applyBorder="1" applyAlignment="1" applyProtection="1">
      <alignment vertical="center"/>
      <protection locked="0"/>
    </xf>
    <xf numFmtId="0" fontId="9" fillId="13" borderId="2" xfId="0" applyFont="1" applyFill="1" applyBorder="1" applyAlignment="1" applyProtection="1">
      <alignment vertical="center"/>
      <protection locked="0"/>
    </xf>
    <xf numFmtId="0" fontId="9" fillId="13" borderId="12" xfId="0" applyFont="1" applyFill="1" applyBorder="1" applyAlignment="1" applyProtection="1">
      <alignment horizontal="left" vertical="center"/>
      <protection locked="0"/>
    </xf>
    <xf numFmtId="3" fontId="9" fillId="13" borderId="11" xfId="0" applyNumberFormat="1" applyFont="1" applyFill="1" applyBorder="1" applyAlignment="1" applyProtection="1">
      <alignment vertical="center"/>
      <protection locked="0"/>
    </xf>
    <xf numFmtId="0" fontId="9" fillId="13" borderId="0" xfId="0" applyFont="1" applyFill="1" applyBorder="1" applyAlignment="1" applyProtection="1">
      <alignment vertical="center"/>
      <protection locked="0"/>
    </xf>
    <xf numFmtId="0" fontId="9" fillId="13" borderId="18" xfId="0" applyFont="1" applyFill="1" applyBorder="1" applyAlignment="1" applyProtection="1">
      <alignment horizontal="left" vertical="center"/>
      <protection locked="0"/>
    </xf>
    <xf numFmtId="0" fontId="59" fillId="13" borderId="10" xfId="160" applyFont="1" applyFill="1" applyBorder="1" applyAlignment="1">
      <alignment horizontal="center" vertical="center"/>
    </xf>
    <xf numFmtId="0" fontId="5" fillId="13" borderId="17" xfId="0" applyFont="1" applyFill="1" applyBorder="1" applyAlignment="1" applyProtection="1">
      <alignment vertical="center"/>
      <protection locked="0"/>
    </xf>
    <xf numFmtId="0" fontId="4" fillId="13" borderId="17" xfId="160" applyFont="1" applyFill="1" applyBorder="1" applyAlignment="1">
      <alignment horizontal="centerContinuous" vertical="center"/>
    </xf>
    <xf numFmtId="0" fontId="43" fillId="6" borderId="4" xfId="0" applyFont="1" applyFill="1" applyBorder="1" applyAlignment="1" applyProtection="1">
      <alignment horizontal="center" vertical="center"/>
    </xf>
    <xf numFmtId="0" fontId="5" fillId="0" borderId="0" xfId="425" applyFont="1"/>
    <xf numFmtId="0" fontId="6" fillId="0" borderId="0" xfId="425" applyFont="1"/>
    <xf numFmtId="0" fontId="38" fillId="13" borderId="16" xfId="162" applyFont="1" applyFill="1" applyBorder="1" applyAlignment="1">
      <alignment horizontal="left" vertical="center"/>
    </xf>
    <xf numFmtId="0" fontId="65" fillId="0" borderId="0" xfId="0" applyFont="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left" vertical="center" wrapText="1"/>
    </xf>
    <xf numFmtId="0" fontId="64" fillId="0" borderId="0" xfId="0" applyFont="1" applyAlignment="1">
      <alignment horizontal="right" vertical="center" wrapText="1"/>
    </xf>
    <xf numFmtId="0" fontId="64" fillId="0" borderId="0" xfId="26" applyFont="1" applyAlignment="1">
      <alignment horizontal="right" vertical="center" wrapText="1"/>
    </xf>
    <xf numFmtId="0" fontId="5" fillId="0" borderId="0" xfId="26" applyFont="1"/>
    <xf numFmtId="0" fontId="5" fillId="4" borderId="2" xfId="26" applyNumberFormat="1" applyFont="1" applyFill="1" applyBorder="1" applyAlignment="1" applyProtection="1">
      <alignment vertical="center"/>
    </xf>
    <xf numFmtId="10" fontId="4" fillId="3" borderId="1" xfId="0" applyNumberFormat="1" applyFont="1" applyFill="1" applyBorder="1" applyAlignment="1" applyProtection="1">
      <alignment horizontal="center" vertical="center"/>
      <protection locked="0"/>
    </xf>
    <xf numFmtId="0" fontId="5" fillId="4" borderId="16" xfId="0" applyFont="1" applyFill="1" applyBorder="1" applyAlignment="1" applyProtection="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pplyProtection="1">
      <alignment vertical="center"/>
    </xf>
    <xf numFmtId="0" fontId="5" fillId="4" borderId="5" xfId="0" applyFont="1" applyFill="1" applyBorder="1" applyAlignment="1">
      <alignment vertical="center"/>
    </xf>
    <xf numFmtId="37" fontId="4" fillId="4" borderId="0" xfId="0" applyNumberFormat="1" applyFont="1" applyFill="1" applyBorder="1" applyAlignment="1" applyProtection="1">
      <alignment horizontal="left" vertical="center"/>
    </xf>
    <xf numFmtId="3" fontId="4" fillId="4" borderId="0" xfId="0" applyNumberFormat="1" applyFont="1" applyFill="1" applyBorder="1" applyAlignment="1" applyProtection="1">
      <alignment horizontal="center" vertical="center"/>
    </xf>
    <xf numFmtId="37" fontId="4" fillId="4" borderId="16" xfId="0" applyNumberFormat="1" applyFont="1" applyFill="1" applyBorder="1" applyAlignment="1" applyProtection="1">
      <alignment horizontal="left" vertical="center"/>
    </xf>
    <xf numFmtId="3" fontId="4" fillId="4" borderId="17" xfId="0" applyNumberFormat="1" applyFont="1" applyFill="1" applyBorder="1" applyAlignment="1" applyProtection="1">
      <alignment horizontal="center" vertical="center"/>
    </xf>
    <xf numFmtId="37" fontId="4" fillId="4" borderId="18" xfId="0" applyNumberFormat="1" applyFont="1" applyFill="1" applyBorder="1" applyAlignment="1" applyProtection="1">
      <alignment horizontal="left" vertical="center"/>
    </xf>
    <xf numFmtId="37" fontId="4" fillId="4" borderId="12" xfId="0" applyNumberFormat="1" applyFont="1" applyFill="1" applyBorder="1" applyAlignment="1" applyProtection="1">
      <alignment horizontal="left" vertical="center"/>
    </xf>
    <xf numFmtId="3" fontId="4" fillId="4" borderId="2" xfId="0" applyNumberFormat="1" applyFont="1" applyFill="1" applyBorder="1" applyAlignment="1" applyProtection="1">
      <alignment horizontal="center" vertical="center"/>
    </xf>
    <xf numFmtId="0" fontId="9" fillId="13" borderId="0" xfId="0" applyFont="1" applyFill="1" applyBorder="1" applyAlignment="1" applyProtection="1">
      <alignment horizontal="left" vertical="center"/>
      <protection locked="0"/>
    </xf>
    <xf numFmtId="3" fontId="9" fillId="13" borderId="0" xfId="0" applyNumberFormat="1" applyFont="1" applyFill="1" applyBorder="1" applyAlignment="1" applyProtection="1">
      <alignment vertical="center"/>
      <protection locked="0"/>
    </xf>
    <xf numFmtId="0" fontId="5" fillId="4" borderId="17" xfId="13" applyNumberFormat="1" applyFont="1" applyFill="1" applyBorder="1" applyAlignment="1" applyProtection="1">
      <alignment horizontal="right" vertical="center"/>
    </xf>
    <xf numFmtId="0" fontId="5" fillId="4" borderId="10" xfId="13" applyNumberFormat="1" applyFont="1" applyFill="1" applyBorder="1" applyAlignment="1" applyProtection="1">
      <alignment horizontal="right" vertical="center"/>
    </xf>
    <xf numFmtId="0" fontId="5" fillId="4" borderId="11" xfId="13" applyNumberFormat="1" applyFont="1" applyFill="1" applyBorder="1" applyAlignment="1" applyProtection="1">
      <alignment horizontal="right" vertical="center"/>
    </xf>
    <xf numFmtId="0" fontId="5" fillId="4" borderId="2" xfId="13" applyNumberFormat="1" applyFont="1" applyFill="1" applyBorder="1" applyAlignment="1" applyProtection="1">
      <alignment horizontal="right" vertical="center"/>
    </xf>
    <xf numFmtId="0" fontId="5" fillId="4" borderId="5" xfId="13" applyNumberFormat="1" applyFont="1" applyFill="1" applyBorder="1" applyAlignment="1" applyProtection="1">
      <alignment horizontal="right" vertical="center"/>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3" fontId="9" fillId="0"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5" fillId="4" borderId="18" xfId="0" applyFont="1" applyFill="1" applyBorder="1" applyAlignment="1" applyProtection="1">
      <alignment horizontal="right" vertical="center"/>
    </xf>
    <xf numFmtId="0" fontId="14" fillId="4" borderId="11" xfId="0" applyFont="1" applyFill="1" applyBorder="1" applyAlignment="1" applyProtection="1">
      <alignment horizontal="center" vertical="center"/>
    </xf>
    <xf numFmtId="0" fontId="5" fillId="4" borderId="12" xfId="0" applyFont="1" applyFill="1" applyBorder="1" applyAlignment="1" applyProtection="1">
      <alignment horizontal="right" vertical="center"/>
    </xf>
    <xf numFmtId="0" fontId="14" fillId="4" borderId="2" xfId="0" applyFont="1" applyFill="1" applyBorder="1" applyAlignment="1" applyProtection="1">
      <alignment horizontal="center" vertical="center"/>
    </xf>
    <xf numFmtId="3" fontId="46" fillId="4" borderId="2" xfId="0" applyNumberFormat="1" applyFont="1" applyFill="1" applyBorder="1" applyAlignment="1" applyProtection="1">
      <alignment horizontal="center" vertical="center"/>
    </xf>
    <xf numFmtId="0" fontId="5" fillId="4" borderId="16" xfId="0" applyFont="1" applyFill="1" applyBorder="1" applyAlignment="1" applyProtection="1">
      <alignment horizontal="left" vertical="center"/>
    </xf>
    <xf numFmtId="0" fontId="5" fillId="4" borderId="16" xfId="0" applyFont="1" applyFill="1" applyBorder="1" applyAlignment="1">
      <alignment vertical="center"/>
    </xf>
    <xf numFmtId="3" fontId="5" fillId="4" borderId="17" xfId="0" applyNumberFormat="1" applyFont="1" applyFill="1" applyBorder="1" applyAlignment="1">
      <alignment vertical="center"/>
    </xf>
    <xf numFmtId="0" fontId="5" fillId="4" borderId="17" xfId="0" applyFont="1" applyFill="1" applyBorder="1" applyAlignment="1">
      <alignment vertical="center"/>
    </xf>
    <xf numFmtId="0" fontId="5" fillId="4" borderId="18" xfId="0" applyFont="1" applyFill="1" applyBorder="1" applyAlignment="1">
      <alignment vertical="center"/>
    </xf>
    <xf numFmtId="3" fontId="5" fillId="4" borderId="0" xfId="0" applyNumberFormat="1" applyFont="1" applyFill="1" applyBorder="1" applyAlignment="1">
      <alignment vertical="center"/>
    </xf>
    <xf numFmtId="0" fontId="5" fillId="4" borderId="0" xfId="0" applyFont="1" applyFill="1" applyBorder="1" applyAlignment="1">
      <alignment vertical="center"/>
    </xf>
    <xf numFmtId="0" fontId="5" fillId="4" borderId="12" xfId="0" applyFont="1" applyFill="1" applyBorder="1" applyAlignment="1">
      <alignment vertical="center"/>
    </xf>
    <xf numFmtId="3" fontId="5" fillId="4" borderId="2" xfId="0" applyNumberFormat="1" applyFont="1" applyFill="1" applyBorder="1" applyAlignment="1">
      <alignment vertical="center"/>
    </xf>
    <xf numFmtId="37" fontId="5" fillId="4" borderId="16" xfId="26" applyNumberFormat="1" applyFont="1" applyFill="1" applyBorder="1" applyAlignment="1" applyProtection="1">
      <alignment horizontal="left" vertical="top"/>
    </xf>
    <xf numFmtId="0" fontId="5" fillId="4" borderId="17" xfId="14" applyNumberFormat="1" applyFont="1" applyFill="1" applyBorder="1" applyAlignment="1" applyProtection="1">
      <alignment horizontal="left" vertical="top"/>
    </xf>
    <xf numFmtId="172" fontId="5" fillId="4" borderId="10" xfId="26" applyNumberFormat="1" applyFont="1" applyFill="1" applyBorder="1" applyAlignment="1" applyProtection="1">
      <alignment horizontal="left" vertical="top"/>
    </xf>
    <xf numFmtId="37" fontId="5" fillId="4" borderId="18" xfId="26" applyNumberFormat="1" applyFont="1" applyFill="1" applyBorder="1" applyAlignment="1" applyProtection="1">
      <alignment horizontal="left" vertical="top"/>
    </xf>
    <xf numFmtId="0" fontId="5" fillId="4" borderId="0" xfId="14" applyNumberFormat="1" applyFont="1" applyFill="1" applyBorder="1" applyAlignment="1" applyProtection="1">
      <alignment horizontal="left" vertical="top"/>
    </xf>
    <xf numFmtId="172" fontId="5" fillId="4" borderId="11" xfId="26" applyNumberFormat="1" applyFont="1" applyFill="1" applyBorder="1" applyAlignment="1" applyProtection="1">
      <alignment horizontal="left" vertical="top"/>
    </xf>
    <xf numFmtId="37" fontId="5" fillId="4" borderId="12" xfId="26" applyNumberFormat="1" applyFont="1" applyFill="1" applyBorder="1" applyAlignment="1" applyProtection="1">
      <alignment horizontal="left" vertical="top"/>
    </xf>
    <xf numFmtId="0" fontId="5" fillId="4" borderId="2" xfId="14" applyNumberFormat="1" applyFont="1" applyFill="1" applyBorder="1" applyAlignment="1" applyProtection="1">
      <alignment horizontal="left" vertical="top"/>
    </xf>
    <xf numFmtId="172" fontId="5" fillId="4" borderId="5" xfId="26" applyNumberFormat="1" applyFont="1" applyFill="1" applyBorder="1" applyAlignment="1" applyProtection="1">
      <alignment horizontal="left" vertical="top"/>
    </xf>
    <xf numFmtId="37" fontId="5" fillId="12" borderId="6" xfId="0" applyNumberFormat="1" applyFont="1" applyFill="1" applyBorder="1" applyAlignment="1" applyProtection="1">
      <alignment horizontal="center" vertical="center" wrapText="1"/>
    </xf>
    <xf numFmtId="0" fontId="0" fillId="12" borderId="7" xfId="0" applyFill="1" applyBorder="1" applyAlignment="1">
      <alignment vertical="center" wrapText="1"/>
    </xf>
    <xf numFmtId="37" fontId="14" fillId="4" borderId="0" xfId="0" applyNumberFormat="1" applyFont="1" applyFill="1" applyAlignment="1" applyProtection="1">
      <alignment horizontal="center" vertical="center"/>
    </xf>
    <xf numFmtId="0" fontId="15" fillId="0" borderId="0" xfId="0" applyFont="1" applyAlignment="1">
      <alignment horizontal="center" vertical="center"/>
    </xf>
    <xf numFmtId="37" fontId="15" fillId="4" borderId="0" xfId="0" applyNumberFormat="1" applyFont="1" applyFill="1" applyAlignment="1" applyProtection="1">
      <alignment horizontal="center" vertical="center"/>
    </xf>
    <xf numFmtId="0" fontId="0" fillId="0" borderId="0" xfId="0" applyAlignment="1">
      <alignment horizontal="center" vertical="center"/>
    </xf>
    <xf numFmtId="37" fontId="4" fillId="4" borderId="0" xfId="26" applyNumberFormat="1" applyFont="1" applyFill="1" applyAlignment="1" applyProtection="1">
      <alignment vertical="center" wrapText="1"/>
    </xf>
    <xf numFmtId="0" fontId="5" fillId="4" borderId="16" xfId="26" applyFont="1" applyFill="1" applyBorder="1" applyAlignment="1" applyProtection="1">
      <alignment vertical="center" wrapText="1"/>
    </xf>
    <xf numFmtId="0" fontId="3" fillId="0" borderId="10" xfId="26" applyBorder="1" applyAlignment="1">
      <alignment vertical="center" wrapText="1"/>
    </xf>
    <xf numFmtId="0" fontId="3" fillId="0" borderId="18" xfId="26" applyBorder="1" applyAlignment="1">
      <alignment vertical="center" wrapText="1"/>
    </xf>
    <xf numFmtId="0" fontId="3" fillId="0" borderId="11" xfId="26" applyBorder="1" applyAlignment="1">
      <alignment vertical="center" wrapText="1"/>
    </xf>
    <xf numFmtId="0" fontId="3" fillId="0" borderId="12" xfId="26" applyBorder="1" applyAlignment="1">
      <alignment vertical="center" wrapText="1"/>
    </xf>
    <xf numFmtId="0" fontId="3" fillId="0" borderId="5" xfId="26" applyBorder="1" applyAlignment="1">
      <alignment vertical="center" wrapText="1"/>
    </xf>
    <xf numFmtId="0" fontId="4" fillId="7" borderId="9" xfId="0" applyFont="1" applyFill="1" applyBorder="1" applyAlignment="1">
      <alignment horizontal="center"/>
    </xf>
    <xf numFmtId="0" fontId="16" fillId="7" borderId="4" xfId="0" applyFont="1" applyFill="1" applyBorder="1" applyAlignment="1">
      <alignment horizontal="center"/>
    </xf>
    <xf numFmtId="0" fontId="13" fillId="4" borderId="0" xfId="0" applyFont="1" applyFill="1" applyBorder="1" applyAlignment="1"/>
    <xf numFmtId="0" fontId="17" fillId="0" borderId="0" xfId="0" applyFont="1" applyAlignment="1"/>
    <xf numFmtId="37" fontId="5" fillId="8" borderId="0" xfId="0" applyNumberFormat="1" applyFont="1" applyFill="1" applyBorder="1" applyAlignment="1" applyProtection="1">
      <alignment horizontal="left" wrapText="1"/>
    </xf>
    <xf numFmtId="0" fontId="0" fillId="0" borderId="0" xfId="0" applyAlignment="1">
      <alignment wrapText="1"/>
    </xf>
    <xf numFmtId="37" fontId="14" fillId="4" borderId="0" xfId="0" applyNumberFormat="1" applyFont="1" applyFill="1" applyAlignment="1" applyProtection="1">
      <alignment horizontal="center" vertical="justify"/>
    </xf>
    <xf numFmtId="0" fontId="15" fillId="0" borderId="0" xfId="0" applyFont="1" applyAlignment="1">
      <alignment horizontal="center" vertical="justify"/>
    </xf>
    <xf numFmtId="37" fontId="15" fillId="4" borderId="0" xfId="0" applyNumberFormat="1" applyFont="1" applyFill="1" applyBorder="1" applyAlignment="1" applyProtection="1">
      <alignment horizontal="center"/>
    </xf>
    <xf numFmtId="0" fontId="5" fillId="0" borderId="0" xfId="0" applyFont="1" applyAlignment="1">
      <alignment horizontal="center"/>
    </xf>
    <xf numFmtId="0" fontId="4" fillId="7" borderId="9" xfId="0" applyFont="1" applyFill="1" applyBorder="1" applyAlignment="1" applyProtection="1">
      <alignment horizontal="center"/>
    </xf>
    <xf numFmtId="0" fontId="0" fillId="0" borderId="3" xfId="0" applyBorder="1" applyAlignment="1">
      <alignment horizontal="center"/>
    </xf>
    <xf numFmtId="0" fontId="0" fillId="0" borderId="4" xfId="0" applyBorder="1" applyAlignment="1">
      <alignment horizontal="center"/>
    </xf>
    <xf numFmtId="0" fontId="5" fillId="6" borderId="17" xfId="0" applyFont="1" applyFill="1" applyBorder="1" applyAlignment="1" applyProtection="1">
      <alignment wrapText="1"/>
    </xf>
    <xf numFmtId="0" fontId="0" fillId="0" borderId="17"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5" fillId="0" borderId="0" xfId="0" applyFont="1" applyAlignment="1">
      <alignment horizontal="left" vertical="center"/>
    </xf>
    <xf numFmtId="0" fontId="4" fillId="4" borderId="0" xfId="0" applyFont="1" applyFill="1" applyAlignment="1" applyProtection="1">
      <alignment horizontal="center" vertical="center"/>
    </xf>
    <xf numFmtId="37" fontId="5" fillId="4" borderId="6" xfId="0" applyNumberFormat="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7" xfId="0" applyBorder="1" applyAlignment="1" applyProtection="1">
      <alignment horizontal="center" vertical="center" wrapText="1"/>
    </xf>
    <xf numFmtId="37" fontId="5" fillId="4" borderId="9" xfId="0" applyNumberFormat="1" applyFont="1" applyFill="1" applyBorder="1" applyAlignment="1" applyProtection="1">
      <alignment horizontal="center" vertical="center"/>
    </xf>
    <xf numFmtId="0" fontId="0" fillId="0" borderId="3"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vertical="center"/>
    </xf>
    <xf numFmtId="0" fontId="9" fillId="7"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9"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7" borderId="12" xfId="0" applyFont="1" applyFill="1" applyBorder="1" applyAlignment="1" applyProtection="1">
      <alignment horizontal="center" vertical="center"/>
    </xf>
    <xf numFmtId="0" fontId="0" fillId="0" borderId="5" xfId="0" applyBorder="1" applyAlignment="1">
      <alignment vertical="center"/>
    </xf>
    <xf numFmtId="0" fontId="9" fillId="6" borderId="9" xfId="26" applyFont="1" applyFill="1" applyBorder="1" applyAlignment="1">
      <alignment horizontal="left" vertical="center"/>
    </xf>
    <xf numFmtId="0" fontId="67" fillId="0" borderId="4" xfId="0" applyFont="1" applyBorder="1" applyAlignment="1">
      <alignment vertical="center"/>
    </xf>
    <xf numFmtId="37" fontId="5" fillId="4" borderId="0" xfId="0" applyNumberFormat="1" applyFont="1" applyFill="1" applyBorder="1" applyAlignment="1" applyProtection="1">
      <alignment horizontal="center" vertical="center"/>
    </xf>
    <xf numFmtId="3" fontId="5" fillId="5" borderId="9" xfId="0" applyNumberFormat="1" applyFont="1" applyFill="1" applyBorder="1" applyAlignment="1" applyProtection="1">
      <alignment horizontal="right" vertical="center"/>
      <protection locked="0"/>
    </xf>
    <xf numFmtId="0" fontId="0" fillId="5" borderId="4" xfId="0" applyFill="1" applyBorder="1" applyAlignment="1">
      <alignment horizontal="right" vertical="center"/>
    </xf>
    <xf numFmtId="0" fontId="0" fillId="0" borderId="4" xfId="0" applyBorder="1" applyAlignment="1" applyProtection="1">
      <alignment horizontal="right" vertical="center"/>
      <protection locked="0"/>
    </xf>
    <xf numFmtId="0" fontId="5" fillId="4" borderId="0" xfId="0" applyFont="1" applyFill="1" applyBorder="1" applyAlignment="1" applyProtection="1">
      <alignment vertical="center"/>
    </xf>
    <xf numFmtId="37" fontId="4" fillId="4" borderId="0" xfId="0" applyNumberFormat="1" applyFont="1" applyFill="1" applyAlignment="1" applyProtection="1">
      <alignment horizontal="center" vertical="center"/>
    </xf>
    <xf numFmtId="0" fontId="5" fillId="4" borderId="0" xfId="26" applyFont="1" applyFill="1" applyAlignment="1">
      <alignment horizontal="center" vertical="center"/>
    </xf>
    <xf numFmtId="0" fontId="5" fillId="4" borderId="0" xfId="26" applyFont="1" applyFill="1" applyAlignment="1" applyProtection="1">
      <alignment horizontal="center" vertical="center" wrapText="1"/>
    </xf>
    <xf numFmtId="0" fontId="5" fillId="4" borderId="0" xfId="26" applyFont="1" applyFill="1" applyAlignment="1" applyProtection="1">
      <alignment horizontal="center" vertical="center"/>
    </xf>
    <xf numFmtId="0" fontId="1" fillId="0" borderId="0" xfId="0" applyFont="1" applyAlignment="1">
      <alignment horizontal="center" vertical="center"/>
    </xf>
    <xf numFmtId="37" fontId="5" fillId="4" borderId="16" xfId="0" applyNumberFormat="1" applyFont="1" applyFill="1" applyBorder="1" applyAlignment="1" applyProtection="1">
      <alignment horizontal="center" vertical="center" wrapText="1"/>
    </xf>
    <xf numFmtId="0" fontId="2" fillId="0" borderId="7" xfId="0" applyFont="1" applyBorder="1" applyAlignment="1">
      <alignment horizontal="center" vertical="center" wrapText="1"/>
    </xf>
    <xf numFmtId="37" fontId="4" fillId="4" borderId="0" xfId="26" applyNumberFormat="1" applyFont="1" applyFill="1" applyAlignment="1" applyProtection="1">
      <alignment horizontal="center" vertical="center"/>
    </xf>
    <xf numFmtId="0" fontId="2" fillId="0" borderId="0" xfId="24" applyAlignment="1">
      <alignment horizontal="center" vertical="center"/>
    </xf>
    <xf numFmtId="37" fontId="5" fillId="4" borderId="3" xfId="0" applyNumberFormat="1" applyFont="1" applyFill="1" applyBorder="1" applyAlignment="1" applyProtection="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4" fillId="4" borderId="0" xfId="500" applyFont="1" applyFill="1" applyAlignment="1" applyProtection="1">
      <alignment horizontal="center" vertical="center"/>
    </xf>
    <xf numFmtId="0" fontId="15" fillId="4" borderId="0" xfId="486" applyFont="1" applyFill="1" applyAlignment="1">
      <alignment horizontal="center"/>
    </xf>
    <xf numFmtId="0" fontId="3" fillId="4" borderId="0" xfId="31" applyFill="1" applyAlignment="1">
      <alignment horizontal="center"/>
    </xf>
    <xf numFmtId="0" fontId="4" fillId="4" borderId="0" xfId="31" applyFont="1" applyFill="1" applyAlignment="1">
      <alignment horizontal="center" vertical="center"/>
    </xf>
    <xf numFmtId="0" fontId="15" fillId="4" borderId="0" xfId="31" applyFont="1" applyFill="1" applyAlignment="1">
      <alignment horizontal="center" vertical="center"/>
    </xf>
    <xf numFmtId="0" fontId="5" fillId="4" borderId="0" xfId="31" applyFont="1" applyFill="1" applyAlignment="1">
      <alignment vertical="center" wrapText="1"/>
    </xf>
    <xf numFmtId="3" fontId="5" fillId="4" borderId="17" xfId="50" applyNumberFormat="1" applyFont="1" applyFill="1" applyBorder="1" applyAlignment="1" applyProtection="1">
      <alignment horizontal="right" vertical="center"/>
    </xf>
    <xf numFmtId="0" fontId="3" fillId="0" borderId="10" xfId="50" applyBorder="1" applyAlignment="1">
      <alignment horizontal="right" vertical="center"/>
    </xf>
    <xf numFmtId="0" fontId="5" fillId="4" borderId="0" xfId="50" applyFont="1" applyFill="1" applyAlignment="1" applyProtection="1">
      <alignment horizontal="right" vertical="center"/>
    </xf>
    <xf numFmtId="0" fontId="5" fillId="0" borderId="11" xfId="50" applyFont="1" applyBorder="1" applyAlignment="1">
      <alignment horizontal="right" vertical="center"/>
    </xf>
    <xf numFmtId="0" fontId="5" fillId="4" borderId="0" xfId="13" applyNumberFormat="1" applyFont="1" applyFill="1" applyBorder="1" applyAlignment="1" applyProtection="1">
      <alignment horizontal="right" vertical="center"/>
    </xf>
    <xf numFmtId="0" fontId="5" fillId="0" borderId="0" xfId="13" applyFont="1" applyAlignment="1" applyProtection="1">
      <alignment horizontal="right" vertical="center"/>
    </xf>
    <xf numFmtId="0" fontId="37" fillId="4" borderId="16" xfId="0" applyFont="1" applyFill="1" applyBorder="1" applyAlignment="1" applyProtection="1">
      <alignment horizontal="center" vertical="center"/>
    </xf>
    <xf numFmtId="0" fontId="0" fillId="0" borderId="17" xfId="0" applyBorder="1" applyAlignment="1">
      <alignment vertical="center"/>
    </xf>
    <xf numFmtId="0" fontId="0" fillId="0" borderId="10" xfId="0" applyBorder="1" applyAlignment="1">
      <alignment vertical="center"/>
    </xf>
    <xf numFmtId="172" fontId="37" fillId="4" borderId="16" xfId="0" applyNumberFormat="1" applyFont="1" applyFill="1" applyBorder="1" applyAlignment="1" applyProtection="1">
      <alignment horizontal="center"/>
    </xf>
    <xf numFmtId="0" fontId="30" fillId="0" borderId="17" xfId="0" applyFont="1" applyBorder="1" applyAlignment="1"/>
    <xf numFmtId="0" fontId="30" fillId="0" borderId="10" xfId="0" applyFont="1" applyBorder="1" applyAlignment="1"/>
    <xf numFmtId="0" fontId="5" fillId="4" borderId="0" xfId="14" applyNumberFormat="1" applyFont="1" applyFill="1" applyBorder="1" applyAlignment="1" applyProtection="1">
      <alignment horizontal="right" vertical="center"/>
    </xf>
    <xf numFmtId="0" fontId="5" fillId="0" borderId="0" xfId="14" applyFont="1" applyAlignment="1" applyProtection="1">
      <alignment horizontal="right" vertical="center"/>
    </xf>
    <xf numFmtId="172" fontId="37" fillId="4" borderId="16" xfId="26" applyNumberFormat="1" applyFont="1" applyFill="1" applyBorder="1" applyAlignment="1" applyProtection="1">
      <alignment horizontal="center"/>
    </xf>
    <xf numFmtId="0" fontId="30" fillId="0" borderId="17" xfId="26" applyFont="1" applyBorder="1" applyAlignment="1"/>
    <xf numFmtId="0" fontId="30" fillId="0" borderId="10" xfId="26" applyFont="1" applyBorder="1" applyAlignment="1"/>
    <xf numFmtId="0" fontId="37" fillId="4" borderId="16" xfId="26" applyFont="1" applyFill="1" applyBorder="1" applyAlignment="1" applyProtection="1">
      <alignment horizontal="center" vertical="center"/>
    </xf>
    <xf numFmtId="0" fontId="3" fillId="0" borderId="17" xfId="26" applyBorder="1" applyAlignment="1">
      <alignment vertical="center"/>
    </xf>
    <xf numFmtId="0" fontId="3" fillId="0" borderId="10" xfId="26" applyBorder="1" applyAlignment="1">
      <alignment vertical="center"/>
    </xf>
    <xf numFmtId="0" fontId="3" fillId="0" borderId="17" xfId="26" applyBorder="1" applyAlignment="1">
      <alignment horizontal="center" vertical="center"/>
    </xf>
    <xf numFmtId="0" fontId="3" fillId="0" borderId="10" xfId="26" applyBorder="1" applyAlignment="1"/>
    <xf numFmtId="0" fontId="42" fillId="0" borderId="17" xfId="26" applyFont="1" applyBorder="1" applyAlignment="1">
      <alignment horizontal="center" vertical="center"/>
    </xf>
    <xf numFmtId="0" fontId="13" fillId="4" borderId="18" xfId="0" applyFont="1" applyFill="1" applyBorder="1" applyAlignment="1" applyProtection="1">
      <alignment vertical="center" wrapText="1"/>
    </xf>
    <xf numFmtId="0" fontId="0" fillId="0" borderId="18" xfId="0" applyBorder="1" applyAlignment="1">
      <alignment vertical="center" wrapText="1"/>
    </xf>
    <xf numFmtId="0" fontId="4" fillId="4" borderId="9" xfId="0" applyFont="1" applyFill="1" applyBorder="1" applyAlignment="1">
      <alignment vertical="center"/>
    </xf>
    <xf numFmtId="0" fontId="4" fillId="4" borderId="4" xfId="0" applyFont="1" applyFill="1" applyBorder="1" applyAlignment="1">
      <alignment vertical="center"/>
    </xf>
    <xf numFmtId="37" fontId="4" fillId="4" borderId="9" xfId="0" applyNumberFormat="1" applyFont="1" applyFill="1" applyBorder="1" applyAlignment="1">
      <alignment vertical="center"/>
    </xf>
    <xf numFmtId="37" fontId="5" fillId="4" borderId="17" xfId="0" applyNumberFormat="1" applyFont="1" applyFill="1" applyBorder="1" applyAlignment="1" applyProtection="1">
      <alignment horizontal="center" vertical="center"/>
    </xf>
    <xf numFmtId="0" fontId="0" fillId="0" borderId="17" xfId="0" applyBorder="1" applyAlignment="1">
      <alignment horizontal="center" vertical="center"/>
    </xf>
    <xf numFmtId="0" fontId="0" fillId="0" borderId="8" xfId="0" applyBorder="1" applyAlignment="1" applyProtection="1">
      <alignment horizontal="center" vertical="center"/>
    </xf>
    <xf numFmtId="0" fontId="0" fillId="0" borderId="7" xfId="0" applyBorder="1" applyAlignment="1" applyProtection="1">
      <alignment horizontal="center" vertical="center"/>
    </xf>
    <xf numFmtId="0" fontId="5" fillId="4" borderId="0" xfId="0" applyNumberFormat="1" applyFont="1" applyFill="1" applyAlignment="1" applyProtection="1">
      <alignment horizontal="center" vertical="center"/>
    </xf>
    <xf numFmtId="0" fontId="15" fillId="4" borderId="16" xfId="0" applyFont="1" applyFill="1" applyBorder="1" applyAlignment="1" applyProtection="1">
      <alignment horizontal="center"/>
    </xf>
    <xf numFmtId="0" fontId="0" fillId="0" borderId="17" xfId="0" applyBorder="1" applyAlignment="1" applyProtection="1">
      <alignment horizontal="center"/>
    </xf>
    <xf numFmtId="0" fontId="0" fillId="0" borderId="10" xfId="0" applyBorder="1" applyAlignment="1" applyProtection="1">
      <alignment horizontal="center"/>
    </xf>
    <xf numFmtId="0" fontId="15" fillId="4" borderId="17" xfId="0" applyFont="1" applyFill="1" applyBorder="1" applyAlignment="1" applyProtection="1">
      <alignment horizontal="center"/>
    </xf>
    <xf numFmtId="0" fontId="15" fillId="4" borderId="10" xfId="0" applyFont="1" applyFill="1" applyBorder="1" applyAlignment="1" applyProtection="1">
      <alignment horizontal="center"/>
    </xf>
    <xf numFmtId="0" fontId="0" fillId="0" borderId="17" xfId="0" applyBorder="1" applyAlignment="1">
      <alignment horizontal="center"/>
    </xf>
    <xf numFmtId="0" fontId="0" fillId="0" borderId="10" xfId="0" applyBorder="1" applyAlignment="1">
      <alignment horizontal="center"/>
    </xf>
    <xf numFmtId="37" fontId="5" fillId="4" borderId="2" xfId="0" applyNumberFormat="1" applyFont="1" applyFill="1" applyBorder="1" applyAlignment="1" applyProtection="1">
      <alignment horizontal="center" vertical="center"/>
      <protection locked="0"/>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69" fillId="14" borderId="24" xfId="371" applyFont="1" applyFill="1" applyBorder="1" applyAlignment="1">
      <alignment horizontal="left" vertical="top" wrapText="1"/>
    </xf>
    <xf numFmtId="0" fontId="69" fillId="14" borderId="25" xfId="371" applyFont="1" applyFill="1" applyBorder="1" applyAlignment="1">
      <alignment horizontal="left" vertical="top" wrapText="1"/>
    </xf>
    <xf numFmtId="0" fontId="69" fillId="14" borderId="26" xfId="371" applyFont="1" applyFill="1" applyBorder="1" applyAlignment="1">
      <alignment horizontal="left" vertical="top" wrapText="1"/>
    </xf>
    <xf numFmtId="0" fontId="70" fillId="14" borderId="32" xfId="371" applyFont="1" applyFill="1" applyBorder="1" applyAlignment="1">
      <alignment horizontal="center"/>
    </xf>
    <xf numFmtId="0" fontId="68" fillId="14" borderId="33" xfId="371" applyFill="1" applyBorder="1" applyAlignment="1">
      <alignment horizontal="center"/>
    </xf>
    <xf numFmtId="0" fontId="68" fillId="14" borderId="34" xfId="371" applyFill="1" applyBorder="1" applyAlignment="1">
      <alignment horizontal="center"/>
    </xf>
    <xf numFmtId="0" fontId="69" fillId="14" borderId="19" xfId="371" applyFont="1" applyFill="1" applyBorder="1" applyAlignment="1">
      <alignment horizontal="center"/>
    </xf>
    <xf numFmtId="0" fontId="69" fillId="14" borderId="20" xfId="371" applyFont="1" applyFill="1" applyBorder="1" applyAlignment="1">
      <alignment horizontal="center"/>
    </xf>
    <xf numFmtId="0" fontId="69" fillId="14" borderId="21" xfId="371" applyFont="1" applyFill="1" applyBorder="1" applyAlignment="1">
      <alignment horizontal="center"/>
    </xf>
    <xf numFmtId="0" fontId="33" fillId="4" borderId="27" xfId="0" applyFont="1" applyFill="1" applyBorder="1" applyAlignment="1">
      <alignment vertical="top" wrapText="1"/>
    </xf>
    <xf numFmtId="0" fontId="33" fillId="0" borderId="0" xfId="0" applyFont="1" applyAlignment="1">
      <alignment vertical="top" wrapText="1"/>
    </xf>
    <xf numFmtId="0" fontId="33" fillId="0" borderId="23" xfId="0" applyFont="1" applyBorder="1" applyAlignment="1">
      <alignment vertical="top" wrapText="1"/>
    </xf>
    <xf numFmtId="175" fontId="33" fillId="4" borderId="0" xfId="0" applyNumberFormat="1" applyFont="1" applyFill="1" applyBorder="1" applyAlignment="1">
      <alignment horizontal="center"/>
    </xf>
    <xf numFmtId="176" fontId="33" fillId="4" borderId="0" xfId="0" applyNumberFormat="1" applyFont="1" applyFill="1" applyBorder="1" applyAlignment="1">
      <alignment horizontal="center"/>
    </xf>
    <xf numFmtId="0" fontId="33" fillId="0" borderId="23" xfId="0" applyFont="1" applyBorder="1" applyAlignment="1">
      <alignment horizontal="center"/>
    </xf>
    <xf numFmtId="170" fontId="33" fillId="3" borderId="2" xfId="0" applyNumberFormat="1" applyFont="1" applyFill="1" applyBorder="1" applyAlignment="1" applyProtection="1">
      <alignment horizontal="center"/>
      <protection locked="0"/>
    </xf>
    <xf numFmtId="175" fontId="33" fillId="0" borderId="23" xfId="0" applyNumberFormat="1" applyFont="1" applyBorder="1" applyAlignment="1">
      <alignment horizontal="center"/>
    </xf>
    <xf numFmtId="0" fontId="33" fillId="4" borderId="17" xfId="0" applyFont="1" applyFill="1" applyBorder="1" applyAlignment="1">
      <alignment horizontal="center"/>
    </xf>
    <xf numFmtId="0" fontId="33" fillId="4" borderId="0" xfId="0" applyFont="1" applyFill="1" applyBorder="1" applyAlignment="1">
      <alignment wrapText="1"/>
    </xf>
    <xf numFmtId="0" fontId="33" fillId="0" borderId="0" xfId="0" applyFont="1" applyAlignment="1">
      <alignment wrapText="1"/>
    </xf>
    <xf numFmtId="175" fontId="33" fillId="3" borderId="2" xfId="0" applyNumberFormat="1" applyFont="1" applyFill="1" applyBorder="1" applyAlignment="1" applyProtection="1">
      <alignment horizontal="center"/>
      <protection locked="0"/>
    </xf>
    <xf numFmtId="5" fontId="33" fillId="4" borderId="2" xfId="0" applyNumberFormat="1" applyFont="1" applyFill="1" applyBorder="1" applyAlignment="1">
      <alignment horizontal="center"/>
    </xf>
    <xf numFmtId="0" fontId="50" fillId="4" borderId="20" xfId="0" applyFont="1" applyFill="1" applyBorder="1" applyAlignment="1">
      <alignment horizontal="center" vertical="center"/>
    </xf>
    <xf numFmtId="0" fontId="50" fillId="4" borderId="0" xfId="0" applyFont="1" applyFill="1" applyAlignment="1">
      <alignment horizontal="center" wrapText="1"/>
    </xf>
    <xf numFmtId="0" fontId="33" fillId="4" borderId="0" xfId="0" applyFont="1" applyFill="1" applyAlignment="1">
      <alignment wrapText="1"/>
    </xf>
    <xf numFmtId="0" fontId="33" fillId="4" borderId="0" xfId="0" applyFont="1" applyFill="1" applyBorder="1" applyAlignment="1">
      <alignment horizontal="center"/>
    </xf>
    <xf numFmtId="0" fontId="50" fillId="4" borderId="0" xfId="0" applyFont="1" applyFill="1" applyBorder="1" applyAlignment="1">
      <alignment horizontal="center" wrapText="1"/>
    </xf>
    <xf numFmtId="0" fontId="50" fillId="0" borderId="0" xfId="0" applyFont="1" applyAlignment="1">
      <alignment horizontal="center" wrapText="1"/>
    </xf>
    <xf numFmtId="0" fontId="33" fillId="0" borderId="20" xfId="0" applyFont="1" applyBorder="1" applyAlignment="1">
      <alignment horizontal="center" vertical="center"/>
    </xf>
    <xf numFmtId="0" fontId="33" fillId="0" borderId="0" xfId="0" applyFont="1" applyAlignment="1">
      <alignment horizontal="center" wrapText="1"/>
    </xf>
    <xf numFmtId="0" fontId="33" fillId="4" borderId="25" xfId="0" applyFont="1" applyFill="1" applyBorder="1" applyAlignment="1"/>
    <xf numFmtId="0" fontId="33" fillId="4" borderId="26" xfId="0" applyFont="1" applyFill="1" applyBorder="1" applyAlignment="1"/>
    <xf numFmtId="0" fontId="50" fillId="4" borderId="0" xfId="0" applyFont="1" applyFill="1" applyAlignment="1">
      <alignment horizontal="center"/>
    </xf>
    <xf numFmtId="0" fontId="33" fillId="4" borderId="0" xfId="0" applyFont="1" applyFill="1" applyBorder="1" applyAlignment="1"/>
    <xf numFmtId="0" fontId="33" fillId="0" borderId="0" xfId="0" applyFont="1" applyBorder="1" applyAlignment="1"/>
    <xf numFmtId="0" fontId="34" fillId="4" borderId="0" xfId="0" applyFont="1" applyFill="1" applyAlignment="1">
      <alignment horizontal="center" wrapText="1"/>
    </xf>
    <xf numFmtId="0" fontId="50" fillId="4" borderId="0" xfId="0" applyFont="1" applyFill="1" applyAlignment="1">
      <alignment horizontal="center" vertical="center"/>
    </xf>
    <xf numFmtId="0" fontId="50" fillId="0" borderId="0" xfId="0" applyFont="1" applyAlignment="1">
      <alignment horizontal="center" vertical="center"/>
    </xf>
    <xf numFmtId="175" fontId="33" fillId="4" borderId="0" xfId="0" applyNumberFormat="1" applyFont="1" applyFill="1" applyAlignment="1"/>
    <xf numFmtId="175" fontId="33" fillId="4" borderId="0" xfId="0" applyNumberFormat="1" applyFont="1" applyFill="1" applyAlignment="1">
      <alignment horizontal="center"/>
    </xf>
  </cellXfs>
  <cellStyles count="501">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2 2" xfId="6" xr:uid="{00000000-0005-0000-0000-000005000000}"/>
    <cellStyle name="Comma 3 2" xfId="7" xr:uid="{00000000-0005-0000-0000-000006000000}"/>
    <cellStyle name="Comma 3 3" xfId="8" xr:uid="{00000000-0005-0000-0000-000007000000}"/>
    <cellStyle name="Comma 4 2" xfId="9" xr:uid="{00000000-0005-0000-0000-000008000000}"/>
    <cellStyle name="Comma 6 2" xfId="10" xr:uid="{00000000-0005-0000-0000-000009000000}"/>
    <cellStyle name="Comma 7 2" xfId="11" xr:uid="{00000000-0005-0000-0000-00000A000000}"/>
    <cellStyle name="Comma 7 3" xfId="12" xr:uid="{00000000-0005-0000-0000-00000B000000}"/>
    <cellStyle name="Hyperlink" xfId="13" builtinId="8"/>
    <cellStyle name="Hyperlink 2" xfId="14" xr:uid="{00000000-0005-0000-0000-00000D000000}"/>
    <cellStyle name="Hyperlink 2 2" xfId="15" xr:uid="{00000000-0005-0000-0000-00000E000000}"/>
    <cellStyle name="Hyperlink 2 3" xfId="16" xr:uid="{00000000-0005-0000-0000-00000F000000}"/>
    <cellStyle name="Hyperlink 3 2" xfId="17" xr:uid="{00000000-0005-0000-0000-000010000000}"/>
    <cellStyle name="Hyperlink 3 3" xfId="18" xr:uid="{00000000-0005-0000-0000-000011000000}"/>
    <cellStyle name="Hyperlink 3 4" xfId="19" xr:uid="{00000000-0005-0000-0000-000012000000}"/>
    <cellStyle name="Hyperlink 4 2" xfId="20" xr:uid="{00000000-0005-0000-0000-000013000000}"/>
    <cellStyle name="Hyperlink 7 2" xfId="21" xr:uid="{00000000-0005-0000-0000-000014000000}"/>
    <cellStyle name="Hyperlink 7 3" xfId="22" xr:uid="{00000000-0005-0000-0000-000015000000}"/>
    <cellStyle name="Hyperlink 8 2" xfId="23" xr:uid="{00000000-0005-0000-0000-000016000000}"/>
    <cellStyle name="Normal" xfId="0" builtinId="0"/>
    <cellStyle name="Normal 10 2" xfId="24" xr:uid="{00000000-0005-0000-0000-000018000000}"/>
    <cellStyle name="Normal 10 2 2" xfId="25" xr:uid="{00000000-0005-0000-0000-000019000000}"/>
    <cellStyle name="Normal 10 2 2 2" xfId="26" xr:uid="{00000000-0005-0000-0000-00001A000000}"/>
    <cellStyle name="Normal 10 2 2 3" xfId="27" xr:uid="{00000000-0005-0000-0000-00001B000000}"/>
    <cellStyle name="Normal 10 2 3" xfId="28" xr:uid="{00000000-0005-0000-0000-00001C000000}"/>
    <cellStyle name="Normal 10 3" xfId="29" xr:uid="{00000000-0005-0000-0000-00001D000000}"/>
    <cellStyle name="Normal 10 4" xfId="30" xr:uid="{00000000-0005-0000-0000-00001E000000}"/>
    <cellStyle name="Normal 10 5" xfId="31" xr:uid="{00000000-0005-0000-0000-00001F000000}"/>
    <cellStyle name="Normal 10 5 2" xfId="32" xr:uid="{00000000-0005-0000-0000-000020000000}"/>
    <cellStyle name="Normal 10 5 3" xfId="33" xr:uid="{00000000-0005-0000-0000-000021000000}"/>
    <cellStyle name="Normal 10 6" xfId="34" xr:uid="{00000000-0005-0000-0000-000022000000}"/>
    <cellStyle name="Normal 10 7" xfId="35" xr:uid="{00000000-0005-0000-0000-000023000000}"/>
    <cellStyle name="Normal 11 2" xfId="36" xr:uid="{00000000-0005-0000-0000-000024000000}"/>
    <cellStyle name="Normal 11 2 2" xfId="37" xr:uid="{00000000-0005-0000-0000-000025000000}"/>
    <cellStyle name="Normal 11 2 3" xfId="38" xr:uid="{00000000-0005-0000-0000-000026000000}"/>
    <cellStyle name="Normal 11 3" xfId="39" xr:uid="{00000000-0005-0000-0000-000027000000}"/>
    <cellStyle name="Normal 11 4" xfId="40" xr:uid="{00000000-0005-0000-0000-000028000000}"/>
    <cellStyle name="Normal 11 5" xfId="41" xr:uid="{00000000-0005-0000-0000-000029000000}"/>
    <cellStyle name="Normal 11 5 2" xfId="42" xr:uid="{00000000-0005-0000-0000-00002A000000}"/>
    <cellStyle name="Normal 11 5 3" xfId="43" xr:uid="{00000000-0005-0000-0000-00002B000000}"/>
    <cellStyle name="Normal 11 6" xfId="44" xr:uid="{00000000-0005-0000-0000-00002C000000}"/>
    <cellStyle name="Normal 12" xfId="45" xr:uid="{00000000-0005-0000-0000-00002D000000}"/>
    <cellStyle name="Normal 12 10" xfId="46" xr:uid="{00000000-0005-0000-0000-00002E000000}"/>
    <cellStyle name="Normal 12 11" xfId="47" xr:uid="{00000000-0005-0000-0000-00002F000000}"/>
    <cellStyle name="Normal 12 12" xfId="48" xr:uid="{00000000-0005-0000-0000-000030000000}"/>
    <cellStyle name="Normal 12 13" xfId="49" xr:uid="{00000000-0005-0000-0000-000031000000}"/>
    <cellStyle name="Normal 12 2" xfId="50" xr:uid="{00000000-0005-0000-0000-000032000000}"/>
    <cellStyle name="Normal 12 2 2" xfId="51" xr:uid="{00000000-0005-0000-0000-000033000000}"/>
    <cellStyle name="Normal 12 3" xfId="52" xr:uid="{00000000-0005-0000-0000-000034000000}"/>
    <cellStyle name="Normal 12 4" xfId="53" xr:uid="{00000000-0005-0000-0000-000035000000}"/>
    <cellStyle name="Normal 12 5" xfId="54" xr:uid="{00000000-0005-0000-0000-000036000000}"/>
    <cellStyle name="Normal 12 6" xfId="55" xr:uid="{00000000-0005-0000-0000-000037000000}"/>
    <cellStyle name="Normal 12 7" xfId="56" xr:uid="{00000000-0005-0000-0000-000038000000}"/>
    <cellStyle name="Normal 12 8" xfId="57" xr:uid="{00000000-0005-0000-0000-000039000000}"/>
    <cellStyle name="Normal 12 9" xfId="58" xr:uid="{00000000-0005-0000-0000-00003A000000}"/>
    <cellStyle name="Normal 13 10" xfId="59" xr:uid="{00000000-0005-0000-0000-00003B000000}"/>
    <cellStyle name="Normal 13 11" xfId="60" xr:uid="{00000000-0005-0000-0000-00003C000000}"/>
    <cellStyle name="Normal 13 12" xfId="61" xr:uid="{00000000-0005-0000-0000-00003D000000}"/>
    <cellStyle name="Normal 13 13" xfId="62" xr:uid="{00000000-0005-0000-0000-00003E000000}"/>
    <cellStyle name="Normal 13 2" xfId="63" xr:uid="{00000000-0005-0000-0000-00003F000000}"/>
    <cellStyle name="Normal 13 2 2" xfId="64" xr:uid="{00000000-0005-0000-0000-000040000000}"/>
    <cellStyle name="Normal 13 3" xfId="65" xr:uid="{00000000-0005-0000-0000-000041000000}"/>
    <cellStyle name="Normal 13 4" xfId="66" xr:uid="{00000000-0005-0000-0000-000042000000}"/>
    <cellStyle name="Normal 13 5" xfId="67" xr:uid="{00000000-0005-0000-0000-000043000000}"/>
    <cellStyle name="Normal 13 6" xfId="68" xr:uid="{00000000-0005-0000-0000-000044000000}"/>
    <cellStyle name="Normal 13 7" xfId="69" xr:uid="{00000000-0005-0000-0000-000045000000}"/>
    <cellStyle name="Normal 13 8" xfId="70" xr:uid="{00000000-0005-0000-0000-000046000000}"/>
    <cellStyle name="Normal 13 9" xfId="71" xr:uid="{00000000-0005-0000-0000-000047000000}"/>
    <cellStyle name="Normal 14 2" xfId="72" xr:uid="{00000000-0005-0000-0000-000048000000}"/>
    <cellStyle name="Normal 14 3" xfId="73" xr:uid="{00000000-0005-0000-0000-000049000000}"/>
    <cellStyle name="Normal 14 4" xfId="74" xr:uid="{00000000-0005-0000-0000-00004A000000}"/>
    <cellStyle name="Normal 14 5" xfId="75" xr:uid="{00000000-0005-0000-0000-00004B000000}"/>
    <cellStyle name="Normal 14 6" xfId="76" xr:uid="{00000000-0005-0000-0000-00004C000000}"/>
    <cellStyle name="Normal 14 7" xfId="77" xr:uid="{00000000-0005-0000-0000-00004D000000}"/>
    <cellStyle name="Normal 15 2" xfId="78" xr:uid="{00000000-0005-0000-0000-00004E000000}"/>
    <cellStyle name="Normal 15 3" xfId="79" xr:uid="{00000000-0005-0000-0000-00004F000000}"/>
    <cellStyle name="Normal 15 4" xfId="80" xr:uid="{00000000-0005-0000-0000-000050000000}"/>
    <cellStyle name="Normal 15 5" xfId="81" xr:uid="{00000000-0005-0000-0000-000051000000}"/>
    <cellStyle name="Normal 16" xfId="82" xr:uid="{00000000-0005-0000-0000-000052000000}"/>
    <cellStyle name="Normal 16 2" xfId="83" xr:uid="{00000000-0005-0000-0000-000053000000}"/>
    <cellStyle name="Normal 16 3" xfId="84" xr:uid="{00000000-0005-0000-0000-000054000000}"/>
    <cellStyle name="Normal 16 4" xfId="85" xr:uid="{00000000-0005-0000-0000-000055000000}"/>
    <cellStyle name="Normal 16 5" xfId="86" xr:uid="{00000000-0005-0000-0000-000056000000}"/>
    <cellStyle name="Normal 16 6" xfId="87" xr:uid="{00000000-0005-0000-0000-000057000000}"/>
    <cellStyle name="Normal 17 2" xfId="88" xr:uid="{00000000-0005-0000-0000-000058000000}"/>
    <cellStyle name="Normal 17 3" xfId="89" xr:uid="{00000000-0005-0000-0000-000059000000}"/>
    <cellStyle name="Normal 17 4" xfId="90" xr:uid="{00000000-0005-0000-0000-00005A000000}"/>
    <cellStyle name="Normal 17 5" xfId="91" xr:uid="{00000000-0005-0000-0000-00005B000000}"/>
    <cellStyle name="Normal 18 2" xfId="92" xr:uid="{00000000-0005-0000-0000-00005C000000}"/>
    <cellStyle name="Normal 18 2 2" xfId="93" xr:uid="{00000000-0005-0000-0000-00005D000000}"/>
    <cellStyle name="Normal 18 2 3" xfId="94" xr:uid="{00000000-0005-0000-0000-00005E000000}"/>
    <cellStyle name="Normal 18 3" xfId="95" xr:uid="{00000000-0005-0000-0000-00005F000000}"/>
    <cellStyle name="Normal 18 4" xfId="96" xr:uid="{00000000-0005-0000-0000-000060000000}"/>
    <cellStyle name="Normal 18 5" xfId="97" xr:uid="{00000000-0005-0000-0000-000061000000}"/>
    <cellStyle name="Normal 18 6" xfId="98" xr:uid="{00000000-0005-0000-0000-000062000000}"/>
    <cellStyle name="Normal 18 7" xfId="99" xr:uid="{00000000-0005-0000-0000-000063000000}"/>
    <cellStyle name="Normal 18 8" xfId="100" xr:uid="{00000000-0005-0000-0000-000064000000}"/>
    <cellStyle name="Normal 18 9" xfId="101" xr:uid="{00000000-0005-0000-0000-000065000000}"/>
    <cellStyle name="Normal 19 2" xfId="102" xr:uid="{00000000-0005-0000-0000-000066000000}"/>
    <cellStyle name="Normal 19 2 2" xfId="103" xr:uid="{00000000-0005-0000-0000-000067000000}"/>
    <cellStyle name="Normal 19 2 3" xfId="104" xr:uid="{00000000-0005-0000-0000-000068000000}"/>
    <cellStyle name="Normal 19 3" xfId="105" xr:uid="{00000000-0005-0000-0000-000069000000}"/>
    <cellStyle name="Normal 19 4" xfId="106" xr:uid="{00000000-0005-0000-0000-00006A000000}"/>
    <cellStyle name="Normal 19 5" xfId="107" xr:uid="{00000000-0005-0000-0000-00006B000000}"/>
    <cellStyle name="Normal 19 6" xfId="108" xr:uid="{00000000-0005-0000-0000-00006C000000}"/>
    <cellStyle name="Normal 19 7" xfId="109" xr:uid="{00000000-0005-0000-0000-00006D000000}"/>
    <cellStyle name="Normal 19 8" xfId="110" xr:uid="{00000000-0005-0000-0000-00006E000000}"/>
    <cellStyle name="Normal 2 10" xfId="111" xr:uid="{00000000-0005-0000-0000-00006F000000}"/>
    <cellStyle name="Normal 2 10 10" xfId="112" xr:uid="{00000000-0005-0000-0000-000070000000}"/>
    <cellStyle name="Normal 2 10 11" xfId="113" xr:uid="{00000000-0005-0000-0000-000071000000}"/>
    <cellStyle name="Normal 2 10 11 2" xfId="114" xr:uid="{00000000-0005-0000-0000-000072000000}"/>
    <cellStyle name="Normal 2 10 11 2 2" xfId="115" xr:uid="{00000000-0005-0000-0000-000073000000}"/>
    <cellStyle name="Normal 2 10 11 2 2 2" xfId="116" xr:uid="{00000000-0005-0000-0000-000074000000}"/>
    <cellStyle name="Normal 2 10 11 2 2 3" xfId="117" xr:uid="{00000000-0005-0000-0000-000075000000}"/>
    <cellStyle name="Normal 2 10 11 3" xfId="118" xr:uid="{00000000-0005-0000-0000-000076000000}"/>
    <cellStyle name="Normal 2 10 11 4" xfId="119" xr:uid="{00000000-0005-0000-0000-000077000000}"/>
    <cellStyle name="Normal 2 10 11 5" xfId="120" xr:uid="{00000000-0005-0000-0000-000078000000}"/>
    <cellStyle name="Normal 2 10 12" xfId="121" xr:uid="{00000000-0005-0000-0000-000079000000}"/>
    <cellStyle name="Normal 2 10 2" xfId="122" xr:uid="{00000000-0005-0000-0000-00007A000000}"/>
    <cellStyle name="Normal 2 10 2 2" xfId="123" xr:uid="{00000000-0005-0000-0000-00007B000000}"/>
    <cellStyle name="Normal 2 10 3" xfId="124" xr:uid="{00000000-0005-0000-0000-00007C000000}"/>
    <cellStyle name="Normal 2 10 3 2" xfId="125" xr:uid="{00000000-0005-0000-0000-00007D000000}"/>
    <cellStyle name="Normal 2 10 4" xfId="126" xr:uid="{00000000-0005-0000-0000-00007E000000}"/>
    <cellStyle name="Normal 2 10 4 2" xfId="127" xr:uid="{00000000-0005-0000-0000-00007F000000}"/>
    <cellStyle name="Normal 2 10 5" xfId="128" xr:uid="{00000000-0005-0000-0000-000080000000}"/>
    <cellStyle name="Normal 2 10 5 2" xfId="129" xr:uid="{00000000-0005-0000-0000-000081000000}"/>
    <cellStyle name="Normal 2 10 6" xfId="130" xr:uid="{00000000-0005-0000-0000-000082000000}"/>
    <cellStyle name="Normal 2 10 6 2" xfId="131" xr:uid="{00000000-0005-0000-0000-000083000000}"/>
    <cellStyle name="Normal 2 10 7" xfId="132" xr:uid="{00000000-0005-0000-0000-000084000000}"/>
    <cellStyle name="Normal 2 10 7 2" xfId="133" xr:uid="{00000000-0005-0000-0000-000085000000}"/>
    <cellStyle name="Normal 2 10 8" xfId="134" xr:uid="{00000000-0005-0000-0000-000086000000}"/>
    <cellStyle name="Normal 2 10 8 2" xfId="135" xr:uid="{00000000-0005-0000-0000-000087000000}"/>
    <cellStyle name="Normal 2 10 9" xfId="136" xr:uid="{00000000-0005-0000-0000-000088000000}"/>
    <cellStyle name="Normal 2 11" xfId="137" xr:uid="{00000000-0005-0000-0000-000089000000}"/>
    <cellStyle name="Normal 2 11 10" xfId="138" xr:uid="{00000000-0005-0000-0000-00008A000000}"/>
    <cellStyle name="Normal 2 11 11" xfId="139" xr:uid="{00000000-0005-0000-0000-00008B000000}"/>
    <cellStyle name="Normal 2 11 2" xfId="140" xr:uid="{00000000-0005-0000-0000-00008C000000}"/>
    <cellStyle name="Normal 2 11 2 2" xfId="141" xr:uid="{00000000-0005-0000-0000-00008D000000}"/>
    <cellStyle name="Normal 2 11 3" xfId="142" xr:uid="{00000000-0005-0000-0000-00008E000000}"/>
    <cellStyle name="Normal 2 11 3 2" xfId="143" xr:uid="{00000000-0005-0000-0000-00008F000000}"/>
    <cellStyle name="Normal 2 11 4" xfId="144" xr:uid="{00000000-0005-0000-0000-000090000000}"/>
    <cellStyle name="Normal 2 11 4 2" xfId="145" xr:uid="{00000000-0005-0000-0000-000091000000}"/>
    <cellStyle name="Normal 2 11 5" xfId="146" xr:uid="{00000000-0005-0000-0000-000092000000}"/>
    <cellStyle name="Normal 2 11 5 2" xfId="147" xr:uid="{00000000-0005-0000-0000-000093000000}"/>
    <cellStyle name="Normal 2 11 6" xfId="148" xr:uid="{00000000-0005-0000-0000-000094000000}"/>
    <cellStyle name="Normal 2 11 6 2" xfId="149" xr:uid="{00000000-0005-0000-0000-000095000000}"/>
    <cellStyle name="Normal 2 11 7" xfId="150" xr:uid="{00000000-0005-0000-0000-000096000000}"/>
    <cellStyle name="Normal 2 11 7 2" xfId="151" xr:uid="{00000000-0005-0000-0000-000097000000}"/>
    <cellStyle name="Normal 2 11 8" xfId="152" xr:uid="{00000000-0005-0000-0000-000098000000}"/>
    <cellStyle name="Normal 2 11 8 2" xfId="153" xr:uid="{00000000-0005-0000-0000-000099000000}"/>
    <cellStyle name="Normal 2 11 9" xfId="154" xr:uid="{00000000-0005-0000-0000-00009A000000}"/>
    <cellStyle name="Normal 2 12" xfId="155" xr:uid="{00000000-0005-0000-0000-00009B000000}"/>
    <cellStyle name="Normal 2 13" xfId="156" xr:uid="{00000000-0005-0000-0000-00009C000000}"/>
    <cellStyle name="Normal 2 14" xfId="157" xr:uid="{00000000-0005-0000-0000-00009D000000}"/>
    <cellStyle name="Normal 2 15" xfId="158" xr:uid="{00000000-0005-0000-0000-00009E000000}"/>
    <cellStyle name="Normal 2 16" xfId="159" xr:uid="{00000000-0005-0000-0000-00009F000000}"/>
    <cellStyle name="Normal 2 17" xfId="160" xr:uid="{00000000-0005-0000-0000-0000A0000000}"/>
    <cellStyle name="Normal 2 17 2" xfId="161" xr:uid="{00000000-0005-0000-0000-0000A1000000}"/>
    <cellStyle name="Normal 2 17 3" xfId="162" xr:uid="{00000000-0005-0000-0000-0000A2000000}"/>
    <cellStyle name="Normal 2 17 4" xfId="163" xr:uid="{00000000-0005-0000-0000-0000A3000000}"/>
    <cellStyle name="Normal 2 2" xfId="164" xr:uid="{00000000-0005-0000-0000-0000A4000000}"/>
    <cellStyle name="Normal 2 2 10" xfId="165" xr:uid="{00000000-0005-0000-0000-0000A5000000}"/>
    <cellStyle name="Normal 2 2 10 2" xfId="166" xr:uid="{00000000-0005-0000-0000-0000A6000000}"/>
    <cellStyle name="Normal 2 2 11" xfId="167" xr:uid="{00000000-0005-0000-0000-0000A7000000}"/>
    <cellStyle name="Normal 2 2 11 2" xfId="168" xr:uid="{00000000-0005-0000-0000-0000A8000000}"/>
    <cellStyle name="Normal 2 2 12" xfId="169" xr:uid="{00000000-0005-0000-0000-0000A9000000}"/>
    <cellStyle name="Normal 2 2 12 2" xfId="170" xr:uid="{00000000-0005-0000-0000-0000AA000000}"/>
    <cellStyle name="Normal 2 2 12 2 2" xfId="171" xr:uid="{00000000-0005-0000-0000-0000AB000000}"/>
    <cellStyle name="Normal 2 2 12 2 3" xfId="172" xr:uid="{00000000-0005-0000-0000-0000AC000000}"/>
    <cellStyle name="Normal 2 2 12 2 4" xfId="173" xr:uid="{00000000-0005-0000-0000-0000AD000000}"/>
    <cellStyle name="Normal 2 2 12 3" xfId="174" xr:uid="{00000000-0005-0000-0000-0000AE000000}"/>
    <cellStyle name="Normal 2 2 12 4" xfId="175" xr:uid="{00000000-0005-0000-0000-0000AF000000}"/>
    <cellStyle name="Normal 2 2 13" xfId="176" xr:uid="{00000000-0005-0000-0000-0000B0000000}"/>
    <cellStyle name="Normal 2 2 13 2" xfId="177" xr:uid="{00000000-0005-0000-0000-0000B1000000}"/>
    <cellStyle name="Normal 2 2 13 2 2" xfId="178" xr:uid="{00000000-0005-0000-0000-0000B2000000}"/>
    <cellStyle name="Normal 2 2 13 2 3" xfId="179" xr:uid="{00000000-0005-0000-0000-0000B3000000}"/>
    <cellStyle name="Normal 2 2 13 2 4" xfId="180" xr:uid="{00000000-0005-0000-0000-0000B4000000}"/>
    <cellStyle name="Normal 2 2 13 3" xfId="181" xr:uid="{00000000-0005-0000-0000-0000B5000000}"/>
    <cellStyle name="Normal 2 2 13 4" xfId="182" xr:uid="{00000000-0005-0000-0000-0000B6000000}"/>
    <cellStyle name="Normal 2 2 14" xfId="183" xr:uid="{00000000-0005-0000-0000-0000B7000000}"/>
    <cellStyle name="Normal 2 2 14 2" xfId="184" xr:uid="{00000000-0005-0000-0000-0000B8000000}"/>
    <cellStyle name="Normal 2 2 15" xfId="185" xr:uid="{00000000-0005-0000-0000-0000B9000000}"/>
    <cellStyle name="Normal 2 2 15 2" xfId="186" xr:uid="{00000000-0005-0000-0000-0000BA000000}"/>
    <cellStyle name="Normal 2 2 16" xfId="187" xr:uid="{00000000-0005-0000-0000-0000BB000000}"/>
    <cellStyle name="Normal 2 2 16 2" xfId="188" xr:uid="{00000000-0005-0000-0000-0000BC000000}"/>
    <cellStyle name="Normal 2 2 16 3" xfId="189" xr:uid="{00000000-0005-0000-0000-0000BD000000}"/>
    <cellStyle name="Normal 2 2 17" xfId="190" xr:uid="{00000000-0005-0000-0000-0000BE000000}"/>
    <cellStyle name="Normal 2 2 18" xfId="191" xr:uid="{00000000-0005-0000-0000-0000BF000000}"/>
    <cellStyle name="Normal 2 2 19" xfId="192" xr:uid="{00000000-0005-0000-0000-0000C0000000}"/>
    <cellStyle name="Normal 2 2 2" xfId="193" xr:uid="{00000000-0005-0000-0000-0000C1000000}"/>
    <cellStyle name="Normal 2 2 2 2" xfId="194" xr:uid="{00000000-0005-0000-0000-0000C2000000}"/>
    <cellStyle name="Normal 2 2 2 2 2" xfId="195" xr:uid="{00000000-0005-0000-0000-0000C3000000}"/>
    <cellStyle name="Normal 2 2 2 2 3" xfId="196" xr:uid="{00000000-0005-0000-0000-0000C4000000}"/>
    <cellStyle name="Normal 2 2 2 2 3 2" xfId="197" xr:uid="{00000000-0005-0000-0000-0000C5000000}"/>
    <cellStyle name="Normal 2 2 2 2 3 3" xfId="198" xr:uid="{00000000-0005-0000-0000-0000C6000000}"/>
    <cellStyle name="Normal 2 2 2 3" xfId="199" xr:uid="{00000000-0005-0000-0000-0000C7000000}"/>
    <cellStyle name="Normal 2 2 2 3 2" xfId="200" xr:uid="{00000000-0005-0000-0000-0000C8000000}"/>
    <cellStyle name="Normal 2 2 2 3 3" xfId="201" xr:uid="{00000000-0005-0000-0000-0000C9000000}"/>
    <cellStyle name="Normal 2 2 2 3 4" xfId="202" xr:uid="{00000000-0005-0000-0000-0000CA000000}"/>
    <cellStyle name="Normal 2 2 2 4" xfId="203" xr:uid="{00000000-0005-0000-0000-0000CB000000}"/>
    <cellStyle name="Normal 2 2 2 4 2" xfId="204" xr:uid="{00000000-0005-0000-0000-0000CC000000}"/>
    <cellStyle name="Normal 2 2 2 5" xfId="205" xr:uid="{00000000-0005-0000-0000-0000CD000000}"/>
    <cellStyle name="Normal 2 2 2 5 2" xfId="206" xr:uid="{00000000-0005-0000-0000-0000CE000000}"/>
    <cellStyle name="Normal 2 2 2 5 3" xfId="207" xr:uid="{00000000-0005-0000-0000-0000CF000000}"/>
    <cellStyle name="Normal 2 2 2 5 4" xfId="208" xr:uid="{00000000-0005-0000-0000-0000D0000000}"/>
    <cellStyle name="Normal 2 2 2 6" xfId="209" xr:uid="{00000000-0005-0000-0000-0000D1000000}"/>
    <cellStyle name="Normal 2 2 2 6 2" xfId="210" xr:uid="{00000000-0005-0000-0000-0000D2000000}"/>
    <cellStyle name="Normal 2 2 2 7" xfId="211" xr:uid="{00000000-0005-0000-0000-0000D3000000}"/>
    <cellStyle name="Normal 2 2 2 7 2" xfId="212" xr:uid="{00000000-0005-0000-0000-0000D4000000}"/>
    <cellStyle name="Normal 2 2 2 7 3" xfId="213" xr:uid="{00000000-0005-0000-0000-0000D5000000}"/>
    <cellStyle name="Normal 2 2 2 8" xfId="214" xr:uid="{00000000-0005-0000-0000-0000D6000000}"/>
    <cellStyle name="Normal 2 2 20" xfId="215" xr:uid="{00000000-0005-0000-0000-0000D7000000}"/>
    <cellStyle name="Normal 2 2 21" xfId="216" xr:uid="{00000000-0005-0000-0000-0000D8000000}"/>
    <cellStyle name="Normal 2 2 22" xfId="217" xr:uid="{00000000-0005-0000-0000-0000D9000000}"/>
    <cellStyle name="Normal 2 2 3" xfId="218" xr:uid="{00000000-0005-0000-0000-0000DA000000}"/>
    <cellStyle name="Normal 2 2 3 2" xfId="219" xr:uid="{00000000-0005-0000-0000-0000DB000000}"/>
    <cellStyle name="Normal 2 2 4" xfId="220" xr:uid="{00000000-0005-0000-0000-0000DC000000}"/>
    <cellStyle name="Normal 2 2 4 2" xfId="221" xr:uid="{00000000-0005-0000-0000-0000DD000000}"/>
    <cellStyle name="Normal 2 2 5" xfId="222" xr:uid="{00000000-0005-0000-0000-0000DE000000}"/>
    <cellStyle name="Normal 2 2 5 2" xfId="223" xr:uid="{00000000-0005-0000-0000-0000DF000000}"/>
    <cellStyle name="Normal 2 2 6" xfId="224" xr:uid="{00000000-0005-0000-0000-0000E0000000}"/>
    <cellStyle name="Normal 2 2 6 2" xfId="225" xr:uid="{00000000-0005-0000-0000-0000E1000000}"/>
    <cellStyle name="Normal 2 2 7" xfId="226" xr:uid="{00000000-0005-0000-0000-0000E2000000}"/>
    <cellStyle name="Normal 2 2 7 2" xfId="227" xr:uid="{00000000-0005-0000-0000-0000E3000000}"/>
    <cellStyle name="Normal 2 2 8" xfId="228" xr:uid="{00000000-0005-0000-0000-0000E4000000}"/>
    <cellStyle name="Normal 2 2 8 2" xfId="229" xr:uid="{00000000-0005-0000-0000-0000E5000000}"/>
    <cellStyle name="Normal 2 2 9" xfId="230" xr:uid="{00000000-0005-0000-0000-0000E6000000}"/>
    <cellStyle name="Normal 2 2 9 2" xfId="231" xr:uid="{00000000-0005-0000-0000-0000E7000000}"/>
    <cellStyle name="Normal 2 3" xfId="232" xr:uid="{00000000-0005-0000-0000-0000E8000000}"/>
    <cellStyle name="Normal 2 3 10" xfId="233" xr:uid="{00000000-0005-0000-0000-0000E9000000}"/>
    <cellStyle name="Normal 2 3 11" xfId="234" xr:uid="{00000000-0005-0000-0000-0000EA000000}"/>
    <cellStyle name="Normal 2 3 12" xfId="235" xr:uid="{00000000-0005-0000-0000-0000EB000000}"/>
    <cellStyle name="Normal 2 3 13" xfId="236" xr:uid="{00000000-0005-0000-0000-0000EC000000}"/>
    <cellStyle name="Normal 2 3 14" xfId="237" xr:uid="{00000000-0005-0000-0000-0000ED000000}"/>
    <cellStyle name="Normal 2 3 15" xfId="238" xr:uid="{00000000-0005-0000-0000-0000EE000000}"/>
    <cellStyle name="Normal 2 3 2" xfId="239" xr:uid="{00000000-0005-0000-0000-0000EF000000}"/>
    <cellStyle name="Normal 2 3 2 2" xfId="240" xr:uid="{00000000-0005-0000-0000-0000F0000000}"/>
    <cellStyle name="Normal 2 3 2 2 2" xfId="241" xr:uid="{00000000-0005-0000-0000-0000F1000000}"/>
    <cellStyle name="Normal 2 3 2 2 3" xfId="242" xr:uid="{00000000-0005-0000-0000-0000F2000000}"/>
    <cellStyle name="Normal 2 3 2 3" xfId="243" xr:uid="{00000000-0005-0000-0000-0000F3000000}"/>
    <cellStyle name="Normal 2 3 2 4" xfId="244" xr:uid="{00000000-0005-0000-0000-0000F4000000}"/>
    <cellStyle name="Normal 2 3 2 5" xfId="245" xr:uid="{00000000-0005-0000-0000-0000F5000000}"/>
    <cellStyle name="Normal 2 3 3" xfId="246" xr:uid="{00000000-0005-0000-0000-0000F6000000}"/>
    <cellStyle name="Normal 2 3 3 2" xfId="247" xr:uid="{00000000-0005-0000-0000-0000F7000000}"/>
    <cellStyle name="Normal 2 3 3 3" xfId="248" xr:uid="{00000000-0005-0000-0000-0000F8000000}"/>
    <cellStyle name="Normal 2 3 4" xfId="249" xr:uid="{00000000-0005-0000-0000-0000F9000000}"/>
    <cellStyle name="Normal 2 3 5" xfId="250" xr:uid="{00000000-0005-0000-0000-0000FA000000}"/>
    <cellStyle name="Normal 2 3 6" xfId="251" xr:uid="{00000000-0005-0000-0000-0000FB000000}"/>
    <cellStyle name="Normal 2 3 7" xfId="252" xr:uid="{00000000-0005-0000-0000-0000FC000000}"/>
    <cellStyle name="Normal 2 3 8" xfId="253" xr:uid="{00000000-0005-0000-0000-0000FD000000}"/>
    <cellStyle name="Normal 2 3 9" xfId="254" xr:uid="{00000000-0005-0000-0000-0000FE000000}"/>
    <cellStyle name="Normal 2 4" xfId="255" xr:uid="{00000000-0005-0000-0000-0000FF000000}"/>
    <cellStyle name="Normal 2 4 10" xfId="256" xr:uid="{00000000-0005-0000-0000-000000010000}"/>
    <cellStyle name="Normal 2 4 11" xfId="257" xr:uid="{00000000-0005-0000-0000-000001010000}"/>
    <cellStyle name="Normal 2 4 12" xfId="258" xr:uid="{00000000-0005-0000-0000-000002010000}"/>
    <cellStyle name="Normal 2 4 12 2" xfId="259" xr:uid="{00000000-0005-0000-0000-000003010000}"/>
    <cellStyle name="Normal 2 4 12 3" xfId="260" xr:uid="{00000000-0005-0000-0000-000004010000}"/>
    <cellStyle name="Normal 2 4 13" xfId="261" xr:uid="{00000000-0005-0000-0000-000005010000}"/>
    <cellStyle name="Normal 2 4 13 2" xfId="262" xr:uid="{00000000-0005-0000-0000-000006010000}"/>
    <cellStyle name="Normal 2 4 13 3" xfId="263" xr:uid="{00000000-0005-0000-0000-000007010000}"/>
    <cellStyle name="Normal 2 4 2" xfId="264" xr:uid="{00000000-0005-0000-0000-000008010000}"/>
    <cellStyle name="Normal 2 4 2 2" xfId="265" xr:uid="{00000000-0005-0000-0000-000009010000}"/>
    <cellStyle name="Normal 2 4 2 2 2" xfId="266" xr:uid="{00000000-0005-0000-0000-00000A010000}"/>
    <cellStyle name="Normal 2 4 2 2 3" xfId="267" xr:uid="{00000000-0005-0000-0000-00000B010000}"/>
    <cellStyle name="Normal 2 4 2 3" xfId="268" xr:uid="{00000000-0005-0000-0000-00000C010000}"/>
    <cellStyle name="Normal 2 4 2 4" xfId="269" xr:uid="{00000000-0005-0000-0000-00000D010000}"/>
    <cellStyle name="Normal 2 4 2 5" xfId="270" xr:uid="{00000000-0005-0000-0000-00000E010000}"/>
    <cellStyle name="Normal 2 4 3" xfId="271" xr:uid="{00000000-0005-0000-0000-00000F010000}"/>
    <cellStyle name="Normal 2 4 3 2" xfId="272" xr:uid="{00000000-0005-0000-0000-000010010000}"/>
    <cellStyle name="Normal 2 4 3 3" xfId="273" xr:uid="{00000000-0005-0000-0000-000011010000}"/>
    <cellStyle name="Normal 2 4 4" xfId="274" xr:uid="{00000000-0005-0000-0000-000012010000}"/>
    <cellStyle name="Normal 2 4 5" xfId="275" xr:uid="{00000000-0005-0000-0000-000013010000}"/>
    <cellStyle name="Normal 2 4 6" xfId="276" xr:uid="{00000000-0005-0000-0000-000014010000}"/>
    <cellStyle name="Normal 2 4 7" xfId="277" xr:uid="{00000000-0005-0000-0000-000015010000}"/>
    <cellStyle name="Normal 2 4 8" xfId="278" xr:uid="{00000000-0005-0000-0000-000016010000}"/>
    <cellStyle name="Normal 2 4 9" xfId="279" xr:uid="{00000000-0005-0000-0000-000017010000}"/>
    <cellStyle name="Normal 2 5" xfId="280" xr:uid="{00000000-0005-0000-0000-000018010000}"/>
    <cellStyle name="Normal 2 5 10" xfId="281" xr:uid="{00000000-0005-0000-0000-000019010000}"/>
    <cellStyle name="Normal 2 5 11" xfId="282" xr:uid="{00000000-0005-0000-0000-00001A010000}"/>
    <cellStyle name="Normal 2 5 12" xfId="283" xr:uid="{00000000-0005-0000-0000-00001B010000}"/>
    <cellStyle name="Normal 2 5 12 2" xfId="284" xr:uid="{00000000-0005-0000-0000-00001C010000}"/>
    <cellStyle name="Normal 2 5 12 3" xfId="285" xr:uid="{00000000-0005-0000-0000-00001D010000}"/>
    <cellStyle name="Normal 2 5 2" xfId="286" xr:uid="{00000000-0005-0000-0000-00001E010000}"/>
    <cellStyle name="Normal 2 5 2 2" xfId="287" xr:uid="{00000000-0005-0000-0000-00001F010000}"/>
    <cellStyle name="Normal 2 5 3" xfId="288" xr:uid="{00000000-0005-0000-0000-000020010000}"/>
    <cellStyle name="Normal 2 5 3 2" xfId="289" xr:uid="{00000000-0005-0000-0000-000021010000}"/>
    <cellStyle name="Normal 2 5 4" xfId="290" xr:uid="{00000000-0005-0000-0000-000022010000}"/>
    <cellStyle name="Normal 2 5 5" xfId="291" xr:uid="{00000000-0005-0000-0000-000023010000}"/>
    <cellStyle name="Normal 2 5 6" xfId="292" xr:uid="{00000000-0005-0000-0000-000024010000}"/>
    <cellStyle name="Normal 2 5 7" xfId="293" xr:uid="{00000000-0005-0000-0000-000025010000}"/>
    <cellStyle name="Normal 2 5 8" xfId="294" xr:uid="{00000000-0005-0000-0000-000026010000}"/>
    <cellStyle name="Normal 2 5 9" xfId="295" xr:uid="{00000000-0005-0000-0000-000027010000}"/>
    <cellStyle name="Normal 2 6" xfId="296" xr:uid="{00000000-0005-0000-0000-000028010000}"/>
    <cellStyle name="Normal 2 6 10" xfId="297" xr:uid="{00000000-0005-0000-0000-000029010000}"/>
    <cellStyle name="Normal 2 6 11" xfId="298" xr:uid="{00000000-0005-0000-0000-00002A010000}"/>
    <cellStyle name="Normal 2 6 12" xfId="299" xr:uid="{00000000-0005-0000-0000-00002B010000}"/>
    <cellStyle name="Normal 2 6 2" xfId="300" xr:uid="{00000000-0005-0000-0000-00002C010000}"/>
    <cellStyle name="Normal 2 6 2 2" xfId="301" xr:uid="{00000000-0005-0000-0000-00002D010000}"/>
    <cellStyle name="Normal 2 6 3" xfId="302" xr:uid="{00000000-0005-0000-0000-00002E010000}"/>
    <cellStyle name="Normal 2 6 3 2" xfId="303" xr:uid="{00000000-0005-0000-0000-00002F010000}"/>
    <cellStyle name="Normal 2 6 4" xfId="304" xr:uid="{00000000-0005-0000-0000-000030010000}"/>
    <cellStyle name="Normal 2 6 5" xfId="305" xr:uid="{00000000-0005-0000-0000-000031010000}"/>
    <cellStyle name="Normal 2 6 6" xfId="306" xr:uid="{00000000-0005-0000-0000-000032010000}"/>
    <cellStyle name="Normal 2 6 7" xfId="307" xr:uid="{00000000-0005-0000-0000-000033010000}"/>
    <cellStyle name="Normal 2 6 8" xfId="308" xr:uid="{00000000-0005-0000-0000-000034010000}"/>
    <cellStyle name="Normal 2 6 9" xfId="309" xr:uid="{00000000-0005-0000-0000-000035010000}"/>
    <cellStyle name="Normal 2 7" xfId="310" xr:uid="{00000000-0005-0000-0000-000036010000}"/>
    <cellStyle name="Normal 2 7 10" xfId="311" xr:uid="{00000000-0005-0000-0000-000037010000}"/>
    <cellStyle name="Normal 2 7 11" xfId="312" xr:uid="{00000000-0005-0000-0000-000038010000}"/>
    <cellStyle name="Normal 2 7 11 2" xfId="313" xr:uid="{00000000-0005-0000-0000-000039010000}"/>
    <cellStyle name="Normal 2 7 2" xfId="314" xr:uid="{00000000-0005-0000-0000-00003A010000}"/>
    <cellStyle name="Normal 2 7 2 2" xfId="315" xr:uid="{00000000-0005-0000-0000-00003B010000}"/>
    <cellStyle name="Normal 2 7 2 3" xfId="316" xr:uid="{00000000-0005-0000-0000-00003C010000}"/>
    <cellStyle name="Normal 2 7 3" xfId="317" xr:uid="{00000000-0005-0000-0000-00003D010000}"/>
    <cellStyle name="Normal 2 7 3 2" xfId="318" xr:uid="{00000000-0005-0000-0000-00003E010000}"/>
    <cellStyle name="Normal 2 7 4" xfId="319" xr:uid="{00000000-0005-0000-0000-00003F010000}"/>
    <cellStyle name="Normal 2 7 4 2" xfId="320" xr:uid="{00000000-0005-0000-0000-000040010000}"/>
    <cellStyle name="Normal 2 7 5" xfId="321" xr:uid="{00000000-0005-0000-0000-000041010000}"/>
    <cellStyle name="Normal 2 7 5 2" xfId="322" xr:uid="{00000000-0005-0000-0000-000042010000}"/>
    <cellStyle name="Normal 2 7 6" xfId="323" xr:uid="{00000000-0005-0000-0000-000043010000}"/>
    <cellStyle name="Normal 2 7 6 2" xfId="324" xr:uid="{00000000-0005-0000-0000-000044010000}"/>
    <cellStyle name="Normal 2 7 7" xfId="325" xr:uid="{00000000-0005-0000-0000-000045010000}"/>
    <cellStyle name="Normal 2 7 7 2" xfId="326" xr:uid="{00000000-0005-0000-0000-000046010000}"/>
    <cellStyle name="Normal 2 7 8" xfId="327" xr:uid="{00000000-0005-0000-0000-000047010000}"/>
    <cellStyle name="Normal 2 7 8 2" xfId="328" xr:uid="{00000000-0005-0000-0000-000048010000}"/>
    <cellStyle name="Normal 2 7 9" xfId="329" xr:uid="{00000000-0005-0000-0000-000049010000}"/>
    <cellStyle name="Normal 2 8" xfId="330" xr:uid="{00000000-0005-0000-0000-00004A010000}"/>
    <cellStyle name="Normal 2 8 10" xfId="331" xr:uid="{00000000-0005-0000-0000-00004B010000}"/>
    <cellStyle name="Normal 2 8 11" xfId="332" xr:uid="{00000000-0005-0000-0000-00004C010000}"/>
    <cellStyle name="Normal 2 8 2" xfId="333" xr:uid="{00000000-0005-0000-0000-00004D010000}"/>
    <cellStyle name="Normal 2 8 2 2" xfId="334" xr:uid="{00000000-0005-0000-0000-00004E010000}"/>
    <cellStyle name="Normal 2 8 3" xfId="335" xr:uid="{00000000-0005-0000-0000-00004F010000}"/>
    <cellStyle name="Normal 2 8 3 2" xfId="336" xr:uid="{00000000-0005-0000-0000-000050010000}"/>
    <cellStyle name="Normal 2 8 4" xfId="337" xr:uid="{00000000-0005-0000-0000-000051010000}"/>
    <cellStyle name="Normal 2 8 4 2" xfId="338" xr:uid="{00000000-0005-0000-0000-000052010000}"/>
    <cellStyle name="Normal 2 8 5" xfId="339" xr:uid="{00000000-0005-0000-0000-000053010000}"/>
    <cellStyle name="Normal 2 8 5 2" xfId="340" xr:uid="{00000000-0005-0000-0000-000054010000}"/>
    <cellStyle name="Normal 2 8 6" xfId="341" xr:uid="{00000000-0005-0000-0000-000055010000}"/>
    <cellStyle name="Normal 2 8 6 2" xfId="342" xr:uid="{00000000-0005-0000-0000-000056010000}"/>
    <cellStyle name="Normal 2 8 7" xfId="343" xr:uid="{00000000-0005-0000-0000-000057010000}"/>
    <cellStyle name="Normal 2 8 7 2" xfId="344" xr:uid="{00000000-0005-0000-0000-000058010000}"/>
    <cellStyle name="Normal 2 8 8" xfId="345" xr:uid="{00000000-0005-0000-0000-000059010000}"/>
    <cellStyle name="Normal 2 8 8 2" xfId="346" xr:uid="{00000000-0005-0000-0000-00005A010000}"/>
    <cellStyle name="Normal 2 8 9" xfId="347" xr:uid="{00000000-0005-0000-0000-00005B010000}"/>
    <cellStyle name="Normal 2 9" xfId="348" xr:uid="{00000000-0005-0000-0000-00005C010000}"/>
    <cellStyle name="Normal 2 9 10" xfId="349" xr:uid="{00000000-0005-0000-0000-00005D010000}"/>
    <cellStyle name="Normal 2 9 11" xfId="350" xr:uid="{00000000-0005-0000-0000-00005E010000}"/>
    <cellStyle name="Normal 2 9 2" xfId="351" xr:uid="{00000000-0005-0000-0000-00005F010000}"/>
    <cellStyle name="Normal 2 9 2 2" xfId="352" xr:uid="{00000000-0005-0000-0000-000060010000}"/>
    <cellStyle name="Normal 2 9 3" xfId="353" xr:uid="{00000000-0005-0000-0000-000061010000}"/>
    <cellStyle name="Normal 2 9 3 2" xfId="354" xr:uid="{00000000-0005-0000-0000-000062010000}"/>
    <cellStyle name="Normal 2 9 4" xfId="355" xr:uid="{00000000-0005-0000-0000-000063010000}"/>
    <cellStyle name="Normal 2 9 4 2" xfId="356" xr:uid="{00000000-0005-0000-0000-000064010000}"/>
    <cellStyle name="Normal 2 9 5" xfId="357" xr:uid="{00000000-0005-0000-0000-000065010000}"/>
    <cellStyle name="Normal 2 9 5 2" xfId="358" xr:uid="{00000000-0005-0000-0000-000066010000}"/>
    <cellStyle name="Normal 2 9 6" xfId="359" xr:uid="{00000000-0005-0000-0000-000067010000}"/>
    <cellStyle name="Normal 2 9 6 2" xfId="360" xr:uid="{00000000-0005-0000-0000-000068010000}"/>
    <cellStyle name="Normal 2 9 7" xfId="361" xr:uid="{00000000-0005-0000-0000-000069010000}"/>
    <cellStyle name="Normal 2 9 7 2" xfId="362" xr:uid="{00000000-0005-0000-0000-00006A010000}"/>
    <cellStyle name="Normal 2 9 8" xfId="363" xr:uid="{00000000-0005-0000-0000-00006B010000}"/>
    <cellStyle name="Normal 2 9 8 2" xfId="364" xr:uid="{00000000-0005-0000-0000-00006C010000}"/>
    <cellStyle name="Normal 2 9 9" xfId="365" xr:uid="{00000000-0005-0000-0000-00006D010000}"/>
    <cellStyle name="Normal 20" xfId="366" xr:uid="{00000000-0005-0000-0000-00006E010000}"/>
    <cellStyle name="Normal 20 2" xfId="367" xr:uid="{00000000-0005-0000-0000-00006F010000}"/>
    <cellStyle name="Normal 20 3" xfId="368" xr:uid="{00000000-0005-0000-0000-000070010000}"/>
    <cellStyle name="Normal 21" xfId="369" xr:uid="{00000000-0005-0000-0000-000071010000}"/>
    <cellStyle name="Normal 21 2" xfId="370" xr:uid="{00000000-0005-0000-0000-000072010000}"/>
    <cellStyle name="Normal 21 2 2" xfId="371" xr:uid="{00000000-0005-0000-0000-000073010000}"/>
    <cellStyle name="Normal 21 2 3" xfId="372" xr:uid="{00000000-0005-0000-0000-000074010000}"/>
    <cellStyle name="Normal 21 3" xfId="373" xr:uid="{00000000-0005-0000-0000-000075010000}"/>
    <cellStyle name="Normal 21 4" xfId="374" xr:uid="{00000000-0005-0000-0000-000076010000}"/>
    <cellStyle name="Normal 21 5" xfId="375" xr:uid="{00000000-0005-0000-0000-000077010000}"/>
    <cellStyle name="Normal 22" xfId="376" xr:uid="{00000000-0005-0000-0000-000078010000}"/>
    <cellStyle name="Normal 22 2" xfId="377" xr:uid="{00000000-0005-0000-0000-000079010000}"/>
    <cellStyle name="Normal 22 3" xfId="378" xr:uid="{00000000-0005-0000-0000-00007A010000}"/>
    <cellStyle name="Normal 23" xfId="379" xr:uid="{00000000-0005-0000-0000-00007B010000}"/>
    <cellStyle name="Normal 23 2" xfId="380" xr:uid="{00000000-0005-0000-0000-00007C010000}"/>
    <cellStyle name="Normal 23 3" xfId="381" xr:uid="{00000000-0005-0000-0000-00007D010000}"/>
    <cellStyle name="Normal 24" xfId="382" xr:uid="{00000000-0005-0000-0000-00007E010000}"/>
    <cellStyle name="Normal 24 2" xfId="383" xr:uid="{00000000-0005-0000-0000-00007F010000}"/>
    <cellStyle name="Normal 24 3" xfId="384" xr:uid="{00000000-0005-0000-0000-000080010000}"/>
    <cellStyle name="Normal 25" xfId="385" xr:uid="{00000000-0005-0000-0000-000081010000}"/>
    <cellStyle name="Normal 25 2" xfId="386" xr:uid="{00000000-0005-0000-0000-000082010000}"/>
    <cellStyle name="Normal 25 3" xfId="387" xr:uid="{00000000-0005-0000-0000-000083010000}"/>
    <cellStyle name="Normal 26" xfId="388" xr:uid="{00000000-0005-0000-0000-000084010000}"/>
    <cellStyle name="Normal 27" xfId="389" xr:uid="{00000000-0005-0000-0000-000085010000}"/>
    <cellStyle name="Normal 27 2" xfId="390" xr:uid="{00000000-0005-0000-0000-000086010000}"/>
    <cellStyle name="Normal 28" xfId="391" xr:uid="{00000000-0005-0000-0000-000087010000}"/>
    <cellStyle name="Normal 29" xfId="392" xr:uid="{00000000-0005-0000-0000-000088010000}"/>
    <cellStyle name="Normal 3 10" xfId="393" xr:uid="{00000000-0005-0000-0000-000089010000}"/>
    <cellStyle name="Normal 3 10 2" xfId="394" xr:uid="{00000000-0005-0000-0000-00008A010000}"/>
    <cellStyle name="Normal 3 11" xfId="395" xr:uid="{00000000-0005-0000-0000-00008B010000}"/>
    <cellStyle name="Normal 3 12" xfId="396" xr:uid="{00000000-0005-0000-0000-00008C010000}"/>
    <cellStyle name="Normal 3 13" xfId="397" xr:uid="{00000000-0005-0000-0000-00008D010000}"/>
    <cellStyle name="Normal 3 14" xfId="398" xr:uid="{00000000-0005-0000-0000-00008E010000}"/>
    <cellStyle name="Normal 3 15" xfId="399" xr:uid="{00000000-0005-0000-0000-00008F010000}"/>
    <cellStyle name="Normal 3 2" xfId="400" xr:uid="{00000000-0005-0000-0000-000090010000}"/>
    <cellStyle name="Normal 3 2 2" xfId="401" xr:uid="{00000000-0005-0000-0000-000091010000}"/>
    <cellStyle name="Normal 3 2 2 2" xfId="402" xr:uid="{00000000-0005-0000-0000-000092010000}"/>
    <cellStyle name="Normal 3 2 2 3" xfId="403" xr:uid="{00000000-0005-0000-0000-000093010000}"/>
    <cellStyle name="Normal 3 2 3" xfId="404" xr:uid="{00000000-0005-0000-0000-000094010000}"/>
    <cellStyle name="Normal 3 2 4" xfId="405" xr:uid="{00000000-0005-0000-0000-000095010000}"/>
    <cellStyle name="Normal 3 2 5" xfId="406" xr:uid="{00000000-0005-0000-0000-000096010000}"/>
    <cellStyle name="Normal 3 3" xfId="407" xr:uid="{00000000-0005-0000-0000-000097010000}"/>
    <cellStyle name="Normal 3 3 2" xfId="408" xr:uid="{00000000-0005-0000-0000-000098010000}"/>
    <cellStyle name="Normal 3 3 2 2" xfId="409" xr:uid="{00000000-0005-0000-0000-000099010000}"/>
    <cellStyle name="Normal 3 3 2 3" xfId="410" xr:uid="{00000000-0005-0000-0000-00009A010000}"/>
    <cellStyle name="Normal 3 3 3" xfId="411" xr:uid="{00000000-0005-0000-0000-00009B010000}"/>
    <cellStyle name="Normal 3 3 4" xfId="412" xr:uid="{00000000-0005-0000-0000-00009C010000}"/>
    <cellStyle name="Normal 3 4" xfId="413" xr:uid="{00000000-0005-0000-0000-00009D010000}"/>
    <cellStyle name="Normal 3 5" xfId="414" xr:uid="{00000000-0005-0000-0000-00009E010000}"/>
    <cellStyle name="Normal 3 6" xfId="415" xr:uid="{00000000-0005-0000-0000-00009F010000}"/>
    <cellStyle name="Normal 3 7" xfId="416" xr:uid="{00000000-0005-0000-0000-0000A0010000}"/>
    <cellStyle name="Normal 3 7 2" xfId="417" xr:uid="{00000000-0005-0000-0000-0000A1010000}"/>
    <cellStyle name="Normal 3 7 3" xfId="418" xr:uid="{00000000-0005-0000-0000-0000A2010000}"/>
    <cellStyle name="Normal 3 8" xfId="419" xr:uid="{00000000-0005-0000-0000-0000A3010000}"/>
    <cellStyle name="Normal 3 8 2" xfId="420" xr:uid="{00000000-0005-0000-0000-0000A4010000}"/>
    <cellStyle name="Normal 3 8 3" xfId="421" xr:uid="{00000000-0005-0000-0000-0000A5010000}"/>
    <cellStyle name="Normal 3 9" xfId="422" xr:uid="{00000000-0005-0000-0000-0000A6010000}"/>
    <cellStyle name="Normal 3 9 2" xfId="423" xr:uid="{00000000-0005-0000-0000-0000A7010000}"/>
    <cellStyle name="Normal 3 9 3" xfId="424" xr:uid="{00000000-0005-0000-0000-0000A8010000}"/>
    <cellStyle name="Normal 30" xfId="425" xr:uid="{00000000-0005-0000-0000-0000A9010000}"/>
    <cellStyle name="Normal 4 10" xfId="426" xr:uid="{00000000-0005-0000-0000-0000AA010000}"/>
    <cellStyle name="Normal 4 11" xfId="427" xr:uid="{00000000-0005-0000-0000-0000AB010000}"/>
    <cellStyle name="Normal 4 12" xfId="428" xr:uid="{00000000-0005-0000-0000-0000AC010000}"/>
    <cellStyle name="Normal 4 13" xfId="429" xr:uid="{00000000-0005-0000-0000-0000AD010000}"/>
    <cellStyle name="Normal 4 2" xfId="430" xr:uid="{00000000-0005-0000-0000-0000AE010000}"/>
    <cellStyle name="Normal 4 2 2" xfId="431" xr:uid="{00000000-0005-0000-0000-0000AF010000}"/>
    <cellStyle name="Normal 4 2 2 2" xfId="432" xr:uid="{00000000-0005-0000-0000-0000B0010000}"/>
    <cellStyle name="Normal 4 2 2 3" xfId="433" xr:uid="{00000000-0005-0000-0000-0000B1010000}"/>
    <cellStyle name="Normal 4 2 2 3 2" xfId="434" xr:uid="{00000000-0005-0000-0000-0000B2010000}"/>
    <cellStyle name="Normal 4 2 2 3 3" xfId="435" xr:uid="{00000000-0005-0000-0000-0000B3010000}"/>
    <cellStyle name="Normal 4 2 3" xfId="436" xr:uid="{00000000-0005-0000-0000-0000B4010000}"/>
    <cellStyle name="Normal 4 2 4" xfId="437" xr:uid="{00000000-0005-0000-0000-0000B5010000}"/>
    <cellStyle name="Normal 4 2 5" xfId="438" xr:uid="{00000000-0005-0000-0000-0000B6010000}"/>
    <cellStyle name="Normal 4 3" xfId="439" xr:uid="{00000000-0005-0000-0000-0000B7010000}"/>
    <cellStyle name="Normal 4 3 2" xfId="440" xr:uid="{00000000-0005-0000-0000-0000B8010000}"/>
    <cellStyle name="Normal 4 3 3" xfId="441" xr:uid="{00000000-0005-0000-0000-0000B9010000}"/>
    <cellStyle name="Normal 4 4" xfId="442" xr:uid="{00000000-0005-0000-0000-0000BA010000}"/>
    <cellStyle name="Normal 4 5" xfId="443" xr:uid="{00000000-0005-0000-0000-0000BB010000}"/>
    <cellStyle name="Normal 4 5 2" xfId="444" xr:uid="{00000000-0005-0000-0000-0000BC010000}"/>
    <cellStyle name="Normal 4 5 3" xfId="445" xr:uid="{00000000-0005-0000-0000-0000BD010000}"/>
    <cellStyle name="Normal 4 6" xfId="446" xr:uid="{00000000-0005-0000-0000-0000BE010000}"/>
    <cellStyle name="Normal 4 6 2" xfId="447" xr:uid="{00000000-0005-0000-0000-0000BF010000}"/>
    <cellStyle name="Normal 4 6 3" xfId="448" xr:uid="{00000000-0005-0000-0000-0000C0010000}"/>
    <cellStyle name="Normal 4 7" xfId="449" xr:uid="{00000000-0005-0000-0000-0000C1010000}"/>
    <cellStyle name="Normal 4 8" xfId="450" xr:uid="{00000000-0005-0000-0000-0000C2010000}"/>
    <cellStyle name="Normal 4 9" xfId="451" xr:uid="{00000000-0005-0000-0000-0000C3010000}"/>
    <cellStyle name="Normal 5 2" xfId="452" xr:uid="{00000000-0005-0000-0000-0000C4010000}"/>
    <cellStyle name="Normal 5 3" xfId="453" xr:uid="{00000000-0005-0000-0000-0000C5010000}"/>
    <cellStyle name="Normal 5 3 2" xfId="454" xr:uid="{00000000-0005-0000-0000-0000C6010000}"/>
    <cellStyle name="Normal 5 3 3" xfId="455" xr:uid="{00000000-0005-0000-0000-0000C7010000}"/>
    <cellStyle name="Normal 5 4" xfId="456" xr:uid="{00000000-0005-0000-0000-0000C8010000}"/>
    <cellStyle name="Normal 5 5" xfId="457" xr:uid="{00000000-0005-0000-0000-0000C9010000}"/>
    <cellStyle name="Normal 5 5 2" xfId="458" xr:uid="{00000000-0005-0000-0000-0000CA010000}"/>
    <cellStyle name="Normal 5 5 3" xfId="459" xr:uid="{00000000-0005-0000-0000-0000CB010000}"/>
    <cellStyle name="Normal 5 6" xfId="460" xr:uid="{00000000-0005-0000-0000-0000CC010000}"/>
    <cellStyle name="Normal 5 6 2" xfId="461" xr:uid="{00000000-0005-0000-0000-0000CD010000}"/>
    <cellStyle name="Normal 6 2" xfId="462" xr:uid="{00000000-0005-0000-0000-0000CE010000}"/>
    <cellStyle name="Normal 6 3" xfId="463" xr:uid="{00000000-0005-0000-0000-0000CF010000}"/>
    <cellStyle name="Normal 6 4" xfId="464" xr:uid="{00000000-0005-0000-0000-0000D0010000}"/>
    <cellStyle name="Normal 6 5" xfId="465" xr:uid="{00000000-0005-0000-0000-0000D1010000}"/>
    <cellStyle name="Normal 7 2" xfId="466" xr:uid="{00000000-0005-0000-0000-0000D2010000}"/>
    <cellStyle name="Normal 7 2 2" xfId="467" xr:uid="{00000000-0005-0000-0000-0000D3010000}"/>
    <cellStyle name="Normal 7 2 2 2" xfId="468" xr:uid="{00000000-0005-0000-0000-0000D4010000}"/>
    <cellStyle name="Normal 7 2 2 3" xfId="469" xr:uid="{00000000-0005-0000-0000-0000D5010000}"/>
    <cellStyle name="Normal 7 2 3" xfId="470" xr:uid="{00000000-0005-0000-0000-0000D6010000}"/>
    <cellStyle name="Normal 7 2 4" xfId="471" xr:uid="{00000000-0005-0000-0000-0000D7010000}"/>
    <cellStyle name="Normal 7 2 4 2" xfId="472" xr:uid="{00000000-0005-0000-0000-0000D8010000}"/>
    <cellStyle name="Normal 7 2 4 3" xfId="473" xr:uid="{00000000-0005-0000-0000-0000D9010000}"/>
    <cellStyle name="Normal 7 2 5" xfId="474" xr:uid="{00000000-0005-0000-0000-0000DA010000}"/>
    <cellStyle name="Normal 7 3" xfId="475" xr:uid="{00000000-0005-0000-0000-0000DB010000}"/>
    <cellStyle name="Normal 7 4" xfId="476" xr:uid="{00000000-0005-0000-0000-0000DC010000}"/>
    <cellStyle name="Normal 7 4 2" xfId="477" xr:uid="{00000000-0005-0000-0000-0000DD010000}"/>
    <cellStyle name="Normal 7 4 3" xfId="478" xr:uid="{00000000-0005-0000-0000-0000DE010000}"/>
    <cellStyle name="Normal 7 5" xfId="479" xr:uid="{00000000-0005-0000-0000-0000DF010000}"/>
    <cellStyle name="Normal 7 5 2" xfId="480" xr:uid="{00000000-0005-0000-0000-0000E0010000}"/>
    <cellStyle name="Normal 7 5 3" xfId="481" xr:uid="{00000000-0005-0000-0000-0000E1010000}"/>
    <cellStyle name="Normal 7 5 4" xfId="482" xr:uid="{00000000-0005-0000-0000-0000E2010000}"/>
    <cellStyle name="Normal 7 5 5" xfId="483" xr:uid="{00000000-0005-0000-0000-0000E3010000}"/>
    <cellStyle name="Normal 7 6" xfId="484" xr:uid="{00000000-0005-0000-0000-0000E4010000}"/>
    <cellStyle name="Normal 7 7" xfId="485" xr:uid="{00000000-0005-0000-0000-0000E5010000}"/>
    <cellStyle name="Normal 8 2" xfId="486" xr:uid="{00000000-0005-0000-0000-0000E6010000}"/>
    <cellStyle name="Normal 8 3" xfId="487" xr:uid="{00000000-0005-0000-0000-0000E7010000}"/>
    <cellStyle name="Normal 9 2" xfId="488" xr:uid="{00000000-0005-0000-0000-0000E8010000}"/>
    <cellStyle name="Normal 9 2 2" xfId="489" xr:uid="{00000000-0005-0000-0000-0000E9010000}"/>
    <cellStyle name="Normal 9 2 3" xfId="490" xr:uid="{00000000-0005-0000-0000-0000EA010000}"/>
    <cellStyle name="Normal 9 3" xfId="491" xr:uid="{00000000-0005-0000-0000-0000EB010000}"/>
    <cellStyle name="Normal 9 4" xfId="492" xr:uid="{00000000-0005-0000-0000-0000EC010000}"/>
    <cellStyle name="Normal 9 5" xfId="493" xr:uid="{00000000-0005-0000-0000-0000ED010000}"/>
    <cellStyle name="Normal 9 5 2" xfId="494" xr:uid="{00000000-0005-0000-0000-0000EE010000}"/>
    <cellStyle name="Normal 9 5 3" xfId="495" xr:uid="{00000000-0005-0000-0000-0000EF010000}"/>
    <cellStyle name="Normal 9 6" xfId="496" xr:uid="{00000000-0005-0000-0000-0000F0010000}"/>
    <cellStyle name="Normal 9 6 2" xfId="497" xr:uid="{00000000-0005-0000-0000-0000F1010000}"/>
    <cellStyle name="Normal 9 6 3" xfId="498" xr:uid="{00000000-0005-0000-0000-0000F2010000}"/>
    <cellStyle name="Normal_debt" xfId="499" xr:uid="{00000000-0005-0000-0000-0000F3010000}"/>
    <cellStyle name="Normal_lpform" xfId="500" xr:uid="{00000000-0005-0000-0000-0000F4010000}"/>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754380</xdr:colOff>
      <xdr:row>37</xdr:row>
      <xdr:rowOff>152312</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01740" cy="7482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678180</xdr:colOff>
      <xdr:row>38</xdr:row>
      <xdr:rowOff>113172</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25540" cy="7641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megan.schulz@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14"/>
  <sheetViews>
    <sheetView workbookViewId="0">
      <selection activeCell="O28" sqref="O28"/>
    </sheetView>
  </sheetViews>
  <sheetFormatPr defaultColWidth="8.796875" defaultRowHeight="15.75" x14ac:dyDescent="0.25"/>
  <cols>
    <col min="1" max="1" width="68.19921875" style="89" customWidth="1"/>
    <col min="2" max="16384" width="8.796875" style="89"/>
  </cols>
  <sheetData>
    <row r="1" spans="1:1" x14ac:dyDescent="0.25">
      <c r="A1" s="171" t="s">
        <v>819</v>
      </c>
    </row>
    <row r="3" spans="1:1" ht="34.5" customHeight="1" x14ac:dyDescent="0.25">
      <c r="A3" s="661" t="s">
        <v>995</v>
      </c>
    </row>
    <row r="4" spans="1:1" x14ac:dyDescent="0.25">
      <c r="A4" s="172"/>
    </row>
    <row r="5" spans="1:1" ht="52.5" customHeight="1" x14ac:dyDescent="0.25">
      <c r="A5" s="173" t="s">
        <v>269</v>
      </c>
    </row>
    <row r="6" spans="1:1" x14ac:dyDescent="0.25">
      <c r="A6" s="173"/>
    </row>
    <row r="7" spans="1:1" ht="51" customHeight="1" x14ac:dyDescent="0.25">
      <c r="A7" s="173" t="s">
        <v>744</v>
      </c>
    </row>
    <row r="8" spans="1:1" x14ac:dyDescent="0.25">
      <c r="A8" s="173"/>
    </row>
    <row r="9" spans="1:1" x14ac:dyDescent="0.25">
      <c r="A9" s="173" t="s">
        <v>96</v>
      </c>
    </row>
    <row r="12" spans="1:1" x14ac:dyDescent="0.25">
      <c r="A12" s="171" t="s">
        <v>146</v>
      </c>
    </row>
    <row r="14" spans="1:1" x14ac:dyDescent="0.25">
      <c r="A14" s="172" t="s">
        <v>147</v>
      </c>
    </row>
    <row r="17" spans="1:1" ht="38.25" customHeight="1" x14ac:dyDescent="0.25">
      <c r="A17" s="174" t="s">
        <v>260</v>
      </c>
    </row>
    <row r="18" spans="1:1" ht="9.75" customHeight="1" x14ac:dyDescent="0.25">
      <c r="A18" s="174"/>
    </row>
    <row r="21" spans="1:1" x14ac:dyDescent="0.25">
      <c r="A21" s="171" t="s">
        <v>97</v>
      </c>
    </row>
    <row r="23" spans="1:1" ht="34.5" customHeight="1" x14ac:dyDescent="0.25">
      <c r="A23" s="173" t="s">
        <v>148</v>
      </c>
    </row>
    <row r="24" spans="1:1" ht="9.75" customHeight="1" x14ac:dyDescent="0.25">
      <c r="A24" s="173"/>
    </row>
    <row r="25" spans="1:1" x14ac:dyDescent="0.25">
      <c r="A25" s="175" t="s">
        <v>98</v>
      </c>
    </row>
    <row r="26" spans="1:1" x14ac:dyDescent="0.25">
      <c r="A26" s="173"/>
    </row>
    <row r="27" spans="1:1" ht="17.25" customHeight="1" x14ac:dyDescent="0.25">
      <c r="A27" s="176" t="s">
        <v>99</v>
      </c>
    </row>
    <row r="28" spans="1:1" ht="17.25" customHeight="1" x14ac:dyDescent="0.25">
      <c r="A28" s="177"/>
    </row>
    <row r="29" spans="1:1" ht="87.75" customHeight="1" x14ac:dyDescent="0.25">
      <c r="A29" s="178" t="s">
        <v>128</v>
      </c>
    </row>
    <row r="31" spans="1:1" x14ac:dyDescent="0.25">
      <c r="A31" s="179" t="s">
        <v>100</v>
      </c>
    </row>
    <row r="33" spans="1:1" x14ac:dyDescent="0.25">
      <c r="A33" s="126" t="s">
        <v>149</v>
      </c>
    </row>
    <row r="35" spans="1:1" x14ac:dyDescent="0.25">
      <c r="A35" s="173" t="s">
        <v>101</v>
      </c>
    </row>
    <row r="36" spans="1:1" x14ac:dyDescent="0.25">
      <c r="A36" s="173"/>
    </row>
    <row r="37" spans="1:1" ht="72" customHeight="1" x14ac:dyDescent="0.25">
      <c r="A37" s="173" t="s">
        <v>319</v>
      </c>
    </row>
    <row r="39" spans="1:1" x14ac:dyDescent="0.25">
      <c r="A39" s="171" t="s">
        <v>102</v>
      </c>
    </row>
    <row r="41" spans="1:1" ht="70.5" customHeight="1" x14ac:dyDescent="0.25">
      <c r="A41" s="173" t="s">
        <v>655</v>
      </c>
    </row>
    <row r="42" spans="1:1" ht="52.5" customHeight="1" x14ac:dyDescent="0.25">
      <c r="A42" s="180" t="s">
        <v>103</v>
      </c>
    </row>
    <row r="43" spans="1:1" ht="33" customHeight="1" x14ac:dyDescent="0.25">
      <c r="A43" s="173" t="s">
        <v>127</v>
      </c>
    </row>
    <row r="44" spans="1:1" ht="106.5" customHeight="1" x14ac:dyDescent="0.25">
      <c r="A44" s="653" t="s">
        <v>745</v>
      </c>
    </row>
    <row r="45" spans="1:1" ht="10.5" customHeight="1" x14ac:dyDescent="0.25">
      <c r="A45" s="173"/>
    </row>
    <row r="46" spans="1:1" ht="108" customHeight="1" x14ac:dyDescent="0.25">
      <c r="A46" s="173" t="s">
        <v>656</v>
      </c>
    </row>
    <row r="47" spans="1:1" ht="59.25" customHeight="1" x14ac:dyDescent="0.25">
      <c r="A47" s="173" t="s">
        <v>104</v>
      </c>
    </row>
    <row r="48" spans="1:1" ht="101.25" customHeight="1" x14ac:dyDescent="0.25">
      <c r="A48" s="173" t="s">
        <v>183</v>
      </c>
    </row>
    <row r="49" spans="1:1" ht="74.25" customHeight="1" x14ac:dyDescent="0.25">
      <c r="A49" s="173" t="s">
        <v>320</v>
      </c>
    </row>
    <row r="50" spans="1:1" ht="69.75" customHeight="1" x14ac:dyDescent="0.25">
      <c r="A50" s="173" t="s">
        <v>324</v>
      </c>
    </row>
    <row r="51" spans="1:1" ht="58.5" customHeight="1" x14ac:dyDescent="0.25">
      <c r="A51" s="654" t="s">
        <v>746</v>
      </c>
    </row>
    <row r="52" spans="1:1" ht="12" customHeight="1" x14ac:dyDescent="0.25">
      <c r="A52" s="173"/>
    </row>
    <row r="53" spans="1:1" ht="81" customHeight="1" x14ac:dyDescent="0.25">
      <c r="A53" s="173" t="s">
        <v>321</v>
      </c>
    </row>
    <row r="54" spans="1:1" ht="81" customHeight="1" x14ac:dyDescent="0.25">
      <c r="A54" s="173" t="s">
        <v>785</v>
      </c>
    </row>
    <row r="55" spans="1:1" ht="87" customHeight="1" x14ac:dyDescent="0.25">
      <c r="A55" s="655" t="s">
        <v>786</v>
      </c>
    </row>
    <row r="56" spans="1:1" ht="48" customHeight="1" x14ac:dyDescent="0.25">
      <c r="A56" s="654" t="s">
        <v>747</v>
      </c>
    </row>
    <row r="57" spans="1:1" ht="84.75" customHeight="1" x14ac:dyDescent="0.25">
      <c r="A57" s="655" t="s">
        <v>804</v>
      </c>
    </row>
    <row r="58" spans="1:1" ht="11.25" customHeight="1" x14ac:dyDescent="0.25"/>
    <row r="59" spans="1:1" ht="73.5" customHeight="1" x14ac:dyDescent="0.25">
      <c r="A59" s="655" t="s">
        <v>787</v>
      </c>
    </row>
    <row r="60" spans="1:1" ht="134.25" customHeight="1" x14ac:dyDescent="0.25">
      <c r="A60" s="655" t="s">
        <v>788</v>
      </c>
    </row>
    <row r="61" spans="1:1" ht="36" customHeight="1" x14ac:dyDescent="0.25">
      <c r="A61" s="655" t="s">
        <v>789</v>
      </c>
    </row>
    <row r="62" spans="1:1" ht="14.25" customHeight="1" x14ac:dyDescent="0.25">
      <c r="A62" s="173"/>
    </row>
    <row r="63" spans="1:1" ht="68.25" customHeight="1" x14ac:dyDescent="0.25">
      <c r="A63" s="655" t="s">
        <v>748</v>
      </c>
    </row>
    <row r="64" spans="1:1" ht="12.75" customHeight="1" x14ac:dyDescent="0.25">
      <c r="A64" s="173"/>
    </row>
    <row r="65" spans="1:1" ht="41.25" customHeight="1" x14ac:dyDescent="0.25">
      <c r="A65" s="173" t="s">
        <v>322</v>
      </c>
    </row>
    <row r="66" spans="1:1" ht="24" customHeight="1" x14ac:dyDescent="0.25">
      <c r="A66" s="173" t="s">
        <v>537</v>
      </c>
    </row>
    <row r="67" spans="1:1" ht="72" customHeight="1" x14ac:dyDescent="0.25">
      <c r="A67" s="173" t="s">
        <v>538</v>
      </c>
    </row>
    <row r="68" spans="1:1" ht="56.25" customHeight="1" x14ac:dyDescent="0.25">
      <c r="A68" s="173" t="s">
        <v>535</v>
      </c>
    </row>
    <row r="69" spans="1:1" x14ac:dyDescent="0.25">
      <c r="A69" s="173" t="s">
        <v>536</v>
      </c>
    </row>
    <row r="70" spans="1:1" ht="15.75" customHeight="1" x14ac:dyDescent="0.25">
      <c r="A70" s="173"/>
    </row>
    <row r="71" spans="1:1" ht="68.25" customHeight="1" x14ac:dyDescent="0.25">
      <c r="A71" s="173" t="s">
        <v>323</v>
      </c>
    </row>
    <row r="72" spans="1:1" s="173" customFormat="1" ht="14.25" customHeight="1" x14ac:dyDescent="0.25">
      <c r="A72" s="89"/>
    </row>
    <row r="73" spans="1:1" ht="87.75" customHeight="1" x14ac:dyDescent="0.25">
      <c r="A73" s="173" t="s">
        <v>325</v>
      </c>
    </row>
    <row r="74" spans="1:1" ht="12" customHeight="1" x14ac:dyDescent="0.25">
      <c r="A74" s="173"/>
    </row>
    <row r="75" spans="1:1" ht="141" customHeight="1" x14ac:dyDescent="0.25">
      <c r="A75" s="655" t="s">
        <v>749</v>
      </c>
    </row>
    <row r="76" spans="1:1" ht="12" customHeight="1" x14ac:dyDescent="0.25"/>
    <row r="77" spans="1:1" ht="78.75" customHeight="1" x14ac:dyDescent="0.25">
      <c r="A77" s="173" t="s">
        <v>751</v>
      </c>
    </row>
    <row r="78" spans="1:1" ht="78.75" customHeight="1" x14ac:dyDescent="0.25">
      <c r="A78" s="655" t="s">
        <v>750</v>
      </c>
    </row>
    <row r="79" spans="1:1" ht="86.25" customHeight="1" x14ac:dyDescent="0.25">
      <c r="A79" s="468" t="s">
        <v>752</v>
      </c>
    </row>
    <row r="80" spans="1:1" ht="78.75" customHeight="1" x14ac:dyDescent="0.25">
      <c r="A80" s="468" t="s">
        <v>753</v>
      </c>
    </row>
    <row r="81" spans="1:1" ht="78.75" customHeight="1" x14ac:dyDescent="0.25">
      <c r="A81" s="468" t="s">
        <v>754</v>
      </c>
    </row>
    <row r="82" spans="1:1" ht="73.5" customHeight="1" x14ac:dyDescent="0.25">
      <c r="A82" s="173" t="s">
        <v>755</v>
      </c>
    </row>
    <row r="83" spans="1:1" ht="120.75" customHeight="1" x14ac:dyDescent="0.25">
      <c r="A83" s="173" t="s">
        <v>756</v>
      </c>
    </row>
    <row r="84" spans="1:1" ht="72.75" customHeight="1" x14ac:dyDescent="0.25">
      <c r="A84" s="173" t="s">
        <v>757</v>
      </c>
    </row>
    <row r="85" spans="1:1" ht="100.5" customHeight="1" x14ac:dyDescent="0.25">
      <c r="A85" s="173" t="s">
        <v>758</v>
      </c>
    </row>
    <row r="86" spans="1:1" ht="110.25" customHeight="1" x14ac:dyDescent="0.25">
      <c r="A86" s="173" t="s">
        <v>759</v>
      </c>
    </row>
    <row r="87" spans="1:1" ht="100.5" customHeight="1" x14ac:dyDescent="0.25">
      <c r="A87" s="181" t="s">
        <v>760</v>
      </c>
    </row>
    <row r="88" spans="1:1" ht="61.5" customHeight="1" x14ac:dyDescent="0.25">
      <c r="A88" s="295" t="s">
        <v>761</v>
      </c>
    </row>
    <row r="89" spans="1:1" ht="120.75" customHeight="1" x14ac:dyDescent="0.25">
      <c r="A89" s="173" t="s">
        <v>783</v>
      </c>
    </row>
    <row r="90" spans="1:1" ht="86.25" customHeight="1" x14ac:dyDescent="0.25">
      <c r="A90" s="181" t="s">
        <v>762</v>
      </c>
    </row>
    <row r="91" spans="1:1" ht="101.25" customHeight="1" x14ac:dyDescent="0.25">
      <c r="A91" s="181" t="s">
        <v>782</v>
      </c>
    </row>
    <row r="92" spans="1:1" ht="133.5" customHeight="1" x14ac:dyDescent="0.25">
      <c r="A92" s="173" t="s">
        <v>763</v>
      </c>
    </row>
    <row r="93" spans="1:1" ht="137.25" customHeight="1" x14ac:dyDescent="0.25">
      <c r="A93" s="173" t="s">
        <v>764</v>
      </c>
    </row>
    <row r="94" spans="1:1" ht="101.25" customHeight="1" x14ac:dyDescent="0.25">
      <c r="A94" s="173" t="s">
        <v>765</v>
      </c>
    </row>
    <row r="95" spans="1:1" ht="9.75" customHeight="1" x14ac:dyDescent="0.25">
      <c r="A95" s="181"/>
    </row>
    <row r="96" spans="1:1" ht="119.25" customHeight="1" x14ac:dyDescent="0.25">
      <c r="A96" s="173" t="s">
        <v>766</v>
      </c>
    </row>
    <row r="97" spans="1:1" ht="117" customHeight="1" x14ac:dyDescent="0.25">
      <c r="A97" s="181" t="s">
        <v>767</v>
      </c>
    </row>
    <row r="98" spans="1:1" ht="58.5" customHeight="1" x14ac:dyDescent="0.25">
      <c r="A98" s="181" t="s">
        <v>768</v>
      </c>
    </row>
    <row r="99" spans="1:1" ht="21" customHeight="1" x14ac:dyDescent="0.25">
      <c r="A99" s="173" t="s">
        <v>769</v>
      </c>
    </row>
    <row r="100" spans="1:1" ht="3.75" customHeight="1" x14ac:dyDescent="0.25"/>
    <row r="101" spans="1:1" ht="64.5" customHeight="1" x14ac:dyDescent="0.25">
      <c r="A101" s="173" t="s">
        <v>770</v>
      </c>
    </row>
    <row r="102" spans="1:1" ht="22.5" customHeight="1" x14ac:dyDescent="0.25">
      <c r="A102" s="173" t="s">
        <v>771</v>
      </c>
    </row>
    <row r="103" spans="1:1" ht="40.5" customHeight="1" x14ac:dyDescent="0.25">
      <c r="A103" s="468" t="s">
        <v>772</v>
      </c>
    </row>
    <row r="104" spans="1:1" ht="115.5" customHeight="1" x14ac:dyDescent="0.25">
      <c r="A104" s="468" t="s">
        <v>773</v>
      </c>
    </row>
    <row r="105" spans="1:1" ht="116.25" customHeight="1" x14ac:dyDescent="0.25">
      <c r="A105" s="468" t="s">
        <v>774</v>
      </c>
    </row>
    <row r="106" spans="1:1" ht="90" customHeight="1" x14ac:dyDescent="0.25">
      <c r="A106" s="173" t="s">
        <v>775</v>
      </c>
    </row>
    <row r="107" spans="1:1" ht="74.25" customHeight="1" x14ac:dyDescent="0.25">
      <c r="A107" s="656" t="s">
        <v>776</v>
      </c>
    </row>
    <row r="108" spans="1:1" ht="61.5" customHeight="1" x14ac:dyDescent="0.25">
      <c r="A108" s="173" t="s">
        <v>777</v>
      </c>
    </row>
    <row r="109" spans="1:1" ht="9" customHeight="1" x14ac:dyDescent="0.25"/>
    <row r="110" spans="1:1" ht="78.75" customHeight="1" x14ac:dyDescent="0.25">
      <c r="A110" s="173" t="s">
        <v>778</v>
      </c>
    </row>
    <row r="112" spans="1:1" ht="73.5" customHeight="1" x14ac:dyDescent="0.25">
      <c r="A112" s="468" t="s">
        <v>779</v>
      </c>
    </row>
    <row r="113" spans="1:1" ht="108" customHeight="1" x14ac:dyDescent="0.25">
      <c r="A113" s="468" t="s">
        <v>780</v>
      </c>
    </row>
    <row r="114" spans="1:1" ht="96" customHeight="1" x14ac:dyDescent="0.25">
      <c r="A114" s="468" t="s">
        <v>781</v>
      </c>
    </row>
  </sheetData>
  <sheetProtection sheet="1"/>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7"/>
  <sheetViews>
    <sheetView workbookViewId="0">
      <selection activeCell="L63" sqref="L63"/>
    </sheetView>
  </sheetViews>
  <sheetFormatPr defaultColWidth="8.796875" defaultRowHeight="15.75" x14ac:dyDescent="0.25"/>
  <cols>
    <col min="1" max="1" width="70.09765625" style="85" customWidth="1"/>
    <col min="2" max="16384" width="8.796875" style="85"/>
  </cols>
  <sheetData>
    <row r="1" spans="1:1" ht="18.75" x14ac:dyDescent="0.25">
      <c r="A1" s="299" t="s">
        <v>268</v>
      </c>
    </row>
    <row r="2" spans="1:1" x14ac:dyDescent="0.25">
      <c r="A2" s="89"/>
    </row>
    <row r="3" spans="1:1" x14ac:dyDescent="0.25">
      <c r="A3" s="89"/>
    </row>
    <row r="4" spans="1:1" ht="52.5" customHeight="1" x14ac:dyDescent="0.25">
      <c r="A4" s="175" t="s">
        <v>296</v>
      </c>
    </row>
    <row r="5" spans="1:1" x14ac:dyDescent="0.25">
      <c r="A5" s="89"/>
    </row>
    <row r="6" spans="1:1" x14ac:dyDescent="0.25">
      <c r="A6" s="89"/>
    </row>
    <row r="7" spans="1:1" ht="70.5" customHeight="1" x14ac:dyDescent="0.25">
      <c r="A7" s="175" t="s">
        <v>297</v>
      </c>
    </row>
    <row r="8" spans="1:1" x14ac:dyDescent="0.25">
      <c r="A8" s="294"/>
    </row>
    <row r="9" spans="1:1" x14ac:dyDescent="0.25">
      <c r="A9" s="89"/>
    </row>
    <row r="10" spans="1:1" ht="56.25" customHeight="1" x14ac:dyDescent="0.25">
      <c r="A10" s="175" t="s">
        <v>298</v>
      </c>
    </row>
    <row r="11" spans="1:1" x14ac:dyDescent="0.25">
      <c r="A11" s="294"/>
    </row>
    <row r="12" spans="1:1" x14ac:dyDescent="0.25">
      <c r="A12" s="294"/>
    </row>
    <row r="13" spans="1:1" ht="57.75" customHeight="1" x14ac:dyDescent="0.25">
      <c r="A13" s="175" t="s">
        <v>299</v>
      </c>
    </row>
    <row r="14" spans="1:1" x14ac:dyDescent="0.25">
      <c r="A14" s="294"/>
    </row>
    <row r="15" spans="1:1" x14ac:dyDescent="0.25">
      <c r="A15" s="294"/>
    </row>
    <row r="16" spans="1:1" ht="87.75" customHeight="1" x14ac:dyDescent="0.25">
      <c r="A16" s="175" t="s">
        <v>300</v>
      </c>
    </row>
    <row r="17" spans="1:1" x14ac:dyDescent="0.25">
      <c r="A17" s="294"/>
    </row>
    <row r="18" spans="1:1" x14ac:dyDescent="0.25">
      <c r="A18" s="89"/>
    </row>
    <row r="19" spans="1:1" ht="54.75" customHeight="1" x14ac:dyDescent="0.25">
      <c r="A19" s="175" t="s">
        <v>301</v>
      </c>
    </row>
    <row r="20" spans="1:1" x14ac:dyDescent="0.25">
      <c r="A20" s="89"/>
    </row>
    <row r="21" spans="1:1" x14ac:dyDescent="0.25">
      <c r="A21" s="89"/>
    </row>
    <row r="22" spans="1:1" ht="69" customHeight="1" x14ac:dyDescent="0.25">
      <c r="A22" s="175" t="s">
        <v>302</v>
      </c>
    </row>
    <row r="23" spans="1:1" x14ac:dyDescent="0.25">
      <c r="A23" s="89"/>
    </row>
    <row r="24" spans="1:1" x14ac:dyDescent="0.25">
      <c r="A24" s="296"/>
    </row>
    <row r="25" spans="1:1" ht="47.25" customHeight="1" x14ac:dyDescent="0.25">
      <c r="A25" s="297" t="s">
        <v>303</v>
      </c>
    </row>
    <row r="26" spans="1:1" x14ac:dyDescent="0.25">
      <c r="A26" s="298"/>
    </row>
    <row r="27" spans="1:1" x14ac:dyDescent="0.25">
      <c r="A27" s="296"/>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B0F0"/>
    <pageSetUpPr fitToPage="1"/>
  </sheetPr>
  <dimension ref="A1:Y39"/>
  <sheetViews>
    <sheetView workbookViewId="0">
      <selection activeCell="R60" sqref="R60"/>
    </sheetView>
  </sheetViews>
  <sheetFormatPr defaultColWidth="8.796875" defaultRowHeight="15.75" x14ac:dyDescent="0.25"/>
  <cols>
    <col min="1" max="1" width="1.3984375" style="215" customWidth="1"/>
    <col min="2" max="2" width="18.69921875" style="215" customWidth="1"/>
    <col min="3" max="3" width="8.796875" style="215"/>
    <col min="4" max="4" width="7.8984375" style="215" customWidth="1"/>
    <col min="5" max="5" width="8.796875" style="215"/>
    <col min="6" max="6" width="16.19921875" style="215" customWidth="1"/>
    <col min="7" max="16384" width="8.796875" style="215"/>
  </cols>
  <sheetData>
    <row r="1" spans="1:12" x14ac:dyDescent="0.25">
      <c r="A1" s="238"/>
      <c r="B1" s="213" t="str">
        <f>inputPrYr!$D$4</f>
        <v>Scott Township</v>
      </c>
      <c r="C1" s="214"/>
      <c r="D1" s="214"/>
      <c r="E1" s="214"/>
      <c r="F1" s="214"/>
      <c r="G1" s="214"/>
      <c r="H1" s="214"/>
      <c r="I1" s="214"/>
      <c r="J1" s="43"/>
      <c r="K1" s="43"/>
      <c r="L1" s="183">
        <f>inputPrYr!D10</f>
        <v>2020</v>
      </c>
    </row>
    <row r="2" spans="1:12" x14ac:dyDescent="0.25">
      <c r="A2" s="238"/>
      <c r="B2" s="213" t="str">
        <f>inputPrYr!$D$5</f>
        <v>Lincoln County</v>
      </c>
      <c r="C2" s="214"/>
      <c r="D2" s="214"/>
      <c r="E2" s="214"/>
      <c r="F2" s="214"/>
      <c r="G2" s="214"/>
      <c r="H2" s="214"/>
      <c r="I2" s="214"/>
      <c r="J2" s="43"/>
      <c r="K2" s="43"/>
      <c r="L2" s="170"/>
    </row>
    <row r="3" spans="1:12" x14ac:dyDescent="0.25">
      <c r="A3" s="238"/>
      <c r="B3" s="905" t="s">
        <v>26</v>
      </c>
      <c r="C3" s="842"/>
      <c r="D3" s="842"/>
      <c r="E3" s="842"/>
      <c r="F3" s="842"/>
      <c r="G3" s="842"/>
      <c r="H3" s="842"/>
      <c r="I3" s="842"/>
      <c r="J3" s="842"/>
      <c r="K3" s="842"/>
      <c r="L3" s="842"/>
    </row>
    <row r="4" spans="1:12" x14ac:dyDescent="0.25">
      <c r="A4" s="238"/>
      <c r="B4" s="214"/>
      <c r="C4" s="214"/>
      <c r="D4" s="214"/>
      <c r="E4" s="214"/>
      <c r="F4" s="214"/>
      <c r="G4" s="214"/>
      <c r="H4" s="214"/>
      <c r="I4" s="214"/>
      <c r="J4" s="214"/>
      <c r="K4" s="214"/>
      <c r="L4" s="214"/>
    </row>
    <row r="5" spans="1:12" x14ac:dyDescent="0.25">
      <c r="A5" s="238"/>
      <c r="B5" s="187" t="s">
        <v>662</v>
      </c>
      <c r="C5" s="187" t="s">
        <v>6</v>
      </c>
      <c r="D5" s="187" t="s">
        <v>13</v>
      </c>
      <c r="E5" s="187"/>
      <c r="F5" s="187" t="s">
        <v>222</v>
      </c>
      <c r="G5" s="216"/>
      <c r="H5" s="217"/>
      <c r="I5" s="216" t="s">
        <v>7</v>
      </c>
      <c r="J5" s="217"/>
      <c r="K5" s="216" t="s">
        <v>7</v>
      </c>
      <c r="L5" s="217"/>
    </row>
    <row r="6" spans="1:12" x14ac:dyDescent="0.25">
      <c r="A6" s="238"/>
      <c r="B6" s="218" t="s">
        <v>8</v>
      </c>
      <c r="C6" s="218" t="s">
        <v>8</v>
      </c>
      <c r="D6" s="218" t="s">
        <v>221</v>
      </c>
      <c r="E6" s="218" t="s">
        <v>222</v>
      </c>
      <c r="F6" s="218" t="s">
        <v>60</v>
      </c>
      <c r="G6" s="219" t="s">
        <v>9</v>
      </c>
      <c r="H6" s="220"/>
      <c r="I6" s="219">
        <f>L1-1</f>
        <v>2019</v>
      </c>
      <c r="J6" s="220"/>
      <c r="K6" s="219">
        <f>L1</f>
        <v>2020</v>
      </c>
      <c r="L6" s="220"/>
    </row>
    <row r="7" spans="1:12" x14ac:dyDescent="0.25">
      <c r="A7" s="238"/>
      <c r="B7" s="189" t="s">
        <v>663</v>
      </c>
      <c r="C7" s="189" t="s">
        <v>10</v>
      </c>
      <c r="D7" s="189" t="s">
        <v>243</v>
      </c>
      <c r="E7" s="189" t="s">
        <v>11</v>
      </c>
      <c r="F7" s="221" t="str">
        <f>CONCATENATE("Jan 1,",L1-1,"")</f>
        <v>Jan 1,2019</v>
      </c>
      <c r="G7" s="66" t="s">
        <v>13</v>
      </c>
      <c r="H7" s="66" t="s">
        <v>14</v>
      </c>
      <c r="I7" s="66" t="s">
        <v>13</v>
      </c>
      <c r="J7" s="66" t="s">
        <v>14</v>
      </c>
      <c r="K7" s="66" t="s">
        <v>13</v>
      </c>
      <c r="L7" s="66" t="s">
        <v>14</v>
      </c>
    </row>
    <row r="8" spans="1:12" x14ac:dyDescent="0.25">
      <c r="A8" s="238"/>
      <c r="B8" s="222" t="s">
        <v>3</v>
      </c>
      <c r="C8" s="223"/>
      <c r="D8" s="222"/>
      <c r="E8" s="222"/>
      <c r="F8" s="222"/>
      <c r="G8" s="224"/>
      <c r="H8" s="224"/>
      <c r="I8" s="222"/>
      <c r="J8" s="222"/>
      <c r="K8" s="222"/>
      <c r="L8" s="222"/>
    </row>
    <row r="9" spans="1:12" x14ac:dyDescent="0.25">
      <c r="A9" s="238"/>
      <c r="B9" s="225"/>
      <c r="C9" s="321"/>
      <c r="D9" s="227"/>
      <c r="E9" s="137"/>
      <c r="F9" s="228"/>
      <c r="G9" s="229"/>
      <c r="H9" s="229"/>
      <c r="I9" s="228"/>
      <c r="J9" s="228"/>
      <c r="K9" s="228"/>
      <c r="L9" s="228"/>
    </row>
    <row r="10" spans="1:12" x14ac:dyDescent="0.25">
      <c r="A10" s="238"/>
      <c r="B10" s="225"/>
      <c r="C10" s="321"/>
      <c r="D10" s="227"/>
      <c r="E10" s="137"/>
      <c r="F10" s="228"/>
      <c r="G10" s="229"/>
      <c r="H10" s="229"/>
      <c r="I10" s="228"/>
      <c r="J10" s="228"/>
      <c r="K10" s="228"/>
      <c r="L10" s="228"/>
    </row>
    <row r="11" spans="1:12" x14ac:dyDescent="0.25">
      <c r="A11" s="238"/>
      <c r="B11" s="166" t="s">
        <v>78</v>
      </c>
      <c r="C11" s="230"/>
      <c r="D11" s="231"/>
      <c r="E11" s="205"/>
      <c r="F11" s="143">
        <f>SUM(F9:F10)</f>
        <v>0</v>
      </c>
      <c r="G11" s="232"/>
      <c r="H11" s="232"/>
      <c r="I11" s="143">
        <f>SUM(I9:I10)</f>
        <v>0</v>
      </c>
      <c r="J11" s="143">
        <f>SUM(J9:J10)</f>
        <v>0</v>
      </c>
      <c r="K11" s="143">
        <f>SUM(K9:K10)</f>
        <v>0</v>
      </c>
      <c r="L11" s="143">
        <f>SUM(L9:L10)</f>
        <v>0</v>
      </c>
    </row>
    <row r="12" spans="1:12" x14ac:dyDescent="0.25">
      <c r="A12" s="238"/>
      <c r="B12" s="166" t="s">
        <v>235</v>
      </c>
      <c r="C12" s="230"/>
      <c r="D12" s="231"/>
      <c r="E12" s="205"/>
      <c r="F12" s="68"/>
      <c r="G12" s="233"/>
      <c r="H12" s="233"/>
      <c r="I12" s="68"/>
      <c r="J12" s="68"/>
      <c r="K12" s="68"/>
      <c r="L12" s="68"/>
    </row>
    <row r="13" spans="1:12" x14ac:dyDescent="0.25">
      <c r="A13" s="238"/>
      <c r="B13" s="225"/>
      <c r="C13" s="321"/>
      <c r="D13" s="227"/>
      <c r="E13" s="137"/>
      <c r="F13" s="228"/>
      <c r="G13" s="229"/>
      <c r="H13" s="229"/>
      <c r="I13" s="228"/>
      <c r="J13" s="228"/>
      <c r="K13" s="228"/>
      <c r="L13" s="228"/>
    </row>
    <row r="14" spans="1:12" x14ac:dyDescent="0.25">
      <c r="A14" s="238"/>
      <c r="B14" s="225"/>
      <c r="C14" s="321"/>
      <c r="D14" s="227"/>
      <c r="E14" s="137"/>
      <c r="F14" s="228"/>
      <c r="G14" s="229"/>
      <c r="H14" s="229"/>
      <c r="I14" s="228"/>
      <c r="J14" s="228"/>
      <c r="K14" s="228"/>
      <c r="L14" s="228"/>
    </row>
    <row r="15" spans="1:12" x14ac:dyDescent="0.25">
      <c r="A15" s="238"/>
      <c r="B15" s="166" t="s">
        <v>79</v>
      </c>
      <c r="C15" s="230"/>
      <c r="D15" s="231"/>
      <c r="E15" s="205"/>
      <c r="F15" s="143">
        <f>SUM(F13:F14)</f>
        <v>0</v>
      </c>
      <c r="G15" s="233"/>
      <c r="H15" s="233"/>
      <c r="I15" s="143">
        <f>SUM(I13:I14)</f>
        <v>0</v>
      </c>
      <c r="J15" s="143">
        <f>SUM(J13:J14)</f>
        <v>0</v>
      </c>
      <c r="K15" s="143">
        <f>SUM(K13:K14)</f>
        <v>0</v>
      </c>
      <c r="L15" s="143">
        <f>SUM(L13:L14)</f>
        <v>0</v>
      </c>
    </row>
    <row r="16" spans="1:12" x14ac:dyDescent="0.25">
      <c r="A16" s="238"/>
      <c r="B16" s="234" t="s">
        <v>27</v>
      </c>
      <c r="C16" s="487"/>
      <c r="D16" s="488"/>
      <c r="E16" s="489"/>
      <c r="F16" s="236">
        <f>SUM(F11+F15)</f>
        <v>0</v>
      </c>
      <c r="G16" s="487"/>
      <c r="H16" s="490"/>
      <c r="I16" s="236">
        <f>SUM(I11+I15)</f>
        <v>0</v>
      </c>
      <c r="J16" s="236">
        <f>SUM(J11+J15)</f>
        <v>0</v>
      </c>
      <c r="K16" s="236">
        <f>SUM(K11+K15)</f>
        <v>0</v>
      </c>
      <c r="L16" s="236">
        <f>SUM(L11+L15)</f>
        <v>0</v>
      </c>
    </row>
    <row r="17" spans="1:25" x14ac:dyDescent="0.25">
      <c r="A17" s="238"/>
      <c r="B17" s="43"/>
      <c r="C17" s="43"/>
      <c r="D17" s="49"/>
      <c r="E17" s="49"/>
      <c r="F17" s="49"/>
      <c r="G17" s="49"/>
      <c r="H17" s="49"/>
      <c r="I17" s="49"/>
      <c r="J17" s="49"/>
      <c r="K17" s="49"/>
      <c r="L17" s="49"/>
      <c r="M17" s="89"/>
      <c r="N17" s="89"/>
      <c r="O17" s="89"/>
      <c r="P17" s="89"/>
      <c r="Q17" s="89"/>
      <c r="R17" s="89"/>
      <c r="S17" s="89"/>
      <c r="T17" s="89"/>
      <c r="U17" s="89"/>
      <c r="V17" s="89"/>
      <c r="W17" s="89"/>
      <c r="X17" s="89"/>
      <c r="Y17" s="89"/>
    </row>
    <row r="18" spans="1:25" s="239" customFormat="1" x14ac:dyDescent="0.25">
      <c r="A18" s="238"/>
      <c r="B18" s="905" t="s">
        <v>25</v>
      </c>
      <c r="C18" s="842"/>
      <c r="D18" s="842"/>
      <c r="E18" s="842"/>
      <c r="F18" s="842"/>
      <c r="G18" s="842"/>
      <c r="H18" s="842"/>
      <c r="I18" s="842"/>
      <c r="J18" s="237"/>
      <c r="K18" s="237"/>
      <c r="L18" s="238"/>
    </row>
    <row r="19" spans="1:25" s="239" customFormat="1" x14ac:dyDescent="0.25">
      <c r="A19" s="238"/>
      <c r="B19" s="49"/>
      <c r="C19" s="240"/>
      <c r="D19" s="240"/>
      <c r="E19" s="240"/>
      <c r="F19" s="240"/>
      <c r="G19" s="240"/>
      <c r="H19" s="240"/>
      <c r="I19" s="240"/>
      <c r="J19" s="241"/>
      <c r="K19" s="241"/>
      <c r="L19" s="238"/>
    </row>
    <row r="20" spans="1:25" s="239" customFormat="1" x14ac:dyDescent="0.25">
      <c r="A20" s="238"/>
      <c r="B20" s="165"/>
      <c r="C20" s="165"/>
      <c r="D20" s="187" t="s">
        <v>12</v>
      </c>
      <c r="E20" s="165"/>
      <c r="F20" s="187" t="s">
        <v>199</v>
      </c>
      <c r="G20" s="165"/>
      <c r="H20" s="165"/>
      <c r="I20" s="165"/>
      <c r="J20" s="242"/>
      <c r="K20" s="243"/>
      <c r="L20" s="238"/>
    </row>
    <row r="21" spans="1:25" s="239" customFormat="1" x14ac:dyDescent="0.25">
      <c r="A21" s="238"/>
      <c r="B21" s="53"/>
      <c r="C21" s="218"/>
      <c r="D21" s="218" t="s">
        <v>8</v>
      </c>
      <c r="E21" s="218" t="s">
        <v>13</v>
      </c>
      <c r="F21" s="218" t="s">
        <v>222</v>
      </c>
      <c r="G21" s="218" t="s">
        <v>14</v>
      </c>
      <c r="H21" s="218" t="s">
        <v>15</v>
      </c>
      <c r="I21" s="218" t="s">
        <v>15</v>
      </c>
      <c r="J21" s="238"/>
      <c r="K21" s="238"/>
      <c r="L21" s="238"/>
    </row>
    <row r="22" spans="1:25" s="239" customFormat="1" x14ac:dyDescent="0.25">
      <c r="A22" s="238"/>
      <c r="B22" s="218" t="s">
        <v>664</v>
      </c>
      <c r="C22" s="218" t="s">
        <v>16</v>
      </c>
      <c r="D22" s="218" t="s">
        <v>17</v>
      </c>
      <c r="E22" s="218" t="s">
        <v>221</v>
      </c>
      <c r="F22" s="218" t="s">
        <v>18</v>
      </c>
      <c r="G22" s="218" t="s">
        <v>54</v>
      </c>
      <c r="H22" s="218" t="s">
        <v>19</v>
      </c>
      <c r="I22" s="218" t="s">
        <v>19</v>
      </c>
      <c r="J22" s="238"/>
      <c r="K22" s="238"/>
      <c r="L22" s="238"/>
    </row>
    <row r="23" spans="1:25" s="239" customFormat="1" x14ac:dyDescent="0.25">
      <c r="A23" s="238"/>
      <c r="B23" s="189" t="s">
        <v>665</v>
      </c>
      <c r="C23" s="189" t="s">
        <v>6</v>
      </c>
      <c r="D23" s="244" t="s">
        <v>20</v>
      </c>
      <c r="E23" s="189" t="s">
        <v>243</v>
      </c>
      <c r="F23" s="244" t="s">
        <v>61</v>
      </c>
      <c r="G23" s="221" t="str">
        <f>CONCATENATE("Jan 1,",L1-1,"")</f>
        <v>Jan 1,2019</v>
      </c>
      <c r="H23" s="189">
        <f>L1-1</f>
        <v>2019</v>
      </c>
      <c r="I23" s="189">
        <f>L1</f>
        <v>2020</v>
      </c>
      <c r="J23" s="238"/>
      <c r="K23" s="238"/>
      <c r="L23" s="238"/>
    </row>
    <row r="24" spans="1:25" s="239" customFormat="1" x14ac:dyDescent="0.25">
      <c r="A24" s="238"/>
      <c r="B24" s="225"/>
      <c r="C24" s="226"/>
      <c r="D24" s="245"/>
      <c r="E24" s="227"/>
      <c r="F24" s="137"/>
      <c r="G24" s="137"/>
      <c r="H24" s="137"/>
      <c r="I24" s="137"/>
      <c r="J24" s="238"/>
      <c r="K24" s="238"/>
      <c r="L24" s="238"/>
    </row>
    <row r="25" spans="1:25" s="239" customFormat="1" x14ac:dyDescent="0.25">
      <c r="A25" s="238"/>
      <c r="B25" s="225"/>
      <c r="C25" s="226"/>
      <c r="D25" s="245"/>
      <c r="E25" s="227"/>
      <c r="F25" s="137"/>
      <c r="G25" s="137"/>
      <c r="H25" s="137"/>
      <c r="I25" s="137"/>
      <c r="J25" s="238"/>
      <c r="K25" s="238"/>
      <c r="L25" s="238"/>
    </row>
    <row r="26" spans="1:25" s="239" customFormat="1" x14ac:dyDescent="0.25">
      <c r="A26" s="238"/>
      <c r="B26" s="225"/>
      <c r="C26" s="226"/>
      <c r="D26" s="245"/>
      <c r="E26" s="227"/>
      <c r="F26" s="137"/>
      <c r="G26" s="137"/>
      <c r="H26" s="137"/>
      <c r="I26" s="137"/>
      <c r="J26" s="238"/>
      <c r="K26" s="238"/>
      <c r="L26" s="238"/>
    </row>
    <row r="27" spans="1:25" s="239" customFormat="1" x14ac:dyDescent="0.25">
      <c r="A27" s="238"/>
      <c r="B27" s="225"/>
      <c r="C27" s="226"/>
      <c r="D27" s="245"/>
      <c r="E27" s="227"/>
      <c r="F27" s="137"/>
      <c r="G27" s="137"/>
      <c r="H27" s="137"/>
      <c r="I27" s="137"/>
      <c r="J27" s="238"/>
      <c r="K27" s="238"/>
      <c r="L27" s="238"/>
    </row>
    <row r="28" spans="1:25" s="239" customFormat="1" x14ac:dyDescent="0.25">
      <c r="A28" s="238"/>
      <c r="B28" s="225"/>
      <c r="C28" s="226"/>
      <c r="D28" s="245"/>
      <c r="E28" s="227"/>
      <c r="F28" s="137"/>
      <c r="G28" s="137"/>
      <c r="H28" s="137"/>
      <c r="I28" s="137"/>
      <c r="J28" s="238"/>
      <c r="K28" s="238"/>
      <c r="L28" s="238"/>
    </row>
    <row r="29" spans="1:25" s="239" customFormat="1" x14ac:dyDescent="0.25">
      <c r="A29" s="238"/>
      <c r="B29" s="225"/>
      <c r="C29" s="226"/>
      <c r="D29" s="245"/>
      <c r="E29" s="227"/>
      <c r="F29" s="137"/>
      <c r="G29" s="137"/>
      <c r="H29" s="137"/>
      <c r="I29" s="137"/>
      <c r="J29" s="238"/>
      <c r="K29" s="238"/>
      <c r="L29" s="238"/>
    </row>
    <row r="30" spans="1:25" s="239" customFormat="1" x14ac:dyDescent="0.25">
      <c r="A30" s="238"/>
      <c r="B30" s="225"/>
      <c r="C30" s="226"/>
      <c r="D30" s="245"/>
      <c r="E30" s="227"/>
      <c r="F30" s="137"/>
      <c r="G30" s="137"/>
      <c r="H30" s="137"/>
      <c r="I30" s="137"/>
      <c r="J30" s="238"/>
      <c r="K30" s="238"/>
      <c r="L30" s="238"/>
    </row>
    <row r="31" spans="1:25" s="239" customFormat="1" x14ac:dyDescent="0.25">
      <c r="A31" s="238"/>
      <c r="B31" s="225"/>
      <c r="C31" s="226"/>
      <c r="D31" s="245"/>
      <c r="E31" s="227"/>
      <c r="F31" s="137"/>
      <c r="G31" s="137"/>
      <c r="H31" s="137"/>
      <c r="I31" s="137"/>
      <c r="J31" s="238"/>
      <c r="K31" s="238"/>
      <c r="L31" s="238"/>
    </row>
    <row r="32" spans="1:25" s="239" customFormat="1" x14ac:dyDescent="0.25">
      <c r="A32" s="238"/>
      <c r="B32" s="225"/>
      <c r="C32" s="226"/>
      <c r="D32" s="245"/>
      <c r="E32" s="227"/>
      <c r="F32" s="137"/>
      <c r="G32" s="137"/>
      <c r="H32" s="137"/>
      <c r="I32" s="137"/>
      <c r="J32" s="238"/>
      <c r="K32" s="238"/>
      <c r="L32" s="238"/>
    </row>
    <row r="33" spans="1:12" s="239" customFormat="1" x14ac:dyDescent="0.25">
      <c r="A33" s="238"/>
      <c r="B33" s="225"/>
      <c r="C33" s="226"/>
      <c r="D33" s="245"/>
      <c r="E33" s="227"/>
      <c r="F33" s="137"/>
      <c r="G33" s="137"/>
      <c r="H33" s="137"/>
      <c r="I33" s="137"/>
      <c r="J33" s="238"/>
      <c r="K33" s="238"/>
      <c r="L33" s="238"/>
    </row>
    <row r="34" spans="1:12" s="239" customFormat="1" x14ac:dyDescent="0.25">
      <c r="A34" s="238"/>
      <c r="B34" s="225"/>
      <c r="C34" s="226"/>
      <c r="D34" s="245"/>
      <c r="E34" s="227"/>
      <c r="F34" s="137"/>
      <c r="G34" s="137"/>
      <c r="H34" s="137"/>
      <c r="I34" s="137"/>
      <c r="J34" s="238"/>
      <c r="K34" s="238"/>
      <c r="L34" s="238"/>
    </row>
    <row r="35" spans="1:12" s="239" customFormat="1" x14ac:dyDescent="0.25">
      <c r="A35" s="238"/>
      <c r="B35" s="225"/>
      <c r="C35" s="226"/>
      <c r="D35" s="245"/>
      <c r="E35" s="227"/>
      <c r="F35" s="137"/>
      <c r="G35" s="137"/>
      <c r="H35" s="137"/>
      <c r="I35" s="137"/>
      <c r="J35" s="238"/>
      <c r="K35" s="238"/>
      <c r="L35" s="238"/>
    </row>
    <row r="36" spans="1:12" x14ac:dyDescent="0.25">
      <c r="A36" s="238"/>
      <c r="B36" s="238"/>
      <c r="C36" s="235"/>
      <c r="D36" s="235"/>
      <c r="E36" s="246"/>
      <c r="F36" s="491" t="s">
        <v>27</v>
      </c>
      <c r="G36" s="236">
        <f>SUM(G24:G35)</f>
        <v>0</v>
      </c>
      <c r="H36" s="236">
        <f>SUM(H24:H35)</f>
        <v>0</v>
      </c>
      <c r="I36" s="236">
        <f>SUM(I24:I35)</f>
        <v>0</v>
      </c>
      <c r="J36" s="214"/>
      <c r="K36" s="214"/>
      <c r="L36" s="247"/>
    </row>
    <row r="37" spans="1:12" x14ac:dyDescent="0.25">
      <c r="A37" s="238"/>
      <c r="B37" s="214"/>
      <c r="C37" s="214"/>
      <c r="D37" s="214"/>
      <c r="E37" s="214"/>
      <c r="F37" s="214"/>
      <c r="G37" s="214"/>
      <c r="H37" s="214"/>
      <c r="I37" s="214"/>
      <c r="J37" s="214"/>
      <c r="K37" s="214"/>
      <c r="L37" s="214"/>
    </row>
    <row r="38" spans="1:12" x14ac:dyDescent="0.25">
      <c r="A38" s="238"/>
      <c r="B38" s="248" t="s">
        <v>152</v>
      </c>
      <c r="C38" s="248"/>
      <c r="D38" s="248"/>
      <c r="E38" s="248"/>
      <c r="F38" s="248"/>
      <c r="G38" s="248"/>
      <c r="H38" s="248"/>
      <c r="I38" s="214"/>
      <c r="J38" s="214"/>
      <c r="K38" s="214"/>
      <c r="L38" s="214"/>
    </row>
    <row r="39" spans="1:12" x14ac:dyDescent="0.25">
      <c r="B39" s="249"/>
    </row>
  </sheetData>
  <sheetProtection sheet="1"/>
  <mergeCells count="2">
    <mergeCell ref="B18:I18"/>
    <mergeCell ref="B3:L3"/>
  </mergeCells>
  <phoneticPr fontId="0" type="noConversion"/>
  <pageMargins left="0.5" right="0.5" top="1" bottom="0.5" header="0.5" footer="0.5"/>
  <pageSetup scale="87" orientation="landscape" blackAndWhite="1"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I108"/>
  <sheetViews>
    <sheetView zoomScaleNormal="100" workbookViewId="0">
      <selection activeCell="T108" sqref="T108"/>
    </sheetView>
  </sheetViews>
  <sheetFormatPr defaultColWidth="8.796875" defaultRowHeight="15" x14ac:dyDescent="0.2"/>
  <cols>
    <col min="1" max="1" width="2.296875" style="509" customWidth="1"/>
    <col min="2" max="4" width="8.796875" style="509"/>
    <col min="5" max="5" width="8.69921875" style="509" customWidth="1"/>
    <col min="6" max="6" width="8.796875" style="509"/>
    <col min="7" max="7" width="8.69921875" style="509" customWidth="1"/>
    <col min="8" max="16384" width="8.796875" style="509"/>
  </cols>
  <sheetData>
    <row r="1" spans="2:9" ht="15.75" x14ac:dyDescent="0.25">
      <c r="B1" s="508"/>
      <c r="C1" s="508"/>
      <c r="D1" s="508"/>
      <c r="E1" s="508"/>
      <c r="F1" s="508"/>
      <c r="G1" s="508"/>
      <c r="H1" s="508"/>
      <c r="I1" s="508"/>
    </row>
    <row r="2" spans="2:9" ht="15.75" x14ac:dyDescent="0.2">
      <c r="B2" s="908" t="s">
        <v>685</v>
      </c>
      <c r="C2" s="908"/>
      <c r="D2" s="908"/>
      <c r="E2" s="908"/>
      <c r="F2" s="908"/>
      <c r="G2" s="908"/>
      <c r="H2" s="908"/>
      <c r="I2" s="908"/>
    </row>
    <row r="3" spans="2:9" ht="15.75" x14ac:dyDescent="0.2">
      <c r="B3" s="908" t="s">
        <v>686</v>
      </c>
      <c r="C3" s="908"/>
      <c r="D3" s="908"/>
      <c r="E3" s="908"/>
      <c r="F3" s="908"/>
      <c r="G3" s="908"/>
      <c r="H3" s="908"/>
      <c r="I3" s="908"/>
    </row>
    <row r="4" spans="2:9" ht="15.75" x14ac:dyDescent="0.2">
      <c r="B4" s="510"/>
      <c r="C4" s="510"/>
      <c r="D4" s="510"/>
      <c r="E4" s="510"/>
      <c r="F4" s="510"/>
      <c r="G4" s="510"/>
      <c r="H4" s="510"/>
      <c r="I4" s="510"/>
    </row>
    <row r="5" spans="2:9" ht="15.75" x14ac:dyDescent="0.2">
      <c r="B5" s="909" t="str">
        <f>CONCATENATE("Budgeted Year: ",inputPrYr!D10,"")</f>
        <v>Budgeted Year: 2020</v>
      </c>
      <c r="C5" s="909"/>
      <c r="D5" s="909"/>
      <c r="E5" s="909"/>
      <c r="F5" s="909"/>
      <c r="G5" s="909"/>
      <c r="H5" s="909"/>
      <c r="I5" s="909"/>
    </row>
    <row r="6" spans="2:9" ht="15.75" x14ac:dyDescent="0.2">
      <c r="B6" s="511"/>
      <c r="C6" s="510"/>
      <c r="D6" s="510"/>
      <c r="E6" s="510"/>
      <c r="F6" s="510"/>
      <c r="G6" s="510"/>
      <c r="H6" s="510"/>
      <c r="I6" s="510"/>
    </row>
    <row r="7" spans="2:9" ht="15.75" x14ac:dyDescent="0.2">
      <c r="B7" s="511" t="str">
        <f>CONCATENATE("Library found in: ",inputPrYr!D4,"")</f>
        <v>Library found in: Scott Township</v>
      </c>
      <c r="C7" s="510"/>
      <c r="D7" s="510"/>
      <c r="E7" s="510"/>
      <c r="F7" s="510"/>
      <c r="G7" s="510"/>
      <c r="H7" s="510"/>
      <c r="I7" s="510"/>
    </row>
    <row r="8" spans="2:9" ht="15.75" x14ac:dyDescent="0.2">
      <c r="B8" s="511" t="str">
        <f>inputPrYr!D5</f>
        <v>Lincoln County</v>
      </c>
      <c r="C8" s="510"/>
      <c r="D8" s="510"/>
      <c r="E8" s="510"/>
      <c r="F8" s="510"/>
      <c r="G8" s="510"/>
      <c r="H8" s="510"/>
      <c r="I8" s="510"/>
    </row>
    <row r="9" spans="2:9" ht="15.75" x14ac:dyDescent="0.2">
      <c r="B9" s="510"/>
      <c r="C9" s="510"/>
      <c r="D9" s="510"/>
      <c r="E9" s="510"/>
      <c r="F9" s="510"/>
      <c r="G9" s="510"/>
      <c r="H9" s="510"/>
      <c r="I9" s="510"/>
    </row>
    <row r="10" spans="2:9" ht="39" customHeight="1" x14ac:dyDescent="0.2">
      <c r="B10" s="910" t="s">
        <v>687</v>
      </c>
      <c r="C10" s="910"/>
      <c r="D10" s="910"/>
      <c r="E10" s="910"/>
      <c r="F10" s="910"/>
      <c r="G10" s="910"/>
      <c r="H10" s="910"/>
      <c r="I10" s="910"/>
    </row>
    <row r="11" spans="2:9" ht="15.75" x14ac:dyDescent="0.2">
      <c r="B11" s="510"/>
      <c r="C11" s="510"/>
      <c r="D11" s="510"/>
      <c r="E11" s="510"/>
      <c r="F11" s="510"/>
      <c r="G11" s="510"/>
      <c r="H11" s="510"/>
      <c r="I11" s="510"/>
    </row>
    <row r="12" spans="2:9" ht="15.75" x14ac:dyDescent="0.2">
      <c r="B12" s="512" t="s">
        <v>688</v>
      </c>
      <c r="C12" s="510"/>
      <c r="D12" s="510"/>
      <c r="E12" s="510"/>
      <c r="F12" s="510"/>
      <c r="G12" s="510"/>
      <c r="H12" s="510"/>
      <c r="I12" s="510"/>
    </row>
    <row r="13" spans="2:9" ht="15.75" x14ac:dyDescent="0.2">
      <c r="B13" s="510"/>
      <c r="C13" s="510"/>
      <c r="D13" s="510"/>
      <c r="E13" s="513" t="s">
        <v>226</v>
      </c>
      <c r="F13" s="510"/>
      <c r="G13" s="513" t="s">
        <v>689</v>
      </c>
      <c r="H13" s="510"/>
      <c r="I13" s="510"/>
    </row>
    <row r="14" spans="2:9" ht="15.75" x14ac:dyDescent="0.2">
      <c r="B14" s="510"/>
      <c r="C14" s="510"/>
      <c r="D14" s="510"/>
      <c r="E14" s="514">
        <f>inputPrYr!D10-1</f>
        <v>2019</v>
      </c>
      <c r="F14" s="510"/>
      <c r="G14" s="514">
        <f>inputPrYr!D10</f>
        <v>2020</v>
      </c>
      <c r="H14" s="510"/>
      <c r="I14" s="510"/>
    </row>
    <row r="15" spans="2:9" ht="15.75" x14ac:dyDescent="0.2">
      <c r="B15" s="511" t="str">
        <f>'DebtSvs-Library'!B49</f>
        <v>Ad Valorem Tax</v>
      </c>
      <c r="C15" s="510"/>
      <c r="D15" s="510"/>
      <c r="E15" s="515">
        <f>'DebtSvs-Library'!D49</f>
        <v>0</v>
      </c>
      <c r="F15" s="510"/>
      <c r="G15" s="515">
        <f>'DebtSvs-Library'!E82</f>
        <v>0</v>
      </c>
      <c r="H15" s="510"/>
      <c r="I15" s="510"/>
    </row>
    <row r="16" spans="2:9" ht="15.75" x14ac:dyDescent="0.2">
      <c r="B16" s="511" t="str">
        <f>'DebtSvs-Library'!B50</f>
        <v>Delinquent Tax</v>
      </c>
      <c r="C16" s="510"/>
      <c r="D16" s="510"/>
      <c r="E16" s="515">
        <f>'DebtSvs-Library'!D50</f>
        <v>0</v>
      </c>
      <c r="F16" s="510"/>
      <c r="G16" s="515">
        <f>'DebtSvs-Library'!E50</f>
        <v>0</v>
      </c>
      <c r="H16" s="510"/>
      <c r="I16" s="510"/>
    </row>
    <row r="17" spans="2:9" ht="15.75" x14ac:dyDescent="0.2">
      <c r="B17" s="511" t="str">
        <f>'DebtSvs-Library'!B51</f>
        <v>Motor Vehicle Tax</v>
      </c>
      <c r="C17" s="510"/>
      <c r="D17" s="510"/>
      <c r="E17" s="515">
        <f>'DebtSvs-Library'!D51</f>
        <v>0</v>
      </c>
      <c r="F17" s="510"/>
      <c r="G17" s="515">
        <f>'DebtSvs-Library'!E51</f>
        <v>0</v>
      </c>
      <c r="H17" s="510"/>
      <c r="I17" s="510"/>
    </row>
    <row r="18" spans="2:9" ht="15.75" x14ac:dyDescent="0.2">
      <c r="B18" s="511" t="str">
        <f>'DebtSvs-Library'!B52</f>
        <v>Recreational Vehicle Tax</v>
      </c>
      <c r="C18" s="510"/>
      <c r="D18" s="510"/>
      <c r="E18" s="515">
        <f>'DebtSvs-Library'!D52</f>
        <v>0</v>
      </c>
      <c r="F18" s="510"/>
      <c r="G18" s="515">
        <f>'DebtSvs-Library'!E52</f>
        <v>0</v>
      </c>
      <c r="H18" s="510"/>
      <c r="I18" s="510"/>
    </row>
    <row r="19" spans="2:9" ht="15.75" x14ac:dyDescent="0.2">
      <c r="B19" s="511" t="str">
        <f>'DebtSvs-Library'!B53</f>
        <v>16/20M Vehicle Tax</v>
      </c>
      <c r="C19" s="510"/>
      <c r="D19" s="510"/>
      <c r="E19" s="515">
        <f>'DebtSvs-Library'!D53</f>
        <v>0</v>
      </c>
      <c r="F19" s="510"/>
      <c r="G19" s="515">
        <f>'DebtSvs-Library'!E53</f>
        <v>0</v>
      </c>
      <c r="H19" s="510"/>
      <c r="I19" s="510"/>
    </row>
    <row r="20" spans="2:9" ht="15.75" x14ac:dyDescent="0.2">
      <c r="B20" s="510" t="s">
        <v>81</v>
      </c>
      <c r="C20" s="510"/>
      <c r="D20" s="510"/>
      <c r="E20" s="515">
        <v>0</v>
      </c>
      <c r="F20" s="510"/>
      <c r="G20" s="515">
        <v>0</v>
      </c>
      <c r="H20" s="510"/>
      <c r="I20" s="510"/>
    </row>
    <row r="21" spans="2:9" ht="15.75" x14ac:dyDescent="0.2">
      <c r="B21" s="510"/>
      <c r="C21" s="510"/>
      <c r="D21" s="510"/>
      <c r="E21" s="515">
        <v>0</v>
      </c>
      <c r="F21" s="510"/>
      <c r="G21" s="515">
        <v>0</v>
      </c>
      <c r="H21" s="510"/>
      <c r="I21" s="510"/>
    </row>
    <row r="22" spans="2:9" ht="15.75" x14ac:dyDescent="0.2">
      <c r="B22" s="510" t="s">
        <v>690</v>
      </c>
      <c r="C22" s="510"/>
      <c r="D22" s="510"/>
      <c r="E22" s="516">
        <f>SUM(E15:E21)</f>
        <v>0</v>
      </c>
      <c r="F22" s="510"/>
      <c r="G22" s="516">
        <f>SUM(G15:G21)</f>
        <v>0</v>
      </c>
      <c r="H22" s="510"/>
      <c r="I22" s="510"/>
    </row>
    <row r="23" spans="2:9" ht="15.75" x14ac:dyDescent="0.2">
      <c r="B23" s="510" t="s">
        <v>691</v>
      </c>
      <c r="C23" s="510"/>
      <c r="D23" s="510"/>
      <c r="E23" s="517">
        <f>G22-E22</f>
        <v>0</v>
      </c>
      <c r="F23" s="510"/>
      <c r="G23" s="518"/>
      <c r="H23" s="510"/>
      <c r="I23" s="510"/>
    </row>
    <row r="24" spans="2:9" ht="15.75" x14ac:dyDescent="0.2">
      <c r="B24" s="510" t="s">
        <v>692</v>
      </c>
      <c r="C24" s="510"/>
      <c r="D24" s="519" t="str">
        <f>IF((G22-E22)&gt;=0,"Qualify","Not Qualify")</f>
        <v>Qualify</v>
      </c>
      <c r="E24" s="510"/>
      <c r="F24" s="510"/>
      <c r="G24" s="510"/>
      <c r="H24" s="510"/>
      <c r="I24" s="510"/>
    </row>
    <row r="25" spans="2:9" ht="15.75" x14ac:dyDescent="0.2">
      <c r="B25" s="510"/>
      <c r="C25" s="510"/>
      <c r="D25" s="510"/>
      <c r="E25" s="510"/>
      <c r="F25" s="510"/>
      <c r="G25" s="510"/>
      <c r="H25" s="510"/>
      <c r="I25" s="510"/>
    </row>
    <row r="26" spans="2:9" ht="15.75" x14ac:dyDescent="0.2">
      <c r="B26" s="512" t="s">
        <v>693</v>
      </c>
      <c r="C26" s="510"/>
      <c r="D26" s="510"/>
      <c r="E26" s="510"/>
      <c r="F26" s="510"/>
      <c r="G26" s="510"/>
      <c r="H26" s="510"/>
      <c r="I26" s="510"/>
    </row>
    <row r="27" spans="2:9" ht="15.75" x14ac:dyDescent="0.2">
      <c r="B27" s="510" t="s">
        <v>694</v>
      </c>
      <c r="C27" s="510"/>
      <c r="D27" s="510"/>
      <c r="E27" s="515">
        <f>summ!D40</f>
        <v>1612145</v>
      </c>
      <c r="F27" s="510"/>
      <c r="G27" s="515">
        <f>summ!F40</f>
        <v>1628902</v>
      </c>
      <c r="H27" s="510"/>
      <c r="I27" s="510"/>
    </row>
    <row r="28" spans="2:9" ht="15.75" x14ac:dyDescent="0.2">
      <c r="B28" s="510" t="s">
        <v>695</v>
      </c>
      <c r="C28" s="510"/>
      <c r="D28" s="510"/>
      <c r="E28" s="520" t="str">
        <f>IF(G27-E27&gt;=0,"No","Yes")</f>
        <v>No</v>
      </c>
      <c r="F28" s="510"/>
      <c r="G28" s="510"/>
      <c r="H28" s="510"/>
      <c r="I28" s="510"/>
    </row>
    <row r="29" spans="2:9" ht="15.75" x14ac:dyDescent="0.2">
      <c r="B29" s="510" t="s">
        <v>696</v>
      </c>
      <c r="C29" s="510"/>
      <c r="D29" s="510"/>
      <c r="E29" s="521" t="str">
        <f>summ!E20</f>
        <v xml:space="preserve">  </v>
      </c>
      <c r="F29" s="510"/>
      <c r="G29" s="521" t="str">
        <f>summ!H20</f>
        <v xml:space="preserve"> </v>
      </c>
      <c r="H29" s="510"/>
      <c r="I29" s="510"/>
    </row>
    <row r="30" spans="2:9" ht="15.75" x14ac:dyDescent="0.2">
      <c r="B30" s="510" t="s">
        <v>697</v>
      </c>
      <c r="C30" s="510"/>
      <c r="D30" s="510"/>
      <c r="E30" s="522" t="e">
        <f>G29-E29</f>
        <v>#VALUE!</v>
      </c>
      <c r="F30" s="510"/>
      <c r="G30" s="510"/>
      <c r="H30" s="510"/>
      <c r="I30" s="510"/>
    </row>
    <row r="31" spans="2:9" ht="15.75" x14ac:dyDescent="0.2">
      <c r="B31" s="510" t="s">
        <v>692</v>
      </c>
      <c r="C31" s="510"/>
      <c r="D31" s="523" t="e">
        <f>IF(E30&gt;=0,"Qualify","Not Qualify")</f>
        <v>#VALUE!</v>
      </c>
      <c r="E31" s="510"/>
      <c r="F31" s="510"/>
      <c r="G31" s="510"/>
      <c r="H31" s="510"/>
      <c r="I31" s="510"/>
    </row>
    <row r="32" spans="2:9" ht="15.75" x14ac:dyDescent="0.2">
      <c r="B32" s="510"/>
      <c r="C32" s="510"/>
      <c r="D32" s="510"/>
      <c r="E32" s="510"/>
      <c r="F32" s="510"/>
      <c r="G32" s="510"/>
      <c r="H32" s="510"/>
      <c r="I32" s="510"/>
    </row>
    <row r="33" spans="2:9" ht="15.75" x14ac:dyDescent="0.2">
      <c r="B33" s="510" t="s">
        <v>698</v>
      </c>
      <c r="C33" s="510"/>
      <c r="D33" s="510"/>
      <c r="E33" s="510"/>
      <c r="F33" s="524" t="str">
        <f>IF(D24="Not Qualify",IF(D31="Not Qualify",IF(D31="Not Qualify","Not Qualify","Qualify"),"Qualify"),"Qualify")</f>
        <v>Qualify</v>
      </c>
      <c r="G33" s="510"/>
      <c r="H33" s="510"/>
      <c r="I33" s="510"/>
    </row>
    <row r="34" spans="2:9" ht="15.75" x14ac:dyDescent="0.2">
      <c r="B34" s="510"/>
      <c r="C34" s="510"/>
      <c r="D34" s="510"/>
      <c r="E34" s="510"/>
      <c r="F34" s="510"/>
      <c r="G34" s="510"/>
      <c r="H34" s="510"/>
      <c r="I34" s="510"/>
    </row>
    <row r="35" spans="2:9" ht="15.75" x14ac:dyDescent="0.2">
      <c r="B35" s="510"/>
      <c r="C35" s="510"/>
      <c r="D35" s="510"/>
      <c r="E35" s="510"/>
      <c r="F35" s="510"/>
      <c r="G35" s="510"/>
      <c r="H35" s="510"/>
      <c r="I35" s="510"/>
    </row>
    <row r="36" spans="2:9" ht="37.5" customHeight="1" x14ac:dyDescent="0.2">
      <c r="B36" s="910" t="s">
        <v>699</v>
      </c>
      <c r="C36" s="910"/>
      <c r="D36" s="910"/>
      <c r="E36" s="910"/>
      <c r="F36" s="910"/>
      <c r="G36" s="910"/>
      <c r="H36" s="910"/>
      <c r="I36" s="910"/>
    </row>
    <row r="37" spans="2:9" ht="15.75" x14ac:dyDescent="0.2">
      <c r="B37" s="510"/>
      <c r="C37" s="510"/>
      <c r="D37" s="510"/>
      <c r="E37" s="510"/>
      <c r="F37" s="510"/>
      <c r="G37" s="510"/>
      <c r="H37" s="510"/>
      <c r="I37" s="510"/>
    </row>
    <row r="38" spans="2:9" ht="15.75" x14ac:dyDescent="0.2">
      <c r="B38" s="510"/>
      <c r="C38" s="510"/>
      <c r="D38" s="510"/>
      <c r="E38" s="510"/>
      <c r="F38" s="510"/>
      <c r="G38" s="510"/>
      <c r="H38" s="510"/>
      <c r="I38" s="510"/>
    </row>
    <row r="39" spans="2:9" ht="15.75" x14ac:dyDescent="0.2">
      <c r="B39" s="510"/>
      <c r="C39" s="510"/>
      <c r="D39" s="510"/>
      <c r="E39" s="510"/>
      <c r="F39" s="510"/>
      <c r="G39" s="510"/>
      <c r="H39" s="510"/>
      <c r="I39" s="510"/>
    </row>
    <row r="40" spans="2:9" ht="15.75" x14ac:dyDescent="0.2">
      <c r="B40" s="510"/>
      <c r="C40" s="510"/>
      <c r="D40" s="510"/>
      <c r="E40" s="525" t="s">
        <v>700</v>
      </c>
      <c r="F40" s="526">
        <v>6</v>
      </c>
      <c r="G40" s="510"/>
      <c r="H40" s="510"/>
      <c r="I40" s="510"/>
    </row>
    <row r="41" spans="2:9" ht="15.75" x14ac:dyDescent="0.2">
      <c r="B41" s="510"/>
      <c r="C41" s="510"/>
      <c r="D41" s="510"/>
      <c r="E41" s="510"/>
      <c r="F41" s="510"/>
      <c r="G41" s="510"/>
      <c r="H41" s="510"/>
      <c r="I41" s="510"/>
    </row>
    <row r="42" spans="2:9" ht="15.75" x14ac:dyDescent="0.2">
      <c r="B42" s="510"/>
      <c r="C42" s="510"/>
      <c r="D42" s="510"/>
      <c r="E42" s="510"/>
      <c r="F42" s="510"/>
      <c r="G42" s="510"/>
      <c r="H42" s="510"/>
      <c r="I42" s="510"/>
    </row>
    <row r="43" spans="2:9" ht="15.75" x14ac:dyDescent="0.25">
      <c r="B43" s="906" t="s">
        <v>701</v>
      </c>
      <c r="C43" s="907"/>
      <c r="D43" s="907"/>
      <c r="E43" s="907"/>
      <c r="F43" s="907"/>
      <c r="G43" s="907"/>
      <c r="H43" s="907"/>
      <c r="I43" s="907"/>
    </row>
    <row r="44" spans="2:9" ht="15.75" x14ac:dyDescent="0.2">
      <c r="B44" s="510"/>
      <c r="C44" s="510"/>
      <c r="D44" s="510"/>
      <c r="E44" s="510"/>
      <c r="F44" s="510"/>
      <c r="G44" s="510"/>
      <c r="H44" s="510"/>
      <c r="I44" s="510"/>
    </row>
    <row r="45" spans="2:9" ht="15.75" x14ac:dyDescent="0.25">
      <c r="B45" s="527" t="s">
        <v>702</v>
      </c>
      <c r="C45" s="510"/>
      <c r="D45" s="510"/>
      <c r="E45" s="510"/>
      <c r="F45" s="510"/>
      <c r="G45" s="510"/>
      <c r="H45" s="510"/>
      <c r="I45" s="510"/>
    </row>
    <row r="46" spans="2:9" ht="15.75" x14ac:dyDescent="0.25">
      <c r="B46" s="527" t="str">
        <f>CONCATENATE("sources in your ",G14," library fund is not equal to or greater than the amount from the same")</f>
        <v>sources in your 2020 library fund is not equal to or greater than the amount from the same</v>
      </c>
      <c r="C46" s="510"/>
      <c r="D46" s="510"/>
      <c r="E46" s="510"/>
      <c r="F46" s="510"/>
      <c r="G46" s="510"/>
      <c r="H46" s="510"/>
      <c r="I46" s="510"/>
    </row>
    <row r="47" spans="2:9" ht="15.75" x14ac:dyDescent="0.25">
      <c r="B47" s="527" t="str">
        <f>CONCATENATE("sources in ",E14,".")</f>
        <v>sources in 2019.</v>
      </c>
      <c r="C47" s="508"/>
      <c r="D47" s="508"/>
      <c r="E47" s="508"/>
      <c r="F47" s="508"/>
      <c r="G47" s="508"/>
      <c r="H47" s="508"/>
      <c r="I47" s="508"/>
    </row>
    <row r="48" spans="2:9" ht="15.75" x14ac:dyDescent="0.25">
      <c r="B48" s="508"/>
      <c r="C48" s="508"/>
      <c r="D48" s="508"/>
      <c r="E48" s="508"/>
      <c r="F48" s="508"/>
      <c r="G48" s="508"/>
      <c r="H48" s="508"/>
      <c r="I48" s="508"/>
    </row>
    <row r="49" spans="2:9" ht="15.75" x14ac:dyDescent="0.25">
      <c r="B49" s="527" t="s">
        <v>703</v>
      </c>
      <c r="C49" s="527"/>
      <c r="D49" s="528"/>
      <c r="E49" s="528"/>
      <c r="F49" s="528"/>
      <c r="G49" s="528"/>
      <c r="H49" s="528"/>
      <c r="I49" s="528"/>
    </row>
    <row r="50" spans="2:9" ht="15.75" x14ac:dyDescent="0.25">
      <c r="B50" s="527" t="s">
        <v>704</v>
      </c>
      <c r="C50" s="527"/>
      <c r="D50" s="528"/>
      <c r="E50" s="528"/>
      <c r="F50" s="528"/>
      <c r="G50" s="528"/>
      <c r="H50" s="528"/>
      <c r="I50" s="528"/>
    </row>
    <row r="51" spans="2:9" ht="15.75" x14ac:dyDescent="0.25">
      <c r="B51" s="527" t="s">
        <v>705</v>
      </c>
      <c r="C51" s="527"/>
      <c r="D51" s="528"/>
      <c r="E51" s="528"/>
      <c r="F51" s="528"/>
      <c r="G51" s="528"/>
      <c r="H51" s="528"/>
      <c r="I51" s="528"/>
    </row>
    <row r="52" spans="2:9" x14ac:dyDescent="0.2">
      <c r="B52" s="528"/>
      <c r="C52" s="528"/>
      <c r="D52" s="528"/>
      <c r="E52" s="528"/>
      <c r="F52" s="528"/>
      <c r="G52" s="528"/>
      <c r="H52" s="528"/>
      <c r="I52" s="528"/>
    </row>
    <row r="53" spans="2:9" ht="15.75" x14ac:dyDescent="0.25">
      <c r="B53" s="529" t="s">
        <v>706</v>
      </c>
      <c r="C53" s="528"/>
      <c r="D53" s="528"/>
      <c r="E53" s="528"/>
      <c r="F53" s="528"/>
      <c r="G53" s="528"/>
      <c r="H53" s="528"/>
      <c r="I53" s="528"/>
    </row>
    <row r="54" spans="2:9" x14ac:dyDescent="0.2">
      <c r="B54" s="528"/>
      <c r="C54" s="528"/>
      <c r="D54" s="528"/>
      <c r="E54" s="528"/>
      <c r="F54" s="528"/>
      <c r="G54" s="528"/>
      <c r="H54" s="528"/>
      <c r="I54" s="528"/>
    </row>
    <row r="55" spans="2:9" ht="15.75" x14ac:dyDescent="0.25">
      <c r="B55" s="527" t="s">
        <v>707</v>
      </c>
      <c r="C55" s="528"/>
      <c r="D55" s="528"/>
      <c r="E55" s="528"/>
      <c r="F55" s="528"/>
      <c r="G55" s="528"/>
      <c r="H55" s="528"/>
      <c r="I55" s="528"/>
    </row>
    <row r="56" spans="2:9" ht="15.75" x14ac:dyDescent="0.25">
      <c r="B56" s="527" t="s">
        <v>708</v>
      </c>
      <c r="C56" s="528"/>
      <c r="D56" s="528"/>
      <c r="E56" s="528"/>
      <c r="F56" s="528"/>
      <c r="G56" s="528"/>
      <c r="H56" s="528"/>
      <c r="I56" s="528"/>
    </row>
    <row r="57" spans="2:9" x14ac:dyDescent="0.2">
      <c r="B57" s="528"/>
      <c r="C57" s="528"/>
      <c r="D57" s="528"/>
      <c r="E57" s="528"/>
      <c r="F57" s="528"/>
      <c r="G57" s="528"/>
      <c r="H57" s="528"/>
      <c r="I57" s="528"/>
    </row>
    <row r="58" spans="2:9" ht="15.75" x14ac:dyDescent="0.25">
      <c r="B58" s="529" t="s">
        <v>709</v>
      </c>
      <c r="C58" s="527"/>
      <c r="D58" s="527"/>
      <c r="E58" s="527"/>
      <c r="F58" s="527"/>
      <c r="G58" s="528"/>
      <c r="H58" s="528"/>
      <c r="I58" s="528"/>
    </row>
    <row r="59" spans="2:9" ht="15.75" x14ac:dyDescent="0.25">
      <c r="B59" s="527"/>
      <c r="C59" s="527"/>
      <c r="D59" s="527"/>
      <c r="E59" s="527"/>
      <c r="F59" s="527"/>
      <c r="G59" s="528"/>
      <c r="H59" s="528"/>
      <c r="I59" s="528"/>
    </row>
    <row r="60" spans="2:9" ht="15.75" x14ac:dyDescent="0.25">
      <c r="B60" s="527" t="s">
        <v>710</v>
      </c>
      <c r="C60" s="527"/>
      <c r="D60" s="527"/>
      <c r="E60" s="527"/>
      <c r="F60" s="527"/>
      <c r="G60" s="528"/>
      <c r="H60" s="528"/>
      <c r="I60" s="528"/>
    </row>
    <row r="61" spans="2:9" ht="15.75" x14ac:dyDescent="0.25">
      <c r="B61" s="527" t="s">
        <v>711</v>
      </c>
      <c r="C61" s="527"/>
      <c r="D61" s="527"/>
      <c r="E61" s="527"/>
      <c r="F61" s="527"/>
      <c r="G61" s="528"/>
      <c r="H61" s="528"/>
      <c r="I61" s="528"/>
    </row>
    <row r="62" spans="2:9" ht="15.75" x14ac:dyDescent="0.25">
      <c r="B62" s="527" t="s">
        <v>712</v>
      </c>
      <c r="C62" s="527"/>
      <c r="D62" s="527"/>
      <c r="E62" s="527"/>
      <c r="F62" s="527"/>
      <c r="G62" s="528"/>
      <c r="H62" s="528"/>
      <c r="I62" s="528"/>
    </row>
    <row r="63" spans="2:9" ht="15.75" x14ac:dyDescent="0.25">
      <c r="B63" s="527" t="s">
        <v>713</v>
      </c>
      <c r="C63" s="527"/>
      <c r="D63" s="527"/>
      <c r="E63" s="527"/>
      <c r="F63" s="527"/>
      <c r="G63" s="528"/>
      <c r="H63" s="528"/>
      <c r="I63" s="528"/>
    </row>
    <row r="64" spans="2:9" x14ac:dyDescent="0.2">
      <c r="B64" s="530"/>
      <c r="C64" s="530"/>
      <c r="D64" s="530"/>
      <c r="E64" s="530"/>
      <c r="F64" s="530"/>
      <c r="G64" s="528"/>
      <c r="H64" s="528"/>
      <c r="I64" s="528"/>
    </row>
    <row r="65" spans="2:9" ht="15.75" x14ac:dyDescent="0.25">
      <c r="B65" s="527" t="s">
        <v>714</v>
      </c>
      <c r="C65" s="530"/>
      <c r="D65" s="530"/>
      <c r="E65" s="530"/>
      <c r="F65" s="530"/>
      <c r="G65" s="528"/>
      <c r="H65" s="528"/>
      <c r="I65" s="528"/>
    </row>
    <row r="66" spans="2:9" ht="15.75" x14ac:dyDescent="0.25">
      <c r="B66" s="527" t="s">
        <v>715</v>
      </c>
      <c r="C66" s="530"/>
      <c r="D66" s="530"/>
      <c r="E66" s="530"/>
      <c r="F66" s="530"/>
      <c r="G66" s="528"/>
      <c r="H66" s="528"/>
      <c r="I66" s="528"/>
    </row>
    <row r="67" spans="2:9" x14ac:dyDescent="0.2">
      <c r="B67" s="530"/>
      <c r="C67" s="530"/>
      <c r="D67" s="530"/>
      <c r="E67" s="530"/>
      <c r="F67" s="530"/>
      <c r="G67" s="528"/>
      <c r="H67" s="528"/>
      <c r="I67" s="528"/>
    </row>
    <row r="68" spans="2:9" ht="15.75" x14ac:dyDescent="0.25">
      <c r="B68" s="527" t="s">
        <v>716</v>
      </c>
      <c r="C68" s="530"/>
      <c r="D68" s="530"/>
      <c r="E68" s="530"/>
      <c r="F68" s="530"/>
      <c r="G68" s="528"/>
      <c r="H68" s="528"/>
      <c r="I68" s="528"/>
    </row>
    <row r="69" spans="2:9" ht="15.75" x14ac:dyDescent="0.25">
      <c r="B69" s="527" t="s">
        <v>717</v>
      </c>
      <c r="C69" s="530"/>
      <c r="D69" s="530"/>
      <c r="E69" s="530"/>
      <c r="F69" s="530"/>
      <c r="G69" s="528"/>
      <c r="H69" s="528"/>
      <c r="I69" s="528"/>
    </row>
    <row r="70" spans="2:9" x14ac:dyDescent="0.2">
      <c r="B70" s="530"/>
      <c r="C70" s="530"/>
      <c r="D70" s="530"/>
      <c r="E70" s="530"/>
      <c r="F70" s="530"/>
      <c r="G70" s="528"/>
      <c r="H70" s="528"/>
      <c r="I70" s="528"/>
    </row>
    <row r="71" spans="2:9" ht="15.75" x14ac:dyDescent="0.25">
      <c r="B71" s="529" t="s">
        <v>718</v>
      </c>
      <c r="C71" s="530"/>
      <c r="D71" s="530"/>
      <c r="E71" s="530"/>
      <c r="F71" s="530"/>
      <c r="G71" s="528"/>
      <c r="H71" s="528"/>
      <c r="I71" s="528"/>
    </row>
    <row r="72" spans="2:9" x14ac:dyDescent="0.2">
      <c r="B72" s="530"/>
      <c r="C72" s="530"/>
      <c r="D72" s="530"/>
      <c r="E72" s="530"/>
      <c r="F72" s="530"/>
      <c r="G72" s="528"/>
      <c r="H72" s="528"/>
      <c r="I72" s="528"/>
    </row>
    <row r="73" spans="2:9" ht="15.75" x14ac:dyDescent="0.25">
      <c r="B73" s="527" t="s">
        <v>719</v>
      </c>
      <c r="C73" s="530"/>
      <c r="D73" s="530"/>
      <c r="E73" s="530"/>
      <c r="F73" s="530"/>
      <c r="G73" s="528"/>
      <c r="H73" s="528"/>
      <c r="I73" s="528"/>
    </row>
    <row r="74" spans="2:9" ht="15.75" x14ac:dyDescent="0.25">
      <c r="B74" s="527" t="s">
        <v>720</v>
      </c>
      <c r="C74" s="530"/>
      <c r="D74" s="530"/>
      <c r="E74" s="530"/>
      <c r="F74" s="530"/>
      <c r="G74" s="528"/>
      <c r="H74" s="528"/>
      <c r="I74" s="528"/>
    </row>
    <row r="75" spans="2:9" x14ac:dyDescent="0.2">
      <c r="B75" s="530"/>
      <c r="C75" s="530"/>
      <c r="D75" s="530"/>
      <c r="E75" s="530"/>
      <c r="F75" s="530"/>
      <c r="G75" s="528"/>
      <c r="H75" s="528"/>
      <c r="I75" s="528"/>
    </row>
    <row r="76" spans="2:9" ht="15.75" x14ac:dyDescent="0.25">
      <c r="B76" s="529" t="s">
        <v>721</v>
      </c>
      <c r="C76" s="530"/>
      <c r="D76" s="530"/>
      <c r="E76" s="530"/>
      <c r="F76" s="530"/>
      <c r="G76" s="528"/>
      <c r="H76" s="528"/>
      <c r="I76" s="528"/>
    </row>
    <row r="77" spans="2:9" x14ac:dyDescent="0.2">
      <c r="B77" s="530"/>
      <c r="C77" s="530"/>
      <c r="D77" s="530"/>
      <c r="E77" s="530"/>
      <c r="F77" s="530"/>
      <c r="G77" s="528"/>
      <c r="H77" s="528"/>
      <c r="I77" s="528"/>
    </row>
    <row r="78" spans="2:9" ht="15.75" x14ac:dyDescent="0.25">
      <c r="B78" s="527" t="str">
        <f>CONCATENATE("If the ",G14," municipal budget has not been published and has not been submitted to the County")</f>
        <v>If the 2020 municipal budget has not been published and has not been submitted to the County</v>
      </c>
      <c r="C78" s="530"/>
      <c r="D78" s="530"/>
      <c r="E78" s="530"/>
      <c r="F78" s="530"/>
      <c r="G78" s="528"/>
      <c r="H78" s="528"/>
      <c r="I78" s="528"/>
    </row>
    <row r="79" spans="2:9" ht="15.75" x14ac:dyDescent="0.25">
      <c r="B79" s="527" t="s">
        <v>722</v>
      </c>
      <c r="C79" s="530"/>
      <c r="D79" s="530"/>
      <c r="E79" s="530"/>
      <c r="F79" s="530"/>
      <c r="G79" s="528"/>
      <c r="H79" s="528"/>
      <c r="I79" s="528"/>
    </row>
    <row r="80" spans="2:9" x14ac:dyDescent="0.2">
      <c r="B80" s="530"/>
      <c r="C80" s="530"/>
      <c r="D80" s="530"/>
      <c r="E80" s="530"/>
      <c r="F80" s="530"/>
      <c r="G80" s="528"/>
      <c r="H80" s="528"/>
      <c r="I80" s="528"/>
    </row>
    <row r="81" spans="2:9" ht="15.75" x14ac:dyDescent="0.25">
      <c r="B81" s="529" t="s">
        <v>337</v>
      </c>
      <c r="C81" s="530"/>
      <c r="D81" s="530"/>
      <c r="E81" s="530"/>
      <c r="F81" s="530"/>
      <c r="G81" s="528"/>
      <c r="H81" s="528"/>
      <c r="I81" s="528"/>
    </row>
    <row r="82" spans="2:9" x14ac:dyDescent="0.2">
      <c r="B82" s="530"/>
      <c r="C82" s="530"/>
      <c r="D82" s="530"/>
      <c r="E82" s="530"/>
      <c r="F82" s="530"/>
      <c r="G82" s="528"/>
      <c r="H82" s="528"/>
      <c r="I82" s="528"/>
    </row>
    <row r="83" spans="2:9" ht="15.75" x14ac:dyDescent="0.25">
      <c r="B83" s="527" t="s">
        <v>723</v>
      </c>
      <c r="C83" s="530"/>
      <c r="D83" s="530"/>
      <c r="E83" s="530"/>
      <c r="F83" s="530"/>
      <c r="G83" s="528"/>
      <c r="H83" s="528"/>
      <c r="I83" s="528"/>
    </row>
    <row r="84" spans="2:9" ht="15.75" x14ac:dyDescent="0.25">
      <c r="B84" s="527" t="str">
        <f>CONCATENATE("Budget Year ",G14," is equal to or greater than that for Current Year Estimate ",E14,".")</f>
        <v>Budget Year 2020 is equal to or greater than that for Current Year Estimate 2019.</v>
      </c>
      <c r="C84" s="530"/>
      <c r="D84" s="530"/>
      <c r="E84" s="530"/>
      <c r="F84" s="530"/>
      <c r="G84" s="528"/>
      <c r="H84" s="528"/>
      <c r="I84" s="528"/>
    </row>
    <row r="85" spans="2:9" x14ac:dyDescent="0.2">
      <c r="B85" s="530"/>
      <c r="C85" s="530"/>
      <c r="D85" s="530"/>
      <c r="E85" s="530"/>
      <c r="F85" s="530"/>
      <c r="G85" s="528"/>
      <c r="H85" s="528"/>
      <c r="I85" s="528"/>
    </row>
    <row r="86" spans="2:9" ht="15.75" x14ac:dyDescent="0.25">
      <c r="B86" s="527" t="s">
        <v>724</v>
      </c>
      <c r="C86" s="530"/>
      <c r="D86" s="530"/>
      <c r="E86" s="530"/>
      <c r="F86" s="530"/>
      <c r="G86" s="528"/>
      <c r="H86" s="528"/>
      <c r="I86" s="528"/>
    </row>
    <row r="87" spans="2:9" ht="15.75" x14ac:dyDescent="0.25">
      <c r="B87" s="527" t="s">
        <v>725</v>
      </c>
      <c r="C87" s="530"/>
      <c r="D87" s="530"/>
      <c r="E87" s="530"/>
      <c r="F87" s="530"/>
      <c r="G87" s="528"/>
      <c r="H87" s="528"/>
      <c r="I87" s="528"/>
    </row>
    <row r="88" spans="2:9" ht="15.75" x14ac:dyDescent="0.25">
      <c r="B88" s="527" t="s">
        <v>726</v>
      </c>
      <c r="C88" s="530"/>
      <c r="D88" s="530"/>
      <c r="E88" s="530"/>
      <c r="F88" s="530"/>
      <c r="G88" s="528"/>
      <c r="H88" s="528"/>
      <c r="I88" s="528"/>
    </row>
    <row r="89" spans="2:9" ht="15.75" x14ac:dyDescent="0.25">
      <c r="B89" s="527" t="str">
        <f>CONCATENATE("purpose for the previous (",E14,") year.")</f>
        <v>purpose for the previous (2019) year.</v>
      </c>
      <c r="C89" s="530"/>
      <c r="D89" s="530"/>
      <c r="E89" s="530"/>
      <c r="F89" s="530"/>
      <c r="G89" s="528"/>
      <c r="H89" s="528"/>
      <c r="I89" s="528"/>
    </row>
    <row r="90" spans="2:9" x14ac:dyDescent="0.2">
      <c r="B90" s="530"/>
      <c r="C90" s="530"/>
      <c r="D90" s="530"/>
      <c r="E90" s="530"/>
      <c r="F90" s="530"/>
      <c r="G90" s="528"/>
      <c r="H90" s="528"/>
      <c r="I90" s="528"/>
    </row>
    <row r="91" spans="2:9" ht="15.75" x14ac:dyDescent="0.25">
      <c r="B91" s="527" t="str">
        <f>CONCATENATE("Next, look to see if delinquent tax for ",G14," is budgeted. Often this line is budgeted at $0 or left")</f>
        <v>Next, look to see if delinquent tax for 2020 is budgeted. Often this line is budgeted at $0 or left</v>
      </c>
      <c r="C91" s="530"/>
      <c r="D91" s="530"/>
      <c r="E91" s="530"/>
      <c r="F91" s="530"/>
      <c r="G91" s="528"/>
      <c r="H91" s="528"/>
      <c r="I91" s="528"/>
    </row>
    <row r="92" spans="2:9" ht="15.75" x14ac:dyDescent="0.25">
      <c r="B92" s="527" t="s">
        <v>727</v>
      </c>
      <c r="C92" s="530"/>
      <c r="D92" s="530"/>
      <c r="E92" s="530"/>
      <c r="F92" s="530"/>
      <c r="G92" s="528"/>
      <c r="H92" s="528"/>
      <c r="I92" s="528"/>
    </row>
    <row r="93" spans="2:9" ht="15.75" x14ac:dyDescent="0.25">
      <c r="B93" s="527" t="s">
        <v>728</v>
      </c>
      <c r="C93" s="530"/>
      <c r="D93" s="530"/>
      <c r="E93" s="530"/>
      <c r="F93" s="530"/>
      <c r="G93" s="528"/>
      <c r="H93" s="528"/>
      <c r="I93" s="528"/>
    </row>
    <row r="94" spans="2:9" ht="15.75" x14ac:dyDescent="0.25">
      <c r="B94" s="527" t="s">
        <v>729</v>
      </c>
      <c r="C94" s="530"/>
      <c r="D94" s="530"/>
      <c r="E94" s="530"/>
      <c r="F94" s="530"/>
      <c r="G94" s="528"/>
      <c r="H94" s="528"/>
      <c r="I94" s="528"/>
    </row>
    <row r="95" spans="2:9" x14ac:dyDescent="0.2">
      <c r="B95" s="530"/>
      <c r="C95" s="530"/>
      <c r="D95" s="530"/>
      <c r="E95" s="530"/>
      <c r="F95" s="530"/>
      <c r="G95" s="528"/>
      <c r="H95" s="528"/>
      <c r="I95" s="528"/>
    </row>
    <row r="96" spans="2:9" ht="15.75" x14ac:dyDescent="0.25">
      <c r="B96" s="529" t="s">
        <v>730</v>
      </c>
      <c r="C96" s="530"/>
      <c r="D96" s="530"/>
      <c r="E96" s="530"/>
      <c r="F96" s="530"/>
      <c r="G96" s="528"/>
      <c r="H96" s="528"/>
      <c r="I96" s="528"/>
    </row>
    <row r="97" spans="2:9" x14ac:dyDescent="0.2">
      <c r="B97" s="530"/>
      <c r="C97" s="530"/>
      <c r="D97" s="530"/>
      <c r="E97" s="530"/>
      <c r="F97" s="530"/>
      <c r="G97" s="528"/>
      <c r="H97" s="528"/>
      <c r="I97" s="528"/>
    </row>
    <row r="98" spans="2:9" ht="15.75" x14ac:dyDescent="0.25">
      <c r="B98" s="527" t="s">
        <v>731</v>
      </c>
      <c r="C98" s="530"/>
      <c r="D98" s="530"/>
      <c r="E98" s="530"/>
      <c r="F98" s="530"/>
      <c r="G98" s="528"/>
      <c r="H98" s="528"/>
      <c r="I98" s="528"/>
    </row>
    <row r="99" spans="2:9" ht="15.75" x14ac:dyDescent="0.25">
      <c r="B99" s="527" t="s">
        <v>732</v>
      </c>
      <c r="C99" s="530"/>
      <c r="D99" s="530"/>
      <c r="E99" s="530"/>
      <c r="F99" s="530"/>
      <c r="G99" s="528"/>
      <c r="H99" s="528"/>
      <c r="I99" s="528"/>
    </row>
    <row r="100" spans="2:9" x14ac:dyDescent="0.2">
      <c r="B100" s="530"/>
      <c r="C100" s="530"/>
      <c r="D100" s="530"/>
      <c r="E100" s="530"/>
      <c r="F100" s="530"/>
      <c r="G100" s="528"/>
      <c r="H100" s="528"/>
      <c r="I100" s="528"/>
    </row>
    <row r="101" spans="2:9" ht="15.75" x14ac:dyDescent="0.25">
      <c r="B101" s="527" t="s">
        <v>733</v>
      </c>
      <c r="C101" s="530"/>
      <c r="D101" s="530"/>
      <c r="E101" s="530"/>
      <c r="F101" s="530"/>
      <c r="G101" s="528"/>
      <c r="H101" s="528"/>
      <c r="I101" s="528"/>
    </row>
    <row r="102" spans="2:9" ht="15.75" x14ac:dyDescent="0.25">
      <c r="B102" s="527" t="s">
        <v>734</v>
      </c>
      <c r="C102" s="530"/>
      <c r="D102" s="530"/>
      <c r="E102" s="530"/>
      <c r="F102" s="530"/>
      <c r="G102" s="528"/>
      <c r="H102" s="528"/>
      <c r="I102" s="528"/>
    </row>
    <row r="103" spans="2:9" ht="15.75" x14ac:dyDescent="0.25">
      <c r="B103" s="527" t="s">
        <v>735</v>
      </c>
      <c r="C103" s="530"/>
      <c r="D103" s="530"/>
      <c r="E103" s="530"/>
      <c r="F103" s="530"/>
      <c r="G103" s="528"/>
      <c r="H103" s="528"/>
      <c r="I103" s="528"/>
    </row>
    <row r="104" spans="2:9" ht="15.75" x14ac:dyDescent="0.25">
      <c r="B104" s="527" t="s">
        <v>736</v>
      </c>
      <c r="C104" s="530"/>
      <c r="D104" s="530"/>
      <c r="E104" s="530"/>
      <c r="F104" s="530"/>
      <c r="G104" s="528"/>
      <c r="H104" s="528"/>
      <c r="I104" s="528"/>
    </row>
    <row r="105" spans="2:9" ht="15.75" x14ac:dyDescent="0.25">
      <c r="B105" s="730" t="s">
        <v>988</v>
      </c>
      <c r="C105" s="658"/>
      <c r="D105" s="658"/>
      <c r="E105" s="658"/>
      <c r="F105" s="658"/>
      <c r="G105" s="528"/>
      <c r="H105" s="528"/>
      <c r="I105" s="528"/>
    </row>
    <row r="108" spans="2:9" x14ac:dyDescent="0.2">
      <c r="G108" s="531"/>
    </row>
  </sheetData>
  <mergeCells count="6">
    <mergeCell ref="B43:I43"/>
    <mergeCell ref="B2:I2"/>
    <mergeCell ref="B3:I3"/>
    <mergeCell ref="B5:I5"/>
    <mergeCell ref="B10:I10"/>
    <mergeCell ref="B36:I36"/>
  </mergeCells>
  <hyperlinks>
    <hyperlink ref="B105"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00B0F0"/>
    <pageSetUpPr fitToPage="1"/>
  </sheetPr>
  <dimension ref="B1:K77"/>
  <sheetViews>
    <sheetView workbookViewId="0">
      <selection activeCell="D39" sqref="D39"/>
    </sheetView>
  </sheetViews>
  <sheetFormatPr defaultColWidth="8.796875" defaultRowHeight="15.75" x14ac:dyDescent="0.25"/>
  <cols>
    <col min="1" max="1" width="2.3984375" style="129" customWidth="1"/>
    <col min="2" max="2" width="31" style="129" customWidth="1"/>
    <col min="3" max="4" width="15.69921875" style="129" customWidth="1"/>
    <col min="5" max="5" width="13.69921875" style="129" customWidth="1"/>
    <col min="6" max="6" width="8.796875" style="129"/>
    <col min="7" max="7" width="7" style="129" customWidth="1"/>
    <col min="8" max="8" width="8.796875" style="129"/>
    <col min="9" max="9" width="6.5" style="129" customWidth="1"/>
    <col min="10" max="10" width="7.69921875" style="129" customWidth="1"/>
    <col min="11" max="16384" width="8.796875" style="129"/>
  </cols>
  <sheetData>
    <row r="1" spans="2:5" x14ac:dyDescent="0.25">
      <c r="B1" s="182" t="str">
        <f>inputPrYr!D4</f>
        <v>Scott Township</v>
      </c>
      <c r="C1" s="43"/>
      <c r="D1" s="43"/>
      <c r="E1" s="183">
        <f>inputPrYr!D10</f>
        <v>2020</v>
      </c>
    </row>
    <row r="2" spans="2:5" x14ac:dyDescent="0.25">
      <c r="B2" s="470" t="s">
        <v>654</v>
      </c>
      <c r="C2" s="43"/>
      <c r="D2" s="43"/>
      <c r="E2" s="250"/>
    </row>
    <row r="3" spans="2:5" x14ac:dyDescent="0.25">
      <c r="B3" s="43"/>
      <c r="C3" s="56"/>
      <c r="D3" s="56"/>
      <c r="E3" s="251"/>
    </row>
    <row r="4" spans="2:5" x14ac:dyDescent="0.25">
      <c r="B4" s="50" t="s">
        <v>224</v>
      </c>
      <c r="C4" s="322" t="s">
        <v>225</v>
      </c>
      <c r="D4" s="325" t="s">
        <v>226</v>
      </c>
      <c r="E4" s="52" t="s">
        <v>227</v>
      </c>
    </row>
    <row r="5" spans="2:5" x14ac:dyDescent="0.25">
      <c r="B5" s="413" t="str">
        <f>inputPrYr!B23</f>
        <v>General</v>
      </c>
      <c r="C5" s="323" t="str">
        <f>CONCATENATE("Actual for ",$E$1-2,"")</f>
        <v>Actual for 2018</v>
      </c>
      <c r="D5" s="323" t="str">
        <f>CONCATENATE("Estimate for ",$E$1-1,"")</f>
        <v>Estimate for 2019</v>
      </c>
      <c r="E5" s="57" t="str">
        <f>CONCATENATE("Year for ",$E$1,"")</f>
        <v>Year for 2020</v>
      </c>
    </row>
    <row r="6" spans="2:5" x14ac:dyDescent="0.25">
      <c r="B6" s="58" t="s">
        <v>57</v>
      </c>
      <c r="C6" s="252">
        <v>1179</v>
      </c>
      <c r="D6" s="324">
        <f>C51</f>
        <v>1484</v>
      </c>
      <c r="E6" s="205">
        <f>D51</f>
        <v>1682</v>
      </c>
    </row>
    <row r="7" spans="2:5" x14ac:dyDescent="0.25">
      <c r="B7" s="58" t="s">
        <v>59</v>
      </c>
      <c r="C7" s="324"/>
      <c r="D7" s="324"/>
      <c r="E7" s="254"/>
    </row>
    <row r="8" spans="2:5" x14ac:dyDescent="0.25">
      <c r="B8" s="58" t="s">
        <v>230</v>
      </c>
      <c r="C8" s="252">
        <v>2490</v>
      </c>
      <c r="D8" s="324">
        <f>IF(inputPrYr!H22&gt;0,inputPrYr!G23,inputPrYr!E23)</f>
        <v>3000</v>
      </c>
      <c r="E8" s="254" t="s">
        <v>213</v>
      </c>
    </row>
    <row r="9" spans="2:5" x14ac:dyDescent="0.25">
      <c r="B9" s="58" t="s">
        <v>231</v>
      </c>
      <c r="C9" s="252">
        <v>57</v>
      </c>
      <c r="D9" s="252"/>
      <c r="E9" s="137"/>
    </row>
    <row r="10" spans="2:5" x14ac:dyDescent="0.25">
      <c r="B10" s="58" t="s">
        <v>232</v>
      </c>
      <c r="C10" s="252">
        <v>127</v>
      </c>
      <c r="D10" s="252">
        <v>137</v>
      </c>
      <c r="E10" s="205">
        <f>mvalloc!D11+mvalloc!E11</f>
        <v>160</v>
      </c>
    </row>
    <row r="11" spans="2:5" x14ac:dyDescent="0.25">
      <c r="B11" s="58" t="s">
        <v>233</v>
      </c>
      <c r="C11" s="252">
        <v>3</v>
      </c>
      <c r="D11" s="252">
        <v>5</v>
      </c>
      <c r="E11" s="205">
        <f>mvalloc!F11+mvalloc!G11</f>
        <v>5</v>
      </c>
    </row>
    <row r="12" spans="2:5" x14ac:dyDescent="0.25">
      <c r="B12" s="255" t="s">
        <v>21</v>
      </c>
      <c r="C12" s="252">
        <v>34</v>
      </c>
      <c r="D12" s="252">
        <v>33</v>
      </c>
      <c r="E12" s="205">
        <f>mvalloc!H11+mvalloc!I11</f>
        <v>41</v>
      </c>
    </row>
    <row r="13" spans="2:5" x14ac:dyDescent="0.25">
      <c r="B13" s="742" t="s">
        <v>824</v>
      </c>
      <c r="C13" s="252">
        <v>5</v>
      </c>
      <c r="D13" s="252">
        <v>8</v>
      </c>
      <c r="E13" s="205">
        <f>mvalloc!J11+mvalloc!K11</f>
        <v>10</v>
      </c>
    </row>
    <row r="14" spans="2:5" x14ac:dyDescent="0.25">
      <c r="B14" s="742" t="s">
        <v>825</v>
      </c>
      <c r="C14" s="252">
        <v>2</v>
      </c>
      <c r="D14" s="252">
        <v>2</v>
      </c>
      <c r="E14" s="205">
        <f>mvalloc!L11+mvalloc!M11</f>
        <v>2</v>
      </c>
    </row>
    <row r="15" spans="2:5" x14ac:dyDescent="0.25">
      <c r="B15" s="255" t="s">
        <v>81</v>
      </c>
      <c r="C15" s="252"/>
      <c r="D15" s="252">
        <v>0</v>
      </c>
      <c r="E15" s="205">
        <f>inputOth!E77</f>
        <v>0</v>
      </c>
    </row>
    <row r="16" spans="2:5" x14ac:dyDescent="0.25">
      <c r="B16" s="58" t="s">
        <v>234</v>
      </c>
      <c r="C16" s="252">
        <v>112</v>
      </c>
      <c r="D16" s="252">
        <v>260</v>
      </c>
      <c r="E16" s="205">
        <f>inputOth!E32</f>
        <v>0</v>
      </c>
    </row>
    <row r="17" spans="2:10" x14ac:dyDescent="0.25">
      <c r="B17" s="257"/>
      <c r="C17" s="252"/>
      <c r="D17" s="252"/>
      <c r="E17" s="137"/>
    </row>
    <row r="18" spans="2:10" x14ac:dyDescent="0.25">
      <c r="B18" s="256"/>
      <c r="C18" s="252"/>
      <c r="D18" s="252"/>
      <c r="E18" s="137"/>
    </row>
    <row r="19" spans="2:10" x14ac:dyDescent="0.25">
      <c r="B19" s="256"/>
      <c r="C19" s="252"/>
      <c r="D19" s="252"/>
      <c r="E19" s="137"/>
    </row>
    <row r="20" spans="2:10" x14ac:dyDescent="0.25">
      <c r="B20" s="257"/>
      <c r="C20" s="252"/>
      <c r="D20" s="252"/>
      <c r="E20" s="137"/>
    </row>
    <row r="21" spans="2:10" x14ac:dyDescent="0.25">
      <c r="B21" s="257"/>
      <c r="C21" s="252"/>
      <c r="D21" s="252"/>
      <c r="E21" s="137"/>
    </row>
    <row r="22" spans="2:10" x14ac:dyDescent="0.25">
      <c r="B22" s="256"/>
      <c r="C22" s="252"/>
      <c r="D22" s="252"/>
      <c r="E22" s="137"/>
    </row>
    <row r="23" spans="2:10" x14ac:dyDescent="0.25">
      <c r="B23" s="257" t="s">
        <v>236</v>
      </c>
      <c r="C23" s="252"/>
      <c r="D23" s="252"/>
      <c r="E23" s="137"/>
    </row>
    <row r="24" spans="2:10" x14ac:dyDescent="0.25">
      <c r="B24" s="255" t="s">
        <v>188</v>
      </c>
      <c r="C24" s="252"/>
      <c r="D24" s="252"/>
      <c r="E24" s="148">
        <f>nhood!E6*-1</f>
        <v>0</v>
      </c>
    </row>
    <row r="25" spans="2:10" x14ac:dyDescent="0.25">
      <c r="B25" s="258" t="s">
        <v>186</v>
      </c>
      <c r="C25" s="252"/>
      <c r="D25" s="252"/>
      <c r="E25" s="137"/>
    </row>
    <row r="26" spans="2:10" x14ac:dyDescent="0.25">
      <c r="B26" s="258" t="s">
        <v>187</v>
      </c>
      <c r="C26" s="326" t="str">
        <f>IF(C27*0.1&lt;C25,"Exceed 10% Rule","")</f>
        <v/>
      </c>
      <c r="D26" s="326" t="str">
        <f>IF(D27*0.1&lt;D25,"Exceed 10% Rule","")</f>
        <v/>
      </c>
      <c r="E26" s="262" t="str">
        <f>IF((E57+E27)*0.1&lt;E25,"Exceed 10% Rule","")</f>
        <v/>
      </c>
    </row>
    <row r="27" spans="2:10" x14ac:dyDescent="0.25">
      <c r="B27" s="260" t="s">
        <v>237</v>
      </c>
      <c r="C27" s="327">
        <f>SUM(C8:C25)</f>
        <v>2830</v>
      </c>
      <c r="D27" s="327">
        <f>SUM(D8:D25)</f>
        <v>3445</v>
      </c>
      <c r="E27" s="261">
        <f>SUM(E8:E25)</f>
        <v>218</v>
      </c>
    </row>
    <row r="28" spans="2:10" x14ac:dyDescent="0.25">
      <c r="B28" s="76" t="s">
        <v>238</v>
      </c>
      <c r="C28" s="327">
        <f>C27+C6</f>
        <v>4009</v>
      </c>
      <c r="D28" s="327">
        <f>D27+D6</f>
        <v>4929</v>
      </c>
      <c r="E28" s="261">
        <f>E27+E6</f>
        <v>1900</v>
      </c>
    </row>
    <row r="29" spans="2:10" x14ac:dyDescent="0.25">
      <c r="B29" s="58" t="s">
        <v>239</v>
      </c>
      <c r="C29" s="324"/>
      <c r="D29" s="324"/>
      <c r="E29" s="205"/>
    </row>
    <row r="30" spans="2:10" x14ac:dyDescent="0.25">
      <c r="B30" s="256"/>
      <c r="C30" s="252"/>
      <c r="D30" s="252"/>
      <c r="E30" s="137"/>
    </row>
    <row r="31" spans="2:10" x14ac:dyDescent="0.25">
      <c r="B31" s="257" t="s">
        <v>49</v>
      </c>
      <c r="C31" s="252"/>
      <c r="D31" s="252"/>
      <c r="E31" s="137"/>
      <c r="G31" s="917" t="str">
        <f>CONCATENATE("Desired Carryover Into ",E1+1,"")</f>
        <v>Desired Carryover Into 2021</v>
      </c>
      <c r="H31" s="918"/>
      <c r="I31" s="918"/>
      <c r="J31" s="919"/>
    </row>
    <row r="32" spans="2:10" x14ac:dyDescent="0.25">
      <c r="B32" s="257" t="s">
        <v>63</v>
      </c>
      <c r="C32" s="252"/>
      <c r="D32" s="252"/>
      <c r="E32" s="137"/>
      <c r="G32" s="433"/>
      <c r="H32" s="49"/>
      <c r="I32" s="474"/>
      <c r="J32" s="434"/>
    </row>
    <row r="33" spans="2:11" x14ac:dyDescent="0.25">
      <c r="B33" s="257" t="s">
        <v>50</v>
      </c>
      <c r="C33" s="252"/>
      <c r="D33" s="252"/>
      <c r="E33" s="137"/>
      <c r="G33" s="435" t="s">
        <v>640</v>
      </c>
      <c r="H33" s="474"/>
      <c r="I33" s="474"/>
      <c r="J33" s="436">
        <v>0</v>
      </c>
    </row>
    <row r="34" spans="2:11" x14ac:dyDescent="0.25">
      <c r="B34" s="257" t="s">
        <v>250</v>
      </c>
      <c r="C34" s="252"/>
      <c r="D34" s="252"/>
      <c r="E34" s="137"/>
      <c r="G34" s="433" t="s">
        <v>641</v>
      </c>
      <c r="H34" s="49"/>
      <c r="I34" s="49"/>
      <c r="J34" s="636" t="str">
        <f>IF(J33=0,"",ROUND((J33+E57-G46)/inputOth!E11*1000,3)-G51)</f>
        <v/>
      </c>
    </row>
    <row r="35" spans="2:11" x14ac:dyDescent="0.25">
      <c r="B35" s="256" t="s">
        <v>51</v>
      </c>
      <c r="C35" s="252"/>
      <c r="D35" s="252"/>
      <c r="E35" s="137"/>
      <c r="G35" s="637" t="str">
        <f>CONCATENATE("",E1," Tot Exp/Non-Appr Must Be:")</f>
        <v>2020 Tot Exp/Non-Appr Must Be:</v>
      </c>
      <c r="H35" s="467"/>
      <c r="I35" s="633"/>
      <c r="J35" s="638">
        <f>IF(J33&gt;0,IF(E54&lt;E23,IF(J33=G46,E54,((J33-G46)*(1-D56))+E23),E54+(J33-G46)),0)</f>
        <v>0</v>
      </c>
    </row>
    <row r="36" spans="2:11" x14ac:dyDescent="0.25">
      <c r="B36" s="256" t="s">
        <v>64</v>
      </c>
      <c r="C36" s="252">
        <v>800</v>
      </c>
      <c r="D36" s="252">
        <v>800</v>
      </c>
      <c r="E36" s="137">
        <v>800</v>
      </c>
      <c r="G36" s="639" t="s">
        <v>741</v>
      </c>
      <c r="H36" s="640"/>
      <c r="I36" s="640"/>
      <c r="J36" s="641">
        <f>IF(J33&gt;0,J35-E54,0)</f>
        <v>0</v>
      </c>
    </row>
    <row r="37" spans="2:11" x14ac:dyDescent="0.25">
      <c r="B37" s="257" t="s">
        <v>66</v>
      </c>
      <c r="C37" s="252"/>
      <c r="D37" s="252"/>
      <c r="E37" s="137"/>
    </row>
    <row r="38" spans="2:11" x14ac:dyDescent="0.25">
      <c r="B38" s="257" t="s">
        <v>1004</v>
      </c>
      <c r="C38" s="252">
        <v>1650</v>
      </c>
      <c r="D38" s="252">
        <v>2347</v>
      </c>
      <c r="E38" s="137">
        <v>4000</v>
      </c>
      <c r="G38" s="917" t="str">
        <f>CONCATENATE("Projected Carryover Into ",E1+1,"")</f>
        <v>Projected Carryover Into 2021</v>
      </c>
      <c r="H38" s="918"/>
      <c r="I38" s="918"/>
      <c r="J38" s="919"/>
    </row>
    <row r="39" spans="2:11" x14ac:dyDescent="0.25">
      <c r="B39" s="257" t="s">
        <v>1005</v>
      </c>
      <c r="C39" s="252">
        <v>75</v>
      </c>
      <c r="D39" s="252">
        <v>100</v>
      </c>
      <c r="E39" s="137">
        <v>100</v>
      </c>
      <c r="G39" s="432"/>
      <c r="H39" s="49"/>
      <c r="I39" s="49"/>
      <c r="J39" s="62"/>
    </row>
    <row r="40" spans="2:11" x14ac:dyDescent="0.25">
      <c r="B40" s="257"/>
      <c r="C40" s="252"/>
      <c r="D40" s="252"/>
      <c r="E40" s="137"/>
      <c r="G40" s="471">
        <f>D51</f>
        <v>1682</v>
      </c>
      <c r="H40" s="472" t="str">
        <f>CONCATENATE("",E1-1," Ending Cash Balance (est.)")</f>
        <v>2019 Ending Cash Balance (est.)</v>
      </c>
      <c r="I40" s="473"/>
      <c r="J40" s="62"/>
    </row>
    <row r="41" spans="2:11" x14ac:dyDescent="0.25">
      <c r="B41" s="257"/>
      <c r="C41" s="252"/>
      <c r="D41" s="252"/>
      <c r="E41" s="137"/>
      <c r="G41" s="471">
        <f>E27</f>
        <v>218</v>
      </c>
      <c r="H41" s="474" t="str">
        <f>CONCATENATE("",E1," Non-AV Receipts (est.)")</f>
        <v>2020 Non-AV Receipts (est.)</v>
      </c>
      <c r="I41" s="474"/>
      <c r="J41" s="62"/>
    </row>
    <row r="42" spans="2:11" x14ac:dyDescent="0.2">
      <c r="B42" s="256"/>
      <c r="C42" s="252"/>
      <c r="D42" s="252"/>
      <c r="E42" s="137"/>
      <c r="G42" s="475">
        <f>IF(D56&gt;0,E55,E57)</f>
        <v>3000</v>
      </c>
      <c r="H42" s="474" t="str">
        <f>CONCATENATE("",E1," Ad Valorem Tax (est.)")</f>
        <v>2020 Ad Valorem Tax (est.)</v>
      </c>
      <c r="I42" s="474"/>
      <c r="J42" s="62"/>
      <c r="K42" s="642" t="str">
        <f>IF(G42=E57,"","Note: Does not include Delinquent Taxes")</f>
        <v/>
      </c>
    </row>
    <row r="43" spans="2:11" x14ac:dyDescent="0.25">
      <c r="B43" s="255" t="str">
        <f>CONCATENATE("Cash Forward (",E1," column)")</f>
        <v>Cash Forward (2020 column)</v>
      </c>
      <c r="C43" s="252"/>
      <c r="D43" s="252"/>
      <c r="E43" s="137"/>
      <c r="G43" s="471">
        <f>SUM(G40:G42)</f>
        <v>4900</v>
      </c>
      <c r="H43" s="474" t="str">
        <f>CONCATENATE("Total ",E1," Resources Available")</f>
        <v>Total 2020 Resources Available</v>
      </c>
      <c r="I43" s="474"/>
      <c r="J43" s="62"/>
    </row>
    <row r="44" spans="2:11" x14ac:dyDescent="0.25">
      <c r="B44" s="255" t="s">
        <v>153</v>
      </c>
      <c r="C44" s="252"/>
      <c r="D44" s="252"/>
      <c r="E44" s="137"/>
      <c r="G44" s="476"/>
      <c r="H44" s="474"/>
      <c r="I44" s="474"/>
      <c r="J44" s="62"/>
    </row>
    <row r="45" spans="2:11" x14ac:dyDescent="0.25">
      <c r="B45" s="255" t="s">
        <v>154</v>
      </c>
      <c r="C45" s="326" t="str">
        <f>IF(AND($C$44&gt;0,$C$8&gt;0),"Not Authorized","")</f>
        <v/>
      </c>
      <c r="D45" s="326" t="str">
        <f>IF(AND($D$44&gt;0,$D$8&gt;0),"Not Authorized","")</f>
        <v/>
      </c>
      <c r="E45" s="262" t="str">
        <f>IF(AND(E57&gt;0,$E$44&gt;0),"Not Authorized","")</f>
        <v/>
      </c>
      <c r="G45" s="475">
        <f>ROUND(C50*0.05+C50,0)</f>
        <v>2651</v>
      </c>
      <c r="H45" s="474" t="str">
        <f>CONCATENATE("Less ",E1-2," Expenditures + 5%")</f>
        <v>Less 2018 Expenditures + 5%</v>
      </c>
      <c r="I45" s="474"/>
      <c r="J45" s="62"/>
    </row>
    <row r="46" spans="2:11" x14ac:dyDescent="0.25">
      <c r="B46" s="58" t="s">
        <v>155</v>
      </c>
      <c r="C46" s="252"/>
      <c r="D46" s="252"/>
      <c r="E46" s="137"/>
      <c r="G46" s="477">
        <f>G43-G45</f>
        <v>2249</v>
      </c>
      <c r="H46" s="478" t="str">
        <f>CONCATENATE("Projected ",E1+1," Carryover (est.)")</f>
        <v>Projected 2021 Carryover (est.)</v>
      </c>
      <c r="I46" s="479"/>
      <c r="J46" s="480"/>
    </row>
    <row r="47" spans="2:11" x14ac:dyDescent="0.25">
      <c r="B47" s="58" t="s">
        <v>657</v>
      </c>
      <c r="C47" s="326" t="str">
        <f>IF(C28*0.25&lt;C46,"Exceeds 25%","")</f>
        <v/>
      </c>
      <c r="D47" s="326" t="str">
        <f>IF(D28*0.25&lt;D46,"Exceeds 25%","")</f>
        <v/>
      </c>
      <c r="E47" s="262" t="str">
        <f>IF(E28*0.25+E57&lt;E46,"Exceeds 25%","")</f>
        <v/>
      </c>
    </row>
    <row r="48" spans="2:11" x14ac:dyDescent="0.2">
      <c r="B48" s="255" t="s">
        <v>186</v>
      </c>
      <c r="C48" s="252"/>
      <c r="D48" s="252"/>
      <c r="E48" s="137"/>
      <c r="G48" s="920" t="s">
        <v>742</v>
      </c>
      <c r="H48" s="921"/>
      <c r="I48" s="921"/>
      <c r="J48" s="922"/>
    </row>
    <row r="49" spans="2:11" x14ac:dyDescent="0.25">
      <c r="B49" s="255" t="s">
        <v>637</v>
      </c>
      <c r="C49" s="326" t="str">
        <f>IF(C50*0.1&lt;C48,"Exceed 10% Rule","")</f>
        <v/>
      </c>
      <c r="D49" s="326" t="str">
        <f>IF(D50*0.1&lt;D48,"Exceed 10% Rule","")</f>
        <v/>
      </c>
      <c r="E49" s="262" t="str">
        <f>IF(E50*0.1&lt;E48,"Exceed 10% Rule","")</f>
        <v/>
      </c>
      <c r="G49" s="643"/>
      <c r="H49" s="472"/>
      <c r="I49" s="634"/>
      <c r="J49" s="644"/>
    </row>
    <row r="50" spans="2:11" x14ac:dyDescent="0.25">
      <c r="B50" s="76" t="s">
        <v>240</v>
      </c>
      <c r="C50" s="327">
        <f>SUM(C30:C44,C46,C48:C48)</f>
        <v>2525</v>
      </c>
      <c r="D50" s="327">
        <f>SUM(D30:D44,D46,D48:D48)</f>
        <v>3247</v>
      </c>
      <c r="E50" s="261">
        <f>SUM(E30:E44,E48:E48,E46)</f>
        <v>4900</v>
      </c>
      <c r="G50" s="645">
        <f>summ!H18</f>
        <v>1.8420000000000001</v>
      </c>
      <c r="H50" s="472" t="str">
        <f>CONCATENATE("",E1," Fund Mill Rate")</f>
        <v>2020 Fund Mill Rate</v>
      </c>
      <c r="I50" s="634"/>
      <c r="J50" s="644"/>
    </row>
    <row r="51" spans="2:11" x14ac:dyDescent="0.25">
      <c r="B51" s="58" t="s">
        <v>58</v>
      </c>
      <c r="C51" s="328">
        <f>C28-C50</f>
        <v>1484</v>
      </c>
      <c r="D51" s="328">
        <f>D28-D50</f>
        <v>1682</v>
      </c>
      <c r="E51" s="254" t="s">
        <v>213</v>
      </c>
      <c r="G51" s="646">
        <f>summ!E18</f>
        <v>1.861</v>
      </c>
      <c r="H51" s="472" t="str">
        <f>CONCATENATE("",E1-1," Fund Mill Rate")</f>
        <v>2019 Fund Mill Rate</v>
      </c>
      <c r="I51" s="634"/>
      <c r="J51" s="644"/>
    </row>
    <row r="52" spans="2:11" x14ac:dyDescent="0.25">
      <c r="B52" s="92" t="str">
        <f>CONCATENATE("",E1-2,"/",E1-1,"/",E1," Budget Authority Amount:")</f>
        <v>2018/2019/2020 Budget Authority Amount:</v>
      </c>
      <c r="C52" s="673">
        <f>inputOth!B89</f>
        <v>3452</v>
      </c>
      <c r="D52" s="673">
        <f>inputPrYr!D23</f>
        <v>3959</v>
      </c>
      <c r="E52" s="205">
        <f>E50</f>
        <v>4900</v>
      </c>
      <c r="F52" s="263"/>
      <c r="G52" s="647">
        <f>summ!H36</f>
        <v>1.8420000000000001</v>
      </c>
      <c r="H52" s="472" t="str">
        <f>CONCATENATE("Total ",E1," Mill Rate")</f>
        <v>Total 2020 Mill Rate</v>
      </c>
      <c r="I52" s="634"/>
      <c r="J52" s="644"/>
    </row>
    <row r="53" spans="2:11" x14ac:dyDescent="0.25">
      <c r="B53" s="93"/>
      <c r="C53" s="911" t="s">
        <v>634</v>
      </c>
      <c r="D53" s="912"/>
      <c r="E53" s="137"/>
      <c r="F53" s="263" t="str">
        <f>IF(E50/0.95-E50&lt;E53,"Exceeds 5%","")</f>
        <v/>
      </c>
      <c r="G53" s="646">
        <f>summ!E36</f>
        <v>1.861</v>
      </c>
      <c r="H53" s="648" t="str">
        <f>CONCATENATE("Total ",E1-1," Mill Rate")</f>
        <v>Total 2019 Mill Rate</v>
      </c>
      <c r="I53" s="649"/>
      <c r="J53" s="650"/>
    </row>
    <row r="54" spans="2:11" x14ac:dyDescent="0.25">
      <c r="B54" s="428" t="str">
        <f>CONCATENATE(C76,"      ",D76)</f>
        <v xml:space="preserve">      </v>
      </c>
      <c r="C54" s="913" t="s">
        <v>635</v>
      </c>
      <c r="D54" s="914"/>
      <c r="E54" s="205">
        <f>E50+E53</f>
        <v>4900</v>
      </c>
    </row>
    <row r="55" spans="2:11" x14ac:dyDescent="0.25">
      <c r="B55" s="428" t="str">
        <f>CONCATENATE(C77,"       ",D77)</f>
        <v xml:space="preserve">       </v>
      </c>
      <c r="C55" s="431"/>
      <c r="D55" s="430" t="s">
        <v>242</v>
      </c>
      <c r="E55" s="148">
        <f>IF(E54-E28&gt;0,E54-E28,0)</f>
        <v>3000</v>
      </c>
      <c r="G55" s="781" t="s">
        <v>846</v>
      </c>
      <c r="H55" s="777"/>
      <c r="I55" s="776"/>
      <c r="J55" s="775" t="str">
        <f>cert!F41</f>
        <v>No</v>
      </c>
    </row>
    <row r="56" spans="2:11" x14ac:dyDescent="0.25">
      <c r="B56" s="170"/>
      <c r="C56" s="429" t="s">
        <v>636</v>
      </c>
      <c r="D56" s="635">
        <f>inputOth!$E$83</f>
        <v>0</v>
      </c>
      <c r="E56" s="205">
        <f>ROUND(IF(D56&gt;0,(E55*D56),0),0)</f>
        <v>0</v>
      </c>
      <c r="G56" s="774" t="str">
        <f>CONCATENATE("Computed ",E1," tax levy limit amount")</f>
        <v>Computed 2020 tax levy limit amount</v>
      </c>
      <c r="H56" s="773"/>
      <c r="I56" s="773"/>
      <c r="J56" s="772">
        <f>computation!J41</f>
        <v>3075</v>
      </c>
    </row>
    <row r="57" spans="2:11" x14ac:dyDescent="0.25">
      <c r="B57" s="43"/>
      <c r="C57" s="915" t="str">
        <f>CONCATENATE("Amount of  ",$E$1-1," Ad Valorem Tax")</f>
        <v>Amount of  2019 Ad Valorem Tax</v>
      </c>
      <c r="D57" s="916"/>
      <c r="E57" s="148">
        <f>E55+E56</f>
        <v>3000</v>
      </c>
      <c r="G57" s="771" t="str">
        <f>CONCATENATE("Total ",E1," tax levy amount")</f>
        <v>Total 2020 tax levy amount</v>
      </c>
      <c r="H57" s="770"/>
      <c r="I57" s="770"/>
      <c r="J57" s="769">
        <f>summ!G36</f>
        <v>3000</v>
      </c>
    </row>
    <row r="58" spans="2:11" x14ac:dyDescent="0.25">
      <c r="B58" s="43"/>
      <c r="C58" s="43"/>
      <c r="D58" s="43"/>
      <c r="E58" s="43"/>
    </row>
    <row r="59" spans="2:11" x14ac:dyDescent="0.25">
      <c r="B59" s="790" t="s">
        <v>987</v>
      </c>
      <c r="C59" s="682"/>
      <c r="D59" s="682"/>
      <c r="E59" s="60"/>
    </row>
    <row r="60" spans="2:11" x14ac:dyDescent="0.25">
      <c r="B60" s="432"/>
      <c r="C60" s="49"/>
      <c r="D60" s="49"/>
      <c r="E60" s="62"/>
    </row>
    <row r="61" spans="2:11" s="265" customFormat="1" x14ac:dyDescent="0.25">
      <c r="B61" s="793"/>
      <c r="C61" s="56"/>
      <c r="D61" s="681"/>
      <c r="E61" s="67"/>
      <c r="G61" s="129"/>
      <c r="H61" s="129"/>
      <c r="I61" s="129"/>
      <c r="J61" s="129"/>
      <c r="K61" s="129"/>
    </row>
    <row r="62" spans="2:11" s="266" customFormat="1" x14ac:dyDescent="0.25">
      <c r="B62" s="43"/>
      <c r="C62" s="43"/>
      <c r="D62" s="151"/>
      <c r="E62" s="43"/>
      <c r="G62" s="129"/>
      <c r="H62" s="129"/>
      <c r="I62" s="129"/>
      <c r="J62" s="129"/>
      <c r="K62" s="129"/>
    </row>
    <row r="63" spans="2:11" x14ac:dyDescent="0.25">
      <c r="B63" s="170" t="s">
        <v>223</v>
      </c>
      <c r="C63" s="710">
        <v>6</v>
      </c>
      <c r="D63" s="43"/>
      <c r="E63" s="43"/>
    </row>
    <row r="65" spans="2:4" x14ac:dyDescent="0.25">
      <c r="B65" s="85"/>
    </row>
    <row r="76" spans="2:4" hidden="1" x14ac:dyDescent="0.25">
      <c r="C76" s="129" t="str">
        <f>IF(C50&gt;C52,"See Tab A","")</f>
        <v/>
      </c>
      <c r="D76" s="129" t="str">
        <f>IF(D50&gt;D52,"See Tab C","")</f>
        <v/>
      </c>
    </row>
    <row r="77" spans="2:4" hidden="1" x14ac:dyDescent="0.25">
      <c r="C77" s="129" t="str">
        <f>IF(C51&lt;0,"See Tab B","")</f>
        <v/>
      </c>
      <c r="D77" s="129" t="str">
        <f>IF(D51&lt;0,"See Tab D","")</f>
        <v/>
      </c>
    </row>
  </sheetData>
  <sheetProtection sheet="1"/>
  <mergeCells count="6">
    <mergeCell ref="C53:D53"/>
    <mergeCell ref="C54:D54"/>
    <mergeCell ref="C57:D57"/>
    <mergeCell ref="G31:J31"/>
    <mergeCell ref="G38:J38"/>
    <mergeCell ref="G48:J48"/>
  </mergeCells>
  <phoneticPr fontId="0" type="noConversion"/>
  <conditionalFormatting sqref="C25">
    <cfRule type="cellIs" dxfId="170" priority="2" stopIfTrue="1" operator="greaterThan">
      <formula>$C$27*0.1</formula>
    </cfRule>
  </conditionalFormatting>
  <conditionalFormatting sqref="D25">
    <cfRule type="cellIs" dxfId="169" priority="3" stopIfTrue="1" operator="greaterThan">
      <formula>$D$27*0.1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6">
    <cfRule type="cellIs" dxfId="161" priority="11" stopIfTrue="1" operator="greaterThan">
      <formula>$C$28*0.25</formula>
    </cfRule>
  </conditionalFormatting>
  <conditionalFormatting sqref="D46">
    <cfRule type="cellIs" dxfId="160" priority="12" stopIfTrue="1" operator="greaterThan">
      <formula>$D$28*0.25</formula>
    </cfRule>
  </conditionalFormatting>
  <conditionalFormatting sqref="D44">
    <cfRule type="expression" dxfId="159" priority="13" stopIfTrue="1">
      <formula>$D$8&gt;0</formula>
    </cfRule>
  </conditionalFormatting>
  <conditionalFormatting sqref="C44">
    <cfRule type="expression" dxfId="158" priority="15" stopIfTrue="1">
      <formula>$C$8&gt;0</formula>
    </cfRule>
  </conditionalFormatting>
  <conditionalFormatting sqref="E44">
    <cfRule type="expression" dxfId="157" priority="17" stopIfTrue="1">
      <formula>$E$57&gt;0</formula>
    </cfRule>
  </conditionalFormatting>
  <conditionalFormatting sqref="D51">
    <cfRule type="cellIs" dxfId="156" priority="1" stopIfTrue="1" operator="lessThan">
      <formula>0</formula>
    </cfRule>
  </conditionalFormatting>
  <conditionalFormatting sqref="E25">
    <cfRule type="cellIs" dxfId="155" priority="23" stopIfTrue="1" operator="greaterThan">
      <formula>$E$27*0.1+$E$57</formula>
    </cfRule>
  </conditionalFormatting>
  <conditionalFormatting sqref="E46">
    <cfRule type="cellIs" dxfId="154" priority="24" stopIfTrue="1" operator="greaterThan">
      <formula>$E$28*0.25+$E$57</formula>
    </cfRule>
  </conditionalFormatting>
  <pageMargins left="0.9" right="0.9" top="0.96" bottom="0.5" header="0.41" footer="0.3"/>
  <pageSetup scale="78" orientation="portrait" blackAndWhite="1"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B1:K101"/>
  <sheetViews>
    <sheetView zoomScaleNormal="100" workbookViewId="0">
      <selection activeCell="E90" sqref="E90"/>
    </sheetView>
  </sheetViews>
  <sheetFormatPr defaultColWidth="8.796875" defaultRowHeight="15.75" x14ac:dyDescent="0.25"/>
  <cols>
    <col min="1" max="1" width="2.19921875" style="535" customWidth="1"/>
    <col min="2" max="2" width="28.59765625" style="535" customWidth="1"/>
    <col min="3" max="4" width="14.19921875" style="535" customWidth="1"/>
    <col min="5" max="5" width="14.59765625" style="535" customWidth="1"/>
    <col min="6" max="6" width="7.296875" style="535" customWidth="1"/>
    <col min="7" max="7" width="9.19921875" style="535" customWidth="1"/>
    <col min="8" max="8" width="8.796875" style="535"/>
    <col min="9" max="9" width="4.5" style="535" customWidth="1"/>
    <col min="10" max="10" width="9" style="535" customWidth="1"/>
    <col min="11" max="16384" width="8.796875" style="535"/>
  </cols>
  <sheetData>
    <row r="1" spans="2:5" x14ac:dyDescent="0.25">
      <c r="B1" s="532" t="str">
        <f>inputPrYr!D4</f>
        <v>Scott Township</v>
      </c>
      <c r="C1" s="532"/>
      <c r="D1" s="533"/>
      <c r="E1" s="534">
        <f>inputPrYr!D10</f>
        <v>2020</v>
      </c>
    </row>
    <row r="2" spans="2:5" x14ac:dyDescent="0.25">
      <c r="B2" s="533"/>
      <c r="C2" s="533"/>
      <c r="D2" s="533"/>
      <c r="E2" s="536"/>
    </row>
    <row r="3" spans="2:5" x14ac:dyDescent="0.25">
      <c r="B3" s="537" t="s">
        <v>654</v>
      </c>
      <c r="C3" s="537"/>
      <c r="D3" s="538"/>
      <c r="E3" s="539"/>
    </row>
    <row r="4" spans="2:5" x14ac:dyDescent="0.25">
      <c r="B4" s="540" t="s">
        <v>224</v>
      </c>
      <c r="C4" s="541" t="s">
        <v>737</v>
      </c>
      <c r="D4" s="542" t="s">
        <v>738</v>
      </c>
      <c r="E4" s="543" t="s">
        <v>739</v>
      </c>
    </row>
    <row r="5" spans="2:5" x14ac:dyDescent="0.25">
      <c r="B5" s="544" t="str">
        <f>inputPrYr!B24</f>
        <v>Debt Service</v>
      </c>
      <c r="C5" s="545" t="str">
        <f>CONCATENATE("Actual for ",$E$1-2,"")</f>
        <v>Actual for 2018</v>
      </c>
      <c r="D5" s="546" t="str">
        <f>CONCATENATE("Estimate for ",$E$1-1,"")</f>
        <v>Estimate for 2019</v>
      </c>
      <c r="E5" s="547" t="str">
        <f>CONCATENATE("Year for ",$E$1,"")</f>
        <v>Year for 2020</v>
      </c>
    </row>
    <row r="6" spans="2:5" x14ac:dyDescent="0.25">
      <c r="B6" s="548" t="s">
        <v>70</v>
      </c>
      <c r="C6" s="549"/>
      <c r="D6" s="550">
        <f>C35</f>
        <v>0</v>
      </c>
      <c r="E6" s="551">
        <f>D35</f>
        <v>0</v>
      </c>
    </row>
    <row r="7" spans="2:5" x14ac:dyDescent="0.25">
      <c r="B7" s="548" t="s">
        <v>59</v>
      </c>
      <c r="C7" s="552"/>
      <c r="D7" s="550"/>
      <c r="E7" s="551"/>
    </row>
    <row r="8" spans="2:5" x14ac:dyDescent="0.25">
      <c r="B8" s="548" t="s">
        <v>230</v>
      </c>
      <c r="C8" s="553"/>
      <c r="D8" s="550">
        <f>IF(inputPrYr!H22&gt;0,inputPrYr!G24,inputPrYr!E24)</f>
        <v>0</v>
      </c>
      <c r="E8" s="554" t="s">
        <v>213</v>
      </c>
    </row>
    <row r="9" spans="2:5" x14ac:dyDescent="0.25">
      <c r="B9" s="548" t="s">
        <v>231</v>
      </c>
      <c r="C9" s="553"/>
      <c r="D9" s="555"/>
      <c r="E9" s="556"/>
    </row>
    <row r="10" spans="2:5" x14ac:dyDescent="0.25">
      <c r="B10" s="548" t="s">
        <v>232</v>
      </c>
      <c r="C10" s="553"/>
      <c r="D10" s="555"/>
      <c r="E10" s="551">
        <f>mvalloc!D12+mvalloc!E12</f>
        <v>0</v>
      </c>
    </row>
    <row r="11" spans="2:5" x14ac:dyDescent="0.25">
      <c r="B11" s="548" t="s">
        <v>233</v>
      </c>
      <c r="C11" s="553"/>
      <c r="D11" s="555"/>
      <c r="E11" s="551">
        <f>mvalloc!F12+mvalloc!G12</f>
        <v>0</v>
      </c>
    </row>
    <row r="12" spans="2:5" x14ac:dyDescent="0.25">
      <c r="B12" s="557" t="s">
        <v>47</v>
      </c>
      <c r="C12" s="553"/>
      <c r="D12" s="555"/>
      <c r="E12" s="551">
        <f>mvalloc!H12+mvalloc!I12</f>
        <v>0</v>
      </c>
    </row>
    <row r="13" spans="2:5" x14ac:dyDescent="0.25">
      <c r="B13" s="742" t="s">
        <v>824</v>
      </c>
      <c r="C13" s="553"/>
      <c r="D13" s="555"/>
      <c r="E13" s="551">
        <f>mvalloc!J12+mvalloc!K12</f>
        <v>0</v>
      </c>
    </row>
    <row r="14" spans="2:5" x14ac:dyDescent="0.25">
      <c r="B14" s="742" t="s">
        <v>825</v>
      </c>
      <c r="C14" s="553"/>
      <c r="D14" s="555"/>
      <c r="E14" s="551">
        <f>mvalloc!L12+mvalloc!M12</f>
        <v>0</v>
      </c>
    </row>
    <row r="15" spans="2:5" x14ac:dyDescent="0.25">
      <c r="B15" s="558"/>
      <c r="C15" s="553"/>
      <c r="D15" s="555"/>
      <c r="E15" s="559"/>
    </row>
    <row r="16" spans="2:5" x14ac:dyDescent="0.25">
      <c r="B16" s="558"/>
      <c r="C16" s="553"/>
      <c r="D16" s="555"/>
      <c r="E16" s="556"/>
    </row>
    <row r="17" spans="2:11" x14ac:dyDescent="0.25">
      <c r="B17" s="558"/>
      <c r="C17" s="553"/>
      <c r="D17" s="555"/>
      <c r="E17" s="556"/>
    </row>
    <row r="18" spans="2:11" x14ac:dyDescent="0.25">
      <c r="B18" s="560" t="s">
        <v>236</v>
      </c>
      <c r="C18" s="553"/>
      <c r="D18" s="555"/>
      <c r="E18" s="556"/>
      <c r="G18" s="928" t="str">
        <f>CONCATENATE("Desired Carryover Into ",E1+1,"")</f>
        <v>Desired Carryover Into 2021</v>
      </c>
      <c r="H18" s="929"/>
      <c r="I18" s="929"/>
      <c r="J18" s="930"/>
    </row>
    <row r="19" spans="2:11" x14ac:dyDescent="0.25">
      <c r="B19" s="581" t="s">
        <v>188</v>
      </c>
      <c r="C19" s="553"/>
      <c r="D19" s="555"/>
      <c r="E19" s="551">
        <f>nhood!E7*-1</f>
        <v>0</v>
      </c>
      <c r="G19" s="567"/>
      <c r="H19" s="568"/>
      <c r="I19" s="569"/>
      <c r="J19" s="570"/>
    </row>
    <row r="20" spans="2:11" x14ac:dyDescent="0.25">
      <c r="B20" s="548" t="s">
        <v>186</v>
      </c>
      <c r="C20" s="561"/>
      <c r="D20" s="555"/>
      <c r="E20" s="556"/>
      <c r="G20" s="571" t="s">
        <v>640</v>
      </c>
      <c r="H20" s="569"/>
      <c r="I20" s="569"/>
      <c r="J20" s="572">
        <v>0</v>
      </c>
    </row>
    <row r="21" spans="2:11" x14ac:dyDescent="0.25">
      <c r="B21" s="548" t="s">
        <v>740</v>
      </c>
      <c r="C21" s="562" t="str">
        <f>IF(C22*0.1&lt;C20,"Exceed 10% Rule","")</f>
        <v/>
      </c>
      <c r="D21" s="562" t="str">
        <f>IF(D22*0.1&lt;D20,"Exceeds 10% Rule","")</f>
        <v/>
      </c>
      <c r="E21" s="563" t="str">
        <f>IF((E41+E22)*0.1&lt;E20,"Exceed 10% Rule","")</f>
        <v/>
      </c>
      <c r="G21" s="567" t="s">
        <v>641</v>
      </c>
      <c r="H21" s="568"/>
      <c r="I21" s="568"/>
      <c r="J21" s="573" t="str">
        <f>IF(J20=0,"",ROUND((J20+E41-G33)/inputOth!E11*1000,3)-G38)</f>
        <v/>
      </c>
    </row>
    <row r="22" spans="2:11" x14ac:dyDescent="0.25">
      <c r="B22" s="564" t="s">
        <v>237</v>
      </c>
      <c r="C22" s="565">
        <f>SUM(C8:C20)</f>
        <v>0</v>
      </c>
      <c r="D22" s="565">
        <f>SUM(D8:D20)</f>
        <v>0</v>
      </c>
      <c r="E22" s="566">
        <f>SUM(E9:E20)</f>
        <v>0</v>
      </c>
      <c r="G22" s="574" t="str">
        <f>CONCATENATE("",E1," Tot Exp/Non-Appr Must Be:")</f>
        <v>2020 Tot Exp/Non-Appr Must Be:</v>
      </c>
      <c r="H22" s="575"/>
      <c r="I22" s="576"/>
      <c r="J22" s="577">
        <f>IF(J20&gt;0,IF(E38&lt;E23,IF(J20=G33,E38,((J20-G33)*(1-D40))+E23),E38+(J20-G33)),0)</f>
        <v>0</v>
      </c>
    </row>
    <row r="23" spans="2:11" x14ac:dyDescent="0.25">
      <c r="B23" s="564" t="s">
        <v>238</v>
      </c>
      <c r="C23" s="565">
        <f>C6+C22</f>
        <v>0</v>
      </c>
      <c r="D23" s="565">
        <f>D6+D22</f>
        <v>0</v>
      </c>
      <c r="E23" s="566">
        <f>E6+E22</f>
        <v>0</v>
      </c>
      <c r="G23" s="578" t="s">
        <v>741</v>
      </c>
      <c r="H23" s="579"/>
      <c r="I23" s="579"/>
      <c r="J23" s="580">
        <f>IF(J20&gt;0,J22-E38,0)</f>
        <v>0</v>
      </c>
    </row>
    <row r="24" spans="2:11" x14ac:dyDescent="0.25">
      <c r="B24" s="548" t="s">
        <v>239</v>
      </c>
      <c r="C24" s="548"/>
      <c r="D24" s="550"/>
      <c r="E24" s="551"/>
    </row>
    <row r="25" spans="2:11" x14ac:dyDescent="0.25">
      <c r="B25" s="558"/>
      <c r="C25" s="553"/>
      <c r="D25" s="555"/>
      <c r="E25" s="556"/>
      <c r="G25" s="928" t="str">
        <f>CONCATENATE("Projected Carryover Into ",E1+1,"")</f>
        <v>Projected Carryover Into 2021</v>
      </c>
      <c r="H25" s="931"/>
      <c r="I25" s="931"/>
      <c r="J25" s="932"/>
    </row>
    <row r="26" spans="2:11" x14ac:dyDescent="0.25">
      <c r="B26" s="558"/>
      <c r="C26" s="553"/>
      <c r="D26" s="555"/>
      <c r="E26" s="556"/>
      <c r="G26" s="567"/>
      <c r="H26" s="569"/>
      <c r="I26" s="569"/>
      <c r="J26" s="582"/>
    </row>
    <row r="27" spans="2:11" x14ac:dyDescent="0.25">
      <c r="B27" s="558"/>
      <c r="C27" s="555"/>
      <c r="D27" s="555"/>
      <c r="E27" s="556"/>
      <c r="G27" s="585">
        <f>D35</f>
        <v>0</v>
      </c>
      <c r="H27" s="586" t="str">
        <f>CONCATENATE("",E1-1," Ending Cash Balance (est.)")</f>
        <v>2019 Ending Cash Balance (est.)</v>
      </c>
      <c r="I27" s="587"/>
      <c r="J27" s="582"/>
    </row>
    <row r="28" spans="2:11" x14ac:dyDescent="0.25">
      <c r="B28" s="558"/>
      <c r="C28" s="553"/>
      <c r="D28" s="555"/>
      <c r="E28" s="556"/>
      <c r="G28" s="585">
        <f>E22</f>
        <v>0</v>
      </c>
      <c r="H28" s="569" t="str">
        <f>CONCATENATE("",E1," Non-AV Receipts (est.)")</f>
        <v>2020 Non-AV Receipts (est.)</v>
      </c>
      <c r="I28" s="587"/>
      <c r="J28" s="582"/>
    </row>
    <row r="29" spans="2:11" x14ac:dyDescent="0.25">
      <c r="B29" s="558"/>
      <c r="C29" s="553"/>
      <c r="D29" s="555"/>
      <c r="E29" s="556"/>
      <c r="G29" s="592">
        <f>IF(E40&gt;0,E39,E41)</f>
        <v>0</v>
      </c>
      <c r="H29" s="569" t="str">
        <f>CONCATENATE("",E1," Ad Valorem Tax (est.)")</f>
        <v>2020 Ad Valorem Tax (est.)</v>
      </c>
      <c r="I29" s="569"/>
      <c r="J29" s="582"/>
      <c r="K29" s="593" t="str">
        <f>IF(G29=E41,"","Note: Does not include Delinquent Taxes")</f>
        <v/>
      </c>
    </row>
    <row r="30" spans="2:11" x14ac:dyDescent="0.25">
      <c r="B30" s="558"/>
      <c r="C30" s="553"/>
      <c r="D30" s="555"/>
      <c r="E30" s="556"/>
      <c r="G30" s="585">
        <f>SUM(G27:G29)</f>
        <v>0</v>
      </c>
      <c r="H30" s="569" t="str">
        <f>CONCATENATE("Total ",E1," Resources Available")</f>
        <v>Total 2020 Resources Available</v>
      </c>
      <c r="I30" s="587"/>
      <c r="J30" s="582"/>
    </row>
    <row r="31" spans="2:11" x14ac:dyDescent="0.25">
      <c r="B31" s="581" t="str">
        <f>CONCATENATE("Cash Basis Reserve (",E1," column)")</f>
        <v>Cash Basis Reserve (2020 column)</v>
      </c>
      <c r="C31" s="553"/>
      <c r="D31" s="555"/>
      <c r="E31" s="556"/>
      <c r="G31" s="596"/>
      <c r="H31" s="569"/>
      <c r="I31" s="569"/>
      <c r="J31" s="582"/>
    </row>
    <row r="32" spans="2:11" x14ac:dyDescent="0.25">
      <c r="B32" s="581" t="s">
        <v>186</v>
      </c>
      <c r="C32" s="561"/>
      <c r="D32" s="555"/>
      <c r="E32" s="556"/>
      <c r="G32" s="592">
        <f>C34</f>
        <v>0</v>
      </c>
      <c r="H32" s="569" t="str">
        <f>CONCATENATE("Less ",E1-2," Expenditures")</f>
        <v>Less 2018 Expenditures</v>
      </c>
      <c r="I32" s="569"/>
      <c r="J32" s="582"/>
    </row>
    <row r="33" spans="2:10" x14ac:dyDescent="0.25">
      <c r="B33" s="581" t="s">
        <v>637</v>
      </c>
      <c r="C33" s="562" t="str">
        <f>IF(C34*0.1&lt;C32,"Exceed 10% Rule","")</f>
        <v/>
      </c>
      <c r="D33" s="562" t="str">
        <f>IF(D34*0.1&lt;D32,"Exceed 10% Rule","")</f>
        <v/>
      </c>
      <c r="E33" s="563" t="str">
        <f>IF(E34*0.1&lt;E32,"Exceed 10% Rule","")</f>
        <v/>
      </c>
      <c r="G33" s="600">
        <f>G30-G32</f>
        <v>0</v>
      </c>
      <c r="H33" s="601" t="str">
        <f>CONCATENATE("Projected ",E1+1," carryover (est.)")</f>
        <v>Projected 2021 carryover (est.)</v>
      </c>
      <c r="I33" s="602"/>
      <c r="J33" s="603"/>
    </row>
    <row r="34" spans="2:10" x14ac:dyDescent="0.25">
      <c r="B34" s="564" t="s">
        <v>240</v>
      </c>
      <c r="C34" s="583">
        <f>SUM(C25:C32)</f>
        <v>0</v>
      </c>
      <c r="D34" s="583">
        <f>SUM(D25:D32)</f>
        <v>0</v>
      </c>
      <c r="E34" s="584">
        <f>SUM(E25:E32)</f>
        <v>0</v>
      </c>
    </row>
    <row r="35" spans="2:10" x14ac:dyDescent="0.25">
      <c r="B35" s="548" t="s">
        <v>58</v>
      </c>
      <c r="C35" s="588">
        <f>C23-C34</f>
        <v>0</v>
      </c>
      <c r="D35" s="588">
        <f>D23-D34</f>
        <v>0</v>
      </c>
      <c r="E35" s="554" t="s">
        <v>213</v>
      </c>
      <c r="F35" s="589"/>
      <c r="G35" s="925" t="s">
        <v>742</v>
      </c>
      <c r="H35" s="926"/>
      <c r="I35" s="926"/>
      <c r="J35" s="927"/>
    </row>
    <row r="36" spans="2:10" x14ac:dyDescent="0.25">
      <c r="B36" s="676" t="str">
        <f>CONCATENATE("",E1-2,"/",E1-1,"/",E1," Budget Authority Amount:")</f>
        <v>2018/2019/2020 Budget Authority Amount:</v>
      </c>
      <c r="C36" s="675">
        <f>inputOth!B90</f>
        <v>0</v>
      </c>
      <c r="D36" s="674">
        <f>inputPrYr!D24</f>
        <v>0</v>
      </c>
      <c r="E36" s="551">
        <f>E34</f>
        <v>0</v>
      </c>
      <c r="F36" s="591"/>
      <c r="G36" s="607"/>
      <c r="H36" s="586"/>
      <c r="I36" s="608"/>
      <c r="J36" s="609"/>
    </row>
    <row r="37" spans="2:10" x14ac:dyDescent="0.25">
      <c r="B37" s="590"/>
      <c r="C37" s="911" t="s">
        <v>634</v>
      </c>
      <c r="D37" s="912"/>
      <c r="E37" s="556"/>
      <c r="F37" s="594" t="str">
        <f>IF(E34/0.95-E34&lt;E37,"Exceeds 5%","")</f>
        <v/>
      </c>
      <c r="G37" s="610" t="str">
        <f>summ!H19</f>
        <v xml:space="preserve"> </v>
      </c>
      <c r="H37" s="586" t="str">
        <f>CONCATENATE("",E1," Fund Mill Rate")</f>
        <v>2020 Fund Mill Rate</v>
      </c>
      <c r="I37" s="608"/>
      <c r="J37" s="609"/>
    </row>
    <row r="38" spans="2:10" x14ac:dyDescent="0.25">
      <c r="B38" s="595" t="str">
        <f>CONCATENATE(C98,"     ",D98)</f>
        <v xml:space="preserve">     </v>
      </c>
      <c r="C38" s="913" t="s">
        <v>635</v>
      </c>
      <c r="D38" s="914"/>
      <c r="E38" s="551">
        <f>E34+E37</f>
        <v>0</v>
      </c>
      <c r="F38" s="589"/>
      <c r="G38" s="611" t="str">
        <f>summ!E19</f>
        <v xml:space="preserve">  </v>
      </c>
      <c r="H38" s="586" t="str">
        <f>CONCATENATE("",E1-1," Fund Mill Rate")</f>
        <v>2019 Fund Mill Rate</v>
      </c>
      <c r="I38" s="608"/>
      <c r="J38" s="609"/>
    </row>
    <row r="39" spans="2:10" x14ac:dyDescent="0.25">
      <c r="B39" s="595" t="str">
        <f>CONCATENATE(C99,"     ",D99)</f>
        <v xml:space="preserve">     </v>
      </c>
      <c r="C39" s="597"/>
      <c r="D39" s="536" t="s">
        <v>242</v>
      </c>
      <c r="E39" s="598">
        <f>IF(E38-E23&gt;0,E38-E23,0)</f>
        <v>0</v>
      </c>
      <c r="F39" s="589"/>
      <c r="G39" s="613">
        <f>summ!H36</f>
        <v>1.8420000000000001</v>
      </c>
      <c r="H39" s="586" t="str">
        <f>CONCATENATE("Total ",E1," Mill Rate")</f>
        <v>Total 2020 Mill Rate</v>
      </c>
      <c r="I39" s="608"/>
      <c r="J39" s="609"/>
    </row>
    <row r="40" spans="2:10" x14ac:dyDescent="0.25">
      <c r="B40" s="536"/>
      <c r="C40" s="429" t="s">
        <v>636</v>
      </c>
      <c r="D40" s="599">
        <f>inputOth!E83</f>
        <v>0</v>
      </c>
      <c r="E40" s="551">
        <f>ROUND(IF(D40&gt;0,(E39*D40),0),0)</f>
        <v>0</v>
      </c>
      <c r="F40" s="589"/>
      <c r="G40" s="611">
        <f>summ!E36</f>
        <v>1.861</v>
      </c>
      <c r="H40" s="614" t="str">
        <f>CONCATENATE("Total ",E1-1," Mill Rate")</f>
        <v>Total 2019 Mill Rate</v>
      </c>
      <c r="I40" s="615"/>
      <c r="J40" s="616"/>
    </row>
    <row r="41" spans="2:10" ht="16.5" thickBot="1" x14ac:dyDescent="0.3">
      <c r="B41" s="533"/>
      <c r="C41" s="923" t="str">
        <f>CONCATENATE("Amount of  ",E1-1," Ad Valorem Tax")</f>
        <v>Amount of  2019 Ad Valorem Tax</v>
      </c>
      <c r="D41" s="924"/>
      <c r="E41" s="605">
        <f>SUM(E39:E40)</f>
        <v>0</v>
      </c>
      <c r="F41" s="589"/>
    </row>
    <row r="42" spans="2:10" ht="16.5" thickTop="1" x14ac:dyDescent="0.25">
      <c r="B42" s="533"/>
      <c r="C42" s="923"/>
      <c r="D42" s="924"/>
      <c r="E42" s="606"/>
      <c r="F42" s="589"/>
      <c r="G42" s="781" t="s">
        <v>846</v>
      </c>
      <c r="H42" s="777"/>
      <c r="I42" s="768"/>
      <c r="J42" s="775" t="str">
        <f>cert!F41</f>
        <v>No</v>
      </c>
    </row>
    <row r="43" spans="2:10" x14ac:dyDescent="0.25">
      <c r="B43" s="533"/>
      <c r="C43" s="604"/>
      <c r="D43" s="533"/>
      <c r="E43" s="533"/>
      <c r="F43" s="589"/>
      <c r="G43" s="767" t="str">
        <f>CONCATENATE("Computed ",E1," tax levy limit amount")</f>
        <v>Computed 2020 tax levy limit amount</v>
      </c>
      <c r="H43" s="766"/>
      <c r="I43" s="766"/>
      <c r="J43" s="765">
        <f>computation!J41</f>
        <v>3075</v>
      </c>
    </row>
    <row r="44" spans="2:10" x14ac:dyDescent="0.25">
      <c r="B44" s="540"/>
      <c r="C44" s="540"/>
      <c r="D44" s="538"/>
      <c r="E44" s="538"/>
      <c r="F44" s="589"/>
      <c r="G44" s="764" t="str">
        <f>CONCATENATE("Total ",E1," tax levy amount")</f>
        <v>Total 2020 tax levy amount</v>
      </c>
      <c r="H44" s="763"/>
      <c r="I44" s="763"/>
      <c r="J44" s="762">
        <f>summ!G36</f>
        <v>3000</v>
      </c>
    </row>
    <row r="45" spans="2:10" x14ac:dyDescent="0.25">
      <c r="B45" s="540" t="s">
        <v>224</v>
      </c>
      <c r="C45" s="541" t="s">
        <v>737</v>
      </c>
      <c r="D45" s="542" t="s">
        <v>738</v>
      </c>
      <c r="E45" s="543" t="s">
        <v>739</v>
      </c>
      <c r="F45" s="589"/>
    </row>
    <row r="46" spans="2:10" x14ac:dyDescent="0.25">
      <c r="B46" s="612" t="str">
        <f>inputPrYr!B25</f>
        <v>Library</v>
      </c>
      <c r="C46" s="545" t="str">
        <f>CONCATENATE("Actual for ",$E$1-2,"")</f>
        <v>Actual for 2018</v>
      </c>
      <c r="D46" s="546" t="str">
        <f>CONCATENATE("Estimate for ",$E$1-1,"")</f>
        <v>Estimate for 2019</v>
      </c>
      <c r="E46" s="547" t="str">
        <f>CONCATENATE("Year for ",$E$1,"")</f>
        <v>Year for 2020</v>
      </c>
      <c r="F46" s="589"/>
    </row>
    <row r="47" spans="2:10" x14ac:dyDescent="0.25">
      <c r="B47" s="548" t="s">
        <v>70</v>
      </c>
      <c r="C47" s="553">
        <v>0</v>
      </c>
      <c r="D47" s="550">
        <f>C76</f>
        <v>0</v>
      </c>
      <c r="E47" s="551">
        <f>D76</f>
        <v>0</v>
      </c>
      <c r="F47" s="589"/>
    </row>
    <row r="48" spans="2:10" x14ac:dyDescent="0.25">
      <c r="B48" s="617" t="s">
        <v>59</v>
      </c>
      <c r="C48" s="548"/>
      <c r="D48" s="550"/>
      <c r="E48" s="551"/>
      <c r="F48" s="589"/>
    </row>
    <row r="49" spans="2:10" x14ac:dyDescent="0.25">
      <c r="B49" s="548" t="s">
        <v>230</v>
      </c>
      <c r="C49" s="561"/>
      <c r="D49" s="550">
        <f>IF(inputPrYr!H22&gt;0,inputPrYr!G25,inputPrYr!E25)</f>
        <v>0</v>
      </c>
      <c r="E49" s="554" t="s">
        <v>213</v>
      </c>
      <c r="F49" s="589"/>
    </row>
    <row r="50" spans="2:10" x14ac:dyDescent="0.25">
      <c r="B50" s="548" t="s">
        <v>231</v>
      </c>
      <c r="C50" s="561"/>
      <c r="D50" s="555"/>
      <c r="E50" s="556"/>
      <c r="F50" s="589"/>
    </row>
    <row r="51" spans="2:10" x14ac:dyDescent="0.25">
      <c r="B51" s="548" t="s">
        <v>232</v>
      </c>
      <c r="C51" s="561"/>
      <c r="D51" s="555"/>
      <c r="E51" s="551">
        <f>mvalloc!D13+mvalloc!E13</f>
        <v>0</v>
      </c>
      <c r="F51" s="589"/>
    </row>
    <row r="52" spans="2:10" x14ac:dyDescent="0.25">
      <c r="B52" s="548" t="s">
        <v>233</v>
      </c>
      <c r="C52" s="561"/>
      <c r="D52" s="555"/>
      <c r="E52" s="551">
        <f>mvalloc!F13+mvalloc!G13</f>
        <v>0</v>
      </c>
      <c r="F52" s="589"/>
    </row>
    <row r="53" spans="2:10" x14ac:dyDescent="0.25">
      <c r="B53" s="557" t="s">
        <v>47</v>
      </c>
      <c r="C53" s="561"/>
      <c r="D53" s="555"/>
      <c r="E53" s="551">
        <f>mvalloc!H13+mvalloc!I13</f>
        <v>0</v>
      </c>
    </row>
    <row r="54" spans="2:10" x14ac:dyDescent="0.25">
      <c r="B54" s="742" t="s">
        <v>824</v>
      </c>
      <c r="C54" s="561"/>
      <c r="D54" s="555"/>
      <c r="E54" s="551">
        <f>mvalloc!J13+mvalloc!K13</f>
        <v>0</v>
      </c>
    </row>
    <row r="55" spans="2:10" x14ac:dyDescent="0.25">
      <c r="B55" s="742" t="s">
        <v>825</v>
      </c>
      <c r="C55" s="561"/>
      <c r="D55" s="555"/>
      <c r="E55" s="551">
        <f>mvalloc!L13+mvalloc!M13</f>
        <v>0</v>
      </c>
    </row>
    <row r="56" spans="2:10" x14ac:dyDescent="0.25">
      <c r="B56" s="558"/>
      <c r="C56" s="561"/>
      <c r="D56" s="555"/>
      <c r="E56" s="559"/>
    </row>
    <row r="57" spans="2:10" x14ac:dyDescent="0.25">
      <c r="B57" s="558"/>
      <c r="C57" s="561"/>
      <c r="D57" s="555"/>
      <c r="E57" s="556"/>
    </row>
    <row r="58" spans="2:10" x14ac:dyDescent="0.25">
      <c r="B58" s="558"/>
      <c r="C58" s="561"/>
      <c r="D58" s="555"/>
      <c r="E58" s="556"/>
    </row>
    <row r="59" spans="2:10" x14ac:dyDescent="0.25">
      <c r="B59" s="560" t="s">
        <v>236</v>
      </c>
      <c r="C59" s="561"/>
      <c r="D59" s="555"/>
      <c r="E59" s="556"/>
      <c r="G59" s="928" t="str">
        <f>CONCATENATE("Desired Carryover Into ",E1+1,"")</f>
        <v>Desired Carryover Into 2021</v>
      </c>
      <c r="H59" s="929"/>
      <c r="I59" s="929"/>
      <c r="J59" s="930"/>
    </row>
    <row r="60" spans="2:10" x14ac:dyDescent="0.25">
      <c r="B60" s="557" t="s">
        <v>188</v>
      </c>
      <c r="C60" s="561"/>
      <c r="D60" s="555"/>
      <c r="E60" s="551">
        <f>nhood!E8*-1</f>
        <v>0</v>
      </c>
      <c r="G60" s="567"/>
      <c r="H60" s="568"/>
      <c r="I60" s="569"/>
      <c r="J60" s="570"/>
    </row>
    <row r="61" spans="2:10" x14ac:dyDescent="0.25">
      <c r="B61" s="548" t="s">
        <v>186</v>
      </c>
      <c r="C61" s="561"/>
      <c r="D61" s="561"/>
      <c r="E61" s="618"/>
      <c r="G61" s="571" t="s">
        <v>640</v>
      </c>
      <c r="H61" s="569"/>
      <c r="I61" s="569"/>
      <c r="J61" s="572">
        <v>0</v>
      </c>
    </row>
    <row r="62" spans="2:10" x14ac:dyDescent="0.25">
      <c r="B62" s="548" t="s">
        <v>740</v>
      </c>
      <c r="C62" s="562" t="str">
        <f>IF(C63*0.1&lt;C61,"Exceed 10% Rule","")</f>
        <v/>
      </c>
      <c r="D62" s="562" t="str">
        <f>IF(D63*0.1&lt;D61,"Exceeds 10% Rule","")</f>
        <v/>
      </c>
      <c r="E62" s="563" t="str">
        <f>IF((E82+E63)*0.1&lt;E61,"Exceed 10% Rule","")</f>
        <v/>
      </c>
      <c r="G62" s="567" t="s">
        <v>641</v>
      </c>
      <c r="H62" s="568"/>
      <c r="I62" s="568"/>
      <c r="J62" s="573" t="str">
        <f>IF(J61=0,"",ROUND((J61+E82-G74)/inputOth!E11*1000,3)-G79)</f>
        <v/>
      </c>
    </row>
    <row r="63" spans="2:10" x14ac:dyDescent="0.25">
      <c r="B63" s="564" t="s">
        <v>237</v>
      </c>
      <c r="C63" s="583">
        <f>SUM(C49:C61)</f>
        <v>0</v>
      </c>
      <c r="D63" s="583">
        <f>SUM(D49:D61)</f>
        <v>0</v>
      </c>
      <c r="E63" s="584">
        <f>SUM(E50:E61)</f>
        <v>0</v>
      </c>
      <c r="G63" s="574" t="str">
        <f>CONCATENATE("",E1," Tot Exp/Non-Appr Must Be:")</f>
        <v>2020 Tot Exp/Non-Appr Must Be:</v>
      </c>
      <c r="H63" s="575"/>
      <c r="I63" s="576"/>
      <c r="J63" s="577">
        <f>IF(J61&gt;0,IF(E79&lt;E64,IF(J61=G74,E79,((J61-G74)*(1-D81))+E64),E79+(J61-G74)),0)</f>
        <v>0</v>
      </c>
    </row>
    <row r="64" spans="2:10" x14ac:dyDescent="0.25">
      <c r="B64" s="564" t="s">
        <v>238</v>
      </c>
      <c r="C64" s="583">
        <f>C47+C63</f>
        <v>0</v>
      </c>
      <c r="D64" s="583">
        <f>D47+D63</f>
        <v>0</v>
      </c>
      <c r="E64" s="584">
        <f>E47+E63</f>
        <v>0</v>
      </c>
      <c r="G64" s="578" t="s">
        <v>741</v>
      </c>
      <c r="H64" s="579"/>
      <c r="I64" s="579"/>
      <c r="J64" s="580">
        <f>IF(J61&gt;0,J63-E79,0)</f>
        <v>0</v>
      </c>
    </row>
    <row r="65" spans="2:11" x14ac:dyDescent="0.25">
      <c r="B65" s="548" t="s">
        <v>239</v>
      </c>
      <c r="C65" s="548"/>
      <c r="D65" s="550"/>
      <c r="E65" s="551"/>
    </row>
    <row r="66" spans="2:11" x14ac:dyDescent="0.25">
      <c r="B66" s="558"/>
      <c r="C66" s="553"/>
      <c r="D66" s="555"/>
      <c r="E66" s="556"/>
      <c r="G66" s="928" t="str">
        <f>CONCATENATE("Projected Carryover Into ",E1+1,"")</f>
        <v>Projected Carryover Into 2021</v>
      </c>
      <c r="H66" s="933"/>
      <c r="I66" s="933"/>
      <c r="J66" s="932"/>
    </row>
    <row r="67" spans="2:11" x14ac:dyDescent="0.25">
      <c r="B67" s="558"/>
      <c r="C67" s="553"/>
      <c r="D67" s="555"/>
      <c r="E67" s="556"/>
      <c r="G67" s="619"/>
      <c r="H67" s="568"/>
      <c r="I67" s="568"/>
      <c r="J67" s="620"/>
    </row>
    <row r="68" spans="2:11" x14ac:dyDescent="0.25">
      <c r="B68" s="558"/>
      <c r="C68" s="553"/>
      <c r="D68" s="555"/>
      <c r="E68" s="556"/>
      <c r="G68" s="585">
        <f>D76</f>
        <v>0</v>
      </c>
      <c r="H68" s="586" t="str">
        <f>CONCATENATE("",E1-1," Ending Cash Balance (est.)")</f>
        <v>2019 Ending Cash Balance (est.)</v>
      </c>
      <c r="I68" s="587"/>
      <c r="J68" s="620"/>
    </row>
    <row r="69" spans="2:11" x14ac:dyDescent="0.25">
      <c r="B69" s="558"/>
      <c r="C69" s="553"/>
      <c r="D69" s="555"/>
      <c r="E69" s="556"/>
      <c r="G69" s="585">
        <f>E63</f>
        <v>0</v>
      </c>
      <c r="H69" s="569" t="str">
        <f>CONCATENATE("",E1," Non-AV Receipts (est.)")</f>
        <v>2020 Non-AV Receipts (est.)</v>
      </c>
      <c r="I69" s="587"/>
      <c r="J69" s="620"/>
    </row>
    <row r="70" spans="2:11" x14ac:dyDescent="0.25">
      <c r="B70" s="558"/>
      <c r="C70" s="553"/>
      <c r="D70" s="555"/>
      <c r="E70" s="556"/>
      <c r="G70" s="592">
        <f>IF(E81&gt;0,E80,E82)</f>
        <v>0</v>
      </c>
      <c r="H70" s="569" t="str">
        <f>CONCATENATE("",E1," Ad Valorem Tax (est.)")</f>
        <v>2020 Ad Valorem Tax (est.)</v>
      </c>
      <c r="I70" s="569"/>
      <c r="J70" s="620"/>
      <c r="K70" s="593" t="str">
        <f>IF(G70=E82,"","Note: Does not include Delinquent Taxes")</f>
        <v/>
      </c>
    </row>
    <row r="71" spans="2:11" x14ac:dyDescent="0.25">
      <c r="B71" s="558"/>
      <c r="C71" s="553"/>
      <c r="D71" s="555"/>
      <c r="E71" s="556"/>
      <c r="G71" s="622">
        <f>SUM(G68:G70)</f>
        <v>0</v>
      </c>
      <c r="H71" s="569" t="str">
        <f>CONCATENATE("Total ",E1," Resources Available")</f>
        <v>Total 2020 Resources Available</v>
      </c>
      <c r="I71" s="623"/>
      <c r="J71" s="620"/>
    </row>
    <row r="72" spans="2:11" x14ac:dyDescent="0.25">
      <c r="B72" s="558"/>
      <c r="C72" s="553"/>
      <c r="D72" s="555"/>
      <c r="E72" s="556"/>
      <c r="F72" s="589"/>
      <c r="G72" s="624"/>
      <c r="H72" s="625"/>
      <c r="I72" s="568"/>
      <c r="J72" s="620"/>
    </row>
    <row r="73" spans="2:11" x14ac:dyDescent="0.25">
      <c r="B73" s="557" t="s">
        <v>186</v>
      </c>
      <c r="C73" s="561"/>
      <c r="D73" s="555"/>
      <c r="E73" s="556"/>
      <c r="F73" s="589"/>
      <c r="G73" s="592">
        <f>ROUND(C75*0.05+C75,0)</f>
        <v>0</v>
      </c>
      <c r="H73" s="569" t="str">
        <f>CONCATENATE("Less ",E1-2," Expenditures + 5%")</f>
        <v>Less 2018 Expenditures + 5%</v>
      </c>
      <c r="I73" s="623"/>
      <c r="J73" s="620"/>
    </row>
    <row r="74" spans="2:11" x14ac:dyDescent="0.25">
      <c r="B74" s="557" t="s">
        <v>637</v>
      </c>
      <c r="C74" s="562" t="str">
        <f>IF(C75*0.1&lt;C73,"Exceed 10% Rule","")</f>
        <v/>
      </c>
      <c r="D74" s="562" t="str">
        <f>IF(D75*0.1&lt;D73,"Exceed 10% Rule","")</f>
        <v/>
      </c>
      <c r="E74" s="563" t="str">
        <f>IF(E75*0.1&lt;E73,"Exceed 10% Rule","")</f>
        <v/>
      </c>
      <c r="F74" s="589"/>
      <c r="G74" s="600">
        <f>G71-G73</f>
        <v>0</v>
      </c>
      <c r="H74" s="601" t="str">
        <f>CONCATENATE("Projected ",E1+1," carryover (est.)")</f>
        <v>Projected 2021 carryover (est.)</v>
      </c>
      <c r="I74" s="626"/>
      <c r="J74" s="627"/>
    </row>
    <row r="75" spans="2:11" x14ac:dyDescent="0.25">
      <c r="B75" s="564" t="s">
        <v>240</v>
      </c>
      <c r="C75" s="583">
        <f>SUM(C66:C73)</f>
        <v>0</v>
      </c>
      <c r="D75" s="583">
        <f>SUM(D66:D73)</f>
        <v>0</v>
      </c>
      <c r="E75" s="584">
        <f>SUM(E66:E73)</f>
        <v>0</v>
      </c>
      <c r="F75" s="589"/>
    </row>
    <row r="76" spans="2:11" x14ac:dyDescent="0.25">
      <c r="B76" s="548" t="s">
        <v>58</v>
      </c>
      <c r="C76" s="588">
        <f>C64-C75</f>
        <v>0</v>
      </c>
      <c r="D76" s="588">
        <f>D64-D75</f>
        <v>0</v>
      </c>
      <c r="E76" s="554" t="s">
        <v>213</v>
      </c>
      <c r="F76" s="589"/>
      <c r="G76" s="925" t="s">
        <v>742</v>
      </c>
      <c r="H76" s="926"/>
      <c r="I76" s="926"/>
      <c r="J76" s="927"/>
    </row>
    <row r="77" spans="2:11" x14ac:dyDescent="0.25">
      <c r="B77" s="676" t="str">
        <f>CONCATENATE("",E1-2,"/",E1-1,"/",E1," Budget Authority Amount:")</f>
        <v>2018/2019/2020 Budget Authority Amount:</v>
      </c>
      <c r="C77" s="675">
        <f>inputOth!B91</f>
        <v>0</v>
      </c>
      <c r="D77" s="675">
        <f>inputPrYr!D25</f>
        <v>0</v>
      </c>
      <c r="E77" s="551">
        <f>E75</f>
        <v>0</v>
      </c>
      <c r="F77" s="591"/>
      <c r="G77" s="607"/>
      <c r="H77" s="586"/>
      <c r="I77" s="608"/>
      <c r="J77" s="609"/>
    </row>
    <row r="78" spans="2:11" x14ac:dyDescent="0.25">
      <c r="B78" s="590"/>
      <c r="C78" s="911" t="s">
        <v>634</v>
      </c>
      <c r="D78" s="912"/>
      <c r="E78" s="556"/>
      <c r="F78" s="621" t="str">
        <f>IF(E75/0.95-E75&lt;E78,"Exceeds 5%","")</f>
        <v/>
      </c>
      <c r="G78" s="610" t="str">
        <f>summ!H20</f>
        <v xml:space="preserve"> </v>
      </c>
      <c r="H78" s="586" t="str">
        <f>CONCATENATE("",E1," Fund Mill Rate")</f>
        <v>2020 Fund Mill Rate</v>
      </c>
      <c r="I78" s="608"/>
      <c r="J78" s="609"/>
    </row>
    <row r="79" spans="2:11" x14ac:dyDescent="0.25">
      <c r="B79" s="595" t="str">
        <f>CONCATENATE(C100,"     ",D100)</f>
        <v xml:space="preserve">     </v>
      </c>
      <c r="C79" s="913" t="s">
        <v>635</v>
      </c>
      <c r="D79" s="914"/>
      <c r="E79" s="551">
        <f>E75+E78</f>
        <v>0</v>
      </c>
      <c r="F79" s="589"/>
      <c r="G79" s="611" t="str">
        <f>summ!E20</f>
        <v xml:space="preserve">  </v>
      </c>
      <c r="H79" s="586" t="str">
        <f>CONCATENATE("",E1-1," Fund Mill Rate")</f>
        <v>2019 Fund Mill Rate</v>
      </c>
      <c r="I79" s="608"/>
      <c r="J79" s="609"/>
    </row>
    <row r="80" spans="2:11" x14ac:dyDescent="0.25">
      <c r="B80" s="595" t="str">
        <f>CONCATENATE(C101,"     ",D101)</f>
        <v xml:space="preserve">     </v>
      </c>
      <c r="C80" s="597"/>
      <c r="D80" s="536" t="s">
        <v>242</v>
      </c>
      <c r="E80" s="598">
        <f>IF(E79-E64&gt;0,E79-E64,0)</f>
        <v>0</v>
      </c>
      <c r="F80" s="589"/>
      <c r="G80" s="613">
        <f>summ!H36</f>
        <v>1.8420000000000001</v>
      </c>
      <c r="H80" s="586" t="str">
        <f>CONCATENATE("Total ",E1," Mill Rate")</f>
        <v>Total 2020 Mill Rate</v>
      </c>
      <c r="I80" s="608"/>
      <c r="J80" s="609"/>
    </row>
    <row r="81" spans="2:10" x14ac:dyDescent="0.25">
      <c r="B81" s="536"/>
      <c r="C81" s="429" t="s">
        <v>636</v>
      </c>
      <c r="D81" s="599">
        <f>inputOth!E83</f>
        <v>0</v>
      </c>
      <c r="E81" s="551">
        <f>ROUND(IF(E80&gt;0,(E80*D81),0),0)</f>
        <v>0</v>
      </c>
      <c r="F81" s="589"/>
      <c r="G81" s="611">
        <f>summ!E36</f>
        <v>1.861</v>
      </c>
      <c r="H81" s="614" t="str">
        <f>CONCATENATE("Total ",E1-1," Mill Rate")</f>
        <v>Total 2019 Mill Rate</v>
      </c>
      <c r="I81" s="615"/>
      <c r="J81" s="616"/>
    </row>
    <row r="82" spans="2:10" ht="16.5" thickBot="1" x14ac:dyDescent="0.3">
      <c r="B82" s="533"/>
      <c r="C82" s="923" t="str">
        <f>CONCATENATE("Amount of  ",E1-1," Ad Valorem Tax")</f>
        <v>Amount of  2019 Ad Valorem Tax</v>
      </c>
      <c r="D82" s="924"/>
      <c r="E82" s="605">
        <f>E80+E81</f>
        <v>0</v>
      </c>
      <c r="F82" s="628" t="str">
        <f>IF('Library Grant'!F33="","",IF('Library Grant'!F33="Qualify","Qualifies for State Library Grant","See 'Library Grant' tab"))</f>
        <v>Qualifies for State Library Grant</v>
      </c>
      <c r="G82" s="629"/>
      <c r="H82" s="629"/>
      <c r="I82" s="629"/>
      <c r="J82" s="629"/>
    </row>
    <row r="83" spans="2:10" ht="16.5" thickTop="1" x14ac:dyDescent="0.25">
      <c r="B83" s="536"/>
      <c r="C83" s="923"/>
      <c r="D83" s="924"/>
      <c r="E83" s="606"/>
      <c r="F83" s="589"/>
      <c r="G83" s="781" t="s">
        <v>846</v>
      </c>
      <c r="H83" s="777"/>
      <c r="I83" s="768"/>
      <c r="J83" s="775" t="str">
        <f>cert!F41</f>
        <v>No</v>
      </c>
    </row>
    <row r="84" spans="2:10" x14ac:dyDescent="0.25">
      <c r="B84" s="828" t="s">
        <v>987</v>
      </c>
      <c r="C84" s="829"/>
      <c r="D84" s="829"/>
      <c r="E84" s="830"/>
      <c r="G84" s="767" t="str">
        <f>CONCATENATE("Computed ",E1," tax levy limit amount")</f>
        <v>Computed 2020 tax levy limit amount</v>
      </c>
      <c r="H84" s="766"/>
      <c r="I84" s="766"/>
      <c r="J84" s="765">
        <f>computation!J41</f>
        <v>3075</v>
      </c>
    </row>
    <row r="85" spans="2:10" x14ac:dyDescent="0.25">
      <c r="B85" s="831"/>
      <c r="C85" s="832"/>
      <c r="D85" s="832"/>
      <c r="E85" s="833"/>
      <c r="F85" s="589"/>
      <c r="G85" s="764" t="str">
        <f>CONCATENATE("Total ",E1," tax levy amount")</f>
        <v>Total 2020 tax levy amount</v>
      </c>
      <c r="H85" s="763"/>
      <c r="I85" s="763"/>
      <c r="J85" s="762">
        <f>summ!G36</f>
        <v>3000</v>
      </c>
    </row>
    <row r="86" spans="2:10" x14ac:dyDescent="0.25">
      <c r="B86" s="834"/>
      <c r="C86" s="835"/>
      <c r="D86" s="835"/>
      <c r="E86" s="836"/>
    </row>
    <row r="87" spans="2:10" x14ac:dyDescent="0.25">
      <c r="B87" s="536"/>
      <c r="C87" s="536"/>
      <c r="D87" s="536"/>
      <c r="E87" s="536"/>
    </row>
    <row r="88" spans="2:10" x14ac:dyDescent="0.25">
      <c r="B88" s="536" t="s">
        <v>223</v>
      </c>
      <c r="C88" s="731"/>
      <c r="D88" s="536"/>
      <c r="E88" s="536"/>
    </row>
    <row r="93" spans="2:10" x14ac:dyDescent="0.25">
      <c r="C93" s="630" t="s">
        <v>743</v>
      </c>
      <c r="D93" s="630" t="s">
        <v>743</v>
      </c>
    </row>
    <row r="94" spans="2:10" x14ac:dyDescent="0.25">
      <c r="C94" s="630" t="s">
        <v>743</v>
      </c>
      <c r="D94" s="630" t="s">
        <v>743</v>
      </c>
    </row>
    <row r="95" spans="2:10" hidden="1" x14ac:dyDescent="0.25"/>
    <row r="96" spans="2:10" hidden="1" x14ac:dyDescent="0.25">
      <c r="C96" s="630" t="s">
        <v>743</v>
      </c>
      <c r="D96" s="630" t="s">
        <v>743</v>
      </c>
    </row>
    <row r="97" spans="3:4" hidden="1" x14ac:dyDescent="0.25">
      <c r="C97" s="630" t="s">
        <v>743</v>
      </c>
      <c r="D97" s="630" t="s">
        <v>743</v>
      </c>
    </row>
    <row r="98" spans="3:4" hidden="1" x14ac:dyDescent="0.25">
      <c r="C98" s="631" t="str">
        <f>IF(C34&gt;C36,"See Tab A","")</f>
        <v/>
      </c>
      <c r="D98" s="631" t="str">
        <f>IF(D34&gt;D36,"See Tab C","")</f>
        <v/>
      </c>
    </row>
    <row r="99" spans="3:4" x14ac:dyDescent="0.25">
      <c r="C99" s="631" t="str">
        <f>IF(C35&lt;0,"See Tab B","")</f>
        <v/>
      </c>
      <c r="D99" s="631" t="str">
        <f>IF(D35&lt;0,"See Tab D","")</f>
        <v/>
      </c>
    </row>
    <row r="100" spans="3:4" x14ac:dyDescent="0.25">
      <c r="C100" s="632" t="str">
        <f>IF(C75&gt;C77,"See Tab A","")</f>
        <v/>
      </c>
      <c r="D100" s="632" t="str">
        <f>IF(D75&gt;D77,"See Tab C","")</f>
        <v/>
      </c>
    </row>
    <row r="101" spans="3:4" x14ac:dyDescent="0.25">
      <c r="C101" s="632" t="str">
        <f>IF(C76&lt;0,"See Tab B","")</f>
        <v/>
      </c>
      <c r="D101" s="632" t="str">
        <f>IF(D76&lt;0,"See Tab D","")</f>
        <v/>
      </c>
    </row>
  </sheetData>
  <mergeCells count="14">
    <mergeCell ref="C83:D83"/>
    <mergeCell ref="G76:J76"/>
    <mergeCell ref="G18:J18"/>
    <mergeCell ref="G25:J25"/>
    <mergeCell ref="C37:D37"/>
    <mergeCell ref="C38:D38"/>
    <mergeCell ref="C41:D41"/>
    <mergeCell ref="C42:D42"/>
    <mergeCell ref="G35:J35"/>
    <mergeCell ref="G59:J59"/>
    <mergeCell ref="G66:J66"/>
    <mergeCell ref="C78:D78"/>
    <mergeCell ref="C79:D79"/>
    <mergeCell ref="C82:D82"/>
  </mergeCells>
  <conditionalFormatting sqref="C75">
    <cfRule type="cellIs" dxfId="153" priority="16" stopIfTrue="1" operator="greaterThan">
      <formula>$C$77</formula>
    </cfRule>
  </conditionalFormatting>
  <conditionalFormatting sqref="C76:D76 C35:D35">
    <cfRule type="cellIs" dxfId="152" priority="15" stopIfTrue="1" operator="lessThan">
      <formula>0</formula>
    </cfRule>
  </conditionalFormatting>
  <conditionalFormatting sqref="D75">
    <cfRule type="cellIs" dxfId="151" priority="14" stopIfTrue="1" operator="greaterThan">
      <formula>$D$77</formula>
    </cfRule>
  </conditionalFormatting>
  <conditionalFormatting sqref="C34">
    <cfRule type="cellIs" dxfId="150" priority="13" stopIfTrue="1" operator="greaterThan">
      <formula>$C$36</formula>
    </cfRule>
  </conditionalFormatting>
  <conditionalFormatting sqref="D34">
    <cfRule type="cellIs" dxfId="149" priority="12" stopIfTrue="1" operator="greaterThan">
      <formula>$D$36</formula>
    </cfRule>
  </conditionalFormatting>
  <conditionalFormatting sqref="C32">
    <cfRule type="cellIs" dxfId="148" priority="11" stopIfTrue="1" operator="greaterThan">
      <formula>$C$34*0.1</formula>
    </cfRule>
  </conditionalFormatting>
  <conditionalFormatting sqref="D32">
    <cfRule type="cellIs" dxfId="147" priority="10" stopIfTrue="1" operator="greaterThan">
      <formula>$D$34*0.1</formula>
    </cfRule>
  </conditionalFormatting>
  <conditionalFormatting sqref="E32">
    <cfRule type="cellIs" dxfId="146" priority="9" stopIfTrue="1" operator="greaterThan">
      <formula>$E$34*0.1</formula>
    </cfRule>
  </conditionalFormatting>
  <conditionalFormatting sqref="C20 C61:E61">
    <cfRule type="cellIs" dxfId="145" priority="8" stopIfTrue="1" operator="greaterThan">
      <formula>$C$22*0.1</formula>
    </cfRule>
  </conditionalFormatting>
  <conditionalFormatting sqref="D20">
    <cfRule type="cellIs" dxfId="144" priority="7" stopIfTrue="1" operator="greaterThan">
      <formula>$D$22*0.1</formula>
    </cfRule>
  </conditionalFormatting>
  <conditionalFormatting sqref="C73">
    <cfRule type="cellIs" dxfId="143" priority="5" stopIfTrue="1" operator="greaterThan">
      <formula>$C$75*0.1</formula>
    </cfRule>
  </conditionalFormatting>
  <conditionalFormatting sqref="D73">
    <cfRule type="cellIs" dxfId="142" priority="4" stopIfTrue="1" operator="greaterThan">
      <formula>$D$75*0.1</formula>
    </cfRule>
  </conditionalFormatting>
  <conditionalFormatting sqref="E73">
    <cfRule type="cellIs" dxfId="141" priority="3" stopIfTrue="1" operator="greaterThan">
      <formula>$E$75*0.1</formula>
    </cfRule>
  </conditionalFormatting>
  <conditionalFormatting sqref="E37">
    <cfRule type="cellIs" dxfId="140" priority="2" stopIfTrue="1" operator="greaterThan">
      <formula>$E$34/0.95-$E$34</formula>
    </cfRule>
  </conditionalFormatting>
  <conditionalFormatting sqref="E78">
    <cfRule type="cellIs" dxfId="139" priority="1" stopIfTrue="1" operator="greaterThan">
      <formula>$E$75/0.98-$E$75</formula>
    </cfRule>
  </conditionalFormatting>
  <conditionalFormatting sqref="E20">
    <cfRule type="cellIs" dxfId="138" priority="25" stopIfTrue="1" operator="greaterThan">
      <formula>$E$22*0.1+$E$41</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00B0F0"/>
    <pageSetUpPr fitToPage="1"/>
  </sheetPr>
  <dimension ref="B1:K77"/>
  <sheetViews>
    <sheetView zoomScaleNormal="100" workbookViewId="0">
      <selection activeCell="E90" sqref="E90"/>
    </sheetView>
  </sheetViews>
  <sheetFormatPr defaultColWidth="8.796875" defaultRowHeight="15.75" x14ac:dyDescent="0.2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ol min="9" max="9" width="4.5" style="129" customWidth="1"/>
    <col min="10" max="10" width="9" style="129" customWidth="1"/>
    <col min="11" max="16384" width="8.796875" style="129"/>
  </cols>
  <sheetData>
    <row r="1" spans="2:5" x14ac:dyDescent="0.25">
      <c r="B1" s="182" t="str">
        <f>inputPrYr!D4</f>
        <v>Scott Township</v>
      </c>
      <c r="C1" s="43"/>
      <c r="D1" s="43"/>
      <c r="E1" s="183">
        <f>inputPrYr!D10</f>
        <v>2020</v>
      </c>
    </row>
    <row r="2" spans="2:5" x14ac:dyDescent="0.25">
      <c r="B2" s="470" t="s">
        <v>654</v>
      </c>
      <c r="C2" s="43"/>
      <c r="D2" s="167"/>
      <c r="E2" s="45"/>
    </row>
    <row r="3" spans="2:5" x14ac:dyDescent="0.25">
      <c r="B3" s="50" t="s">
        <v>224</v>
      </c>
      <c r="C3" s="48"/>
      <c r="D3" s="48"/>
      <c r="E3" s="48"/>
    </row>
    <row r="4" spans="2:5" x14ac:dyDescent="0.25">
      <c r="B4" s="43"/>
      <c r="C4" s="322" t="s">
        <v>225</v>
      </c>
      <c r="D4" s="325" t="s">
        <v>226</v>
      </c>
      <c r="E4" s="52" t="s">
        <v>227</v>
      </c>
    </row>
    <row r="5" spans="2:5" x14ac:dyDescent="0.25">
      <c r="B5" s="413" t="str">
        <f>inputPrYr!B26</f>
        <v>Road</v>
      </c>
      <c r="C5" s="323" t="str">
        <f>gen!C5</f>
        <v>Actual for 2018</v>
      </c>
      <c r="D5" s="323" t="str">
        <f>gen!D5</f>
        <v>Estimate for 2019</v>
      </c>
      <c r="E5" s="57" t="str">
        <f>gen!E5</f>
        <v>Year for 2020</v>
      </c>
    </row>
    <row r="6" spans="2:5" x14ac:dyDescent="0.25">
      <c r="B6" s="58" t="s">
        <v>57</v>
      </c>
      <c r="C6" s="252"/>
      <c r="D6" s="324">
        <f>C44</f>
        <v>0</v>
      </c>
      <c r="E6" s="205">
        <f>D44</f>
        <v>0</v>
      </c>
    </row>
    <row r="7" spans="2:5" x14ac:dyDescent="0.25">
      <c r="B7" s="58" t="s">
        <v>59</v>
      </c>
      <c r="C7" s="324"/>
      <c r="D7" s="324"/>
      <c r="E7" s="254"/>
    </row>
    <row r="8" spans="2:5" x14ac:dyDescent="0.25">
      <c r="B8" s="58" t="s">
        <v>230</v>
      </c>
      <c r="C8" s="252"/>
      <c r="D8" s="324">
        <f>IF(inputPrYr!H22&gt;0,inputPrYr!G26,inputPrYr!E26)</f>
        <v>0</v>
      </c>
      <c r="E8" s="254" t="s">
        <v>213</v>
      </c>
    </row>
    <row r="9" spans="2:5" x14ac:dyDescent="0.25">
      <c r="B9" s="58" t="s">
        <v>231</v>
      </c>
      <c r="C9" s="252"/>
      <c r="D9" s="252"/>
      <c r="E9" s="137"/>
    </row>
    <row r="10" spans="2:5" x14ac:dyDescent="0.25">
      <c r="B10" s="58" t="s">
        <v>232</v>
      </c>
      <c r="C10" s="252"/>
      <c r="D10" s="252"/>
      <c r="E10" s="205">
        <f>mvalloc!D14</f>
        <v>0</v>
      </c>
    </row>
    <row r="11" spans="2:5" x14ac:dyDescent="0.25">
      <c r="B11" s="58" t="s">
        <v>233</v>
      </c>
      <c r="C11" s="252"/>
      <c r="D11" s="252"/>
      <c r="E11" s="205">
        <f>mvalloc!F14</f>
        <v>0</v>
      </c>
    </row>
    <row r="12" spans="2:5" x14ac:dyDescent="0.25">
      <c r="B12" s="58" t="s">
        <v>47</v>
      </c>
      <c r="C12" s="252"/>
      <c r="D12" s="252"/>
      <c r="E12" s="205">
        <f>mvalloc!H14</f>
        <v>0</v>
      </c>
    </row>
    <row r="13" spans="2:5" x14ac:dyDescent="0.25">
      <c r="B13" s="742" t="s">
        <v>824</v>
      </c>
      <c r="C13" s="252"/>
      <c r="D13" s="252"/>
      <c r="E13" s="205">
        <f>mvalloc!J14</f>
        <v>0</v>
      </c>
    </row>
    <row r="14" spans="2:5" x14ac:dyDescent="0.25">
      <c r="B14" s="742" t="s">
        <v>825</v>
      </c>
      <c r="C14" s="252"/>
      <c r="D14" s="252"/>
      <c r="E14" s="205">
        <f>mvalloc!L14</f>
        <v>0</v>
      </c>
    </row>
    <row r="15" spans="2:5" x14ac:dyDescent="0.25">
      <c r="B15" s="58" t="s">
        <v>48</v>
      </c>
      <c r="C15" s="252"/>
      <c r="D15" s="252"/>
      <c r="E15" s="205">
        <f>inputOth!E78</f>
        <v>0</v>
      </c>
    </row>
    <row r="16" spans="2:5" x14ac:dyDescent="0.25">
      <c r="B16" s="257"/>
      <c r="C16" s="252"/>
      <c r="D16" s="252"/>
      <c r="E16" s="137"/>
    </row>
    <row r="17" spans="2:10" x14ac:dyDescent="0.25">
      <c r="B17" s="257"/>
      <c r="C17" s="252"/>
      <c r="D17" s="252"/>
      <c r="E17" s="137"/>
    </row>
    <row r="18" spans="2:10" x14ac:dyDescent="0.25">
      <c r="B18" s="257"/>
      <c r="C18" s="252"/>
      <c r="D18" s="252"/>
      <c r="E18" s="137"/>
    </row>
    <row r="19" spans="2:10" x14ac:dyDescent="0.25">
      <c r="B19" s="257"/>
      <c r="C19" s="252"/>
      <c r="D19" s="252"/>
      <c r="E19" s="137"/>
    </row>
    <row r="20" spans="2:10" x14ac:dyDescent="0.25">
      <c r="B20" s="257" t="s">
        <v>236</v>
      </c>
      <c r="C20" s="252"/>
      <c r="D20" s="252"/>
      <c r="E20" s="137"/>
    </row>
    <row r="21" spans="2:10" x14ac:dyDescent="0.25">
      <c r="B21" s="255" t="s">
        <v>188</v>
      </c>
      <c r="C21" s="252"/>
      <c r="D21" s="252"/>
      <c r="E21" s="148">
        <f>nhood!E9*-1</f>
        <v>0</v>
      </c>
    </row>
    <row r="22" spans="2:10" x14ac:dyDescent="0.25">
      <c r="B22" s="258" t="s">
        <v>186</v>
      </c>
      <c r="C22" s="252"/>
      <c r="D22" s="252"/>
      <c r="E22" s="137"/>
    </row>
    <row r="23" spans="2:10" x14ac:dyDescent="0.25">
      <c r="B23" s="258" t="s">
        <v>187</v>
      </c>
      <c r="C23" s="326" t="str">
        <f>IF(C24*0.1&lt;C22,"Exceed 10% Rule","")</f>
        <v/>
      </c>
      <c r="D23" s="326" t="str">
        <f>IF(D24*0.1&lt;D22,"Exceed 10% Rule","")</f>
        <v/>
      </c>
      <c r="E23" s="262" t="str">
        <f>IF((E50+E24)*0.1&lt;E22,"Exceed 10% Rule","")</f>
        <v/>
      </c>
    </row>
    <row r="24" spans="2:10" x14ac:dyDescent="0.25">
      <c r="B24" s="260" t="s">
        <v>237</v>
      </c>
      <c r="C24" s="327">
        <f>SUM(C8:C22)</f>
        <v>0</v>
      </c>
      <c r="D24" s="327">
        <f>SUM(D8:D22)</f>
        <v>0</v>
      </c>
      <c r="E24" s="261">
        <f>SUM(E8:E22)</f>
        <v>0</v>
      </c>
      <c r="G24" s="917" t="str">
        <f>CONCATENATE("Desired Carryover Into ",E1+1,"")</f>
        <v>Desired Carryover Into 2021</v>
      </c>
      <c r="H24" s="918"/>
      <c r="I24" s="918"/>
      <c r="J24" s="919"/>
    </row>
    <row r="25" spans="2:10" x14ac:dyDescent="0.25">
      <c r="B25" s="76" t="s">
        <v>238</v>
      </c>
      <c r="C25" s="327">
        <f>C24+C6</f>
        <v>0</v>
      </c>
      <c r="D25" s="327">
        <f>D24+D6</f>
        <v>0</v>
      </c>
      <c r="E25" s="261">
        <f>E24+E6</f>
        <v>0</v>
      </c>
      <c r="G25" s="433"/>
      <c r="H25" s="49"/>
      <c r="I25" s="474"/>
      <c r="J25" s="434"/>
    </row>
    <row r="26" spans="2:10" x14ac:dyDescent="0.25">
      <c r="B26" s="58" t="s">
        <v>239</v>
      </c>
      <c r="C26" s="324"/>
      <c r="D26" s="324"/>
      <c r="E26" s="205"/>
      <c r="G26" s="435" t="s">
        <v>640</v>
      </c>
      <c r="H26" s="474"/>
      <c r="I26" s="474"/>
      <c r="J26" s="436">
        <v>0</v>
      </c>
    </row>
    <row r="27" spans="2:10" x14ac:dyDescent="0.25">
      <c r="B27" s="257"/>
      <c r="C27" s="252"/>
      <c r="D27" s="252"/>
      <c r="E27" s="137"/>
      <c r="G27" s="433" t="s">
        <v>641</v>
      </c>
      <c r="H27" s="49"/>
      <c r="I27" s="49"/>
      <c r="J27" s="636" t="str">
        <f>IF(J26=0,"",ROUND((J26+E50-G39)/inputOth!E11*1000,3)-G44)</f>
        <v/>
      </c>
    </row>
    <row r="28" spans="2:10" x14ac:dyDescent="0.25">
      <c r="B28" s="257" t="s">
        <v>49</v>
      </c>
      <c r="C28" s="252"/>
      <c r="D28" s="252"/>
      <c r="E28" s="137"/>
      <c r="G28" s="637" t="str">
        <f>CONCATENATE("",E1," Tot Exp/Non-Appr Must Be:")</f>
        <v>2020 Tot Exp/Non-Appr Must Be:</v>
      </c>
      <c r="H28" s="467"/>
      <c r="I28" s="633"/>
      <c r="J28" s="638">
        <f>IF(J26&gt;0,IF(E47&lt;E25,IF(J26=G39,E47,((J26-G39)*(1-D49))+E25),E47+(J26-G39)),0)</f>
        <v>0</v>
      </c>
    </row>
    <row r="29" spans="2:10" x14ac:dyDescent="0.25">
      <c r="B29" s="257" t="s">
        <v>63</v>
      </c>
      <c r="C29" s="252"/>
      <c r="D29" s="252"/>
      <c r="E29" s="137"/>
      <c r="G29" s="639" t="s">
        <v>741</v>
      </c>
      <c r="H29" s="640"/>
      <c r="I29" s="640"/>
      <c r="J29" s="641">
        <f>IF(J26&gt;0,J28-E47,0)</f>
        <v>0</v>
      </c>
    </row>
    <row r="30" spans="2:10" x14ac:dyDescent="0.25">
      <c r="B30" s="256" t="s">
        <v>50</v>
      </c>
      <c r="C30" s="252"/>
      <c r="D30" s="252"/>
      <c r="E30" s="137"/>
    </row>
    <row r="31" spans="2:10" x14ac:dyDescent="0.25">
      <c r="B31" s="257" t="s">
        <v>65</v>
      </c>
      <c r="C31" s="252"/>
      <c r="D31" s="252"/>
      <c r="E31" s="137"/>
      <c r="G31" s="917" t="str">
        <f>CONCATENATE("Projected Carryover Into ",E1+1,"")</f>
        <v>Projected Carryover Into 2021</v>
      </c>
      <c r="H31" s="918"/>
      <c r="I31" s="918"/>
      <c r="J31" s="919"/>
    </row>
    <row r="32" spans="2:10" x14ac:dyDescent="0.25">
      <c r="B32" s="257" t="s">
        <v>53</v>
      </c>
      <c r="C32" s="252"/>
      <c r="D32" s="252"/>
      <c r="E32" s="137"/>
      <c r="G32" s="432"/>
      <c r="H32" s="49"/>
      <c r="I32" s="49"/>
      <c r="J32" s="62"/>
    </row>
    <row r="33" spans="2:11" x14ac:dyDescent="0.25">
      <c r="B33" s="257" t="s">
        <v>51</v>
      </c>
      <c r="C33" s="252"/>
      <c r="D33" s="252"/>
      <c r="E33" s="137"/>
      <c r="G33" s="471">
        <f>D44</f>
        <v>0</v>
      </c>
      <c r="H33" s="472" t="str">
        <f>CONCATENATE("",E1-1," Ending Cash Balance (est.)")</f>
        <v>2019 Ending Cash Balance (est.)</v>
      </c>
      <c r="I33" s="473"/>
      <c r="J33" s="62"/>
    </row>
    <row r="34" spans="2:11" x14ac:dyDescent="0.25">
      <c r="B34" s="257"/>
      <c r="C34" s="252"/>
      <c r="D34" s="252"/>
      <c r="E34" s="137"/>
      <c r="G34" s="471">
        <f>E24</f>
        <v>0</v>
      </c>
      <c r="H34" s="474" t="str">
        <f>CONCATENATE("",E1," Non-AV Receipts (est.)")</f>
        <v>2020 Non-AV Receipts (est.)</v>
      </c>
      <c r="I34" s="473"/>
      <c r="J34" s="62"/>
    </row>
    <row r="35" spans="2:11" x14ac:dyDescent="0.2">
      <c r="B35" s="257"/>
      <c r="C35" s="252"/>
      <c r="D35" s="252"/>
      <c r="E35" s="137"/>
      <c r="G35" s="475">
        <f>IF(D49&gt;0,E48,E50)</f>
        <v>0</v>
      </c>
      <c r="H35" s="474" t="str">
        <f>CONCATENATE("",E1," Ad Valorem Tax (est.)")</f>
        <v>2020 Ad Valorem Tax (est.)</v>
      </c>
      <c r="I35" s="474"/>
      <c r="J35" s="62"/>
      <c r="K35" s="642" t="str">
        <f>IF(G35=E50,"","Note: Does not include Delinquent Taxes")</f>
        <v/>
      </c>
    </row>
    <row r="36" spans="2:11" x14ac:dyDescent="0.25">
      <c r="B36" s="257"/>
      <c r="C36" s="252"/>
      <c r="D36" s="252"/>
      <c r="E36" s="137"/>
      <c r="G36" s="471">
        <f>SUM(G33:G35)</f>
        <v>0</v>
      </c>
      <c r="H36" s="474" t="str">
        <f>CONCATENATE("Total ",E1," Resources Available")</f>
        <v>Total 2020 Resources Available</v>
      </c>
      <c r="I36" s="473"/>
      <c r="J36" s="62"/>
    </row>
    <row r="37" spans="2:11" x14ac:dyDescent="0.25">
      <c r="B37" s="256"/>
      <c r="C37" s="252"/>
      <c r="D37" s="252"/>
      <c r="E37" s="137"/>
      <c r="G37" s="476"/>
      <c r="H37" s="474"/>
      <c r="I37" s="474"/>
      <c r="J37" s="62"/>
    </row>
    <row r="38" spans="2:11" x14ac:dyDescent="0.25">
      <c r="B38" s="58" t="str">
        <f>CONCATENATE("Cash Forward (",E1," column)")</f>
        <v>Cash Forward (2020 column)</v>
      </c>
      <c r="C38" s="252"/>
      <c r="D38" s="252"/>
      <c r="E38" s="137"/>
      <c r="G38" s="475">
        <f>ROUND(C43*0.05+C43,0)</f>
        <v>0</v>
      </c>
      <c r="H38" s="474" t="str">
        <f>CONCATENATE("Less ",E1-2," Expenditures + 5%")</f>
        <v>Less 2018 Expenditures + 5%</v>
      </c>
      <c r="I38" s="473"/>
      <c r="J38" s="62"/>
    </row>
    <row r="39" spans="2:11" x14ac:dyDescent="0.25">
      <c r="B39" s="58" t="s">
        <v>52</v>
      </c>
      <c r="C39" s="252"/>
      <c r="D39" s="252"/>
      <c r="E39" s="137"/>
      <c r="G39" s="477">
        <f>G36-G38</f>
        <v>0</v>
      </c>
      <c r="H39" s="478" t="str">
        <f>CONCATENATE("Projected ",E1+1," Carryover (est.)")</f>
        <v>Projected 2021 Carryover (est.)</v>
      </c>
      <c r="I39" s="479"/>
      <c r="J39" s="480"/>
    </row>
    <row r="40" spans="2:11" x14ac:dyDescent="0.25">
      <c r="B40" s="58" t="s">
        <v>642</v>
      </c>
      <c r="C40" s="326" t="str">
        <f>IF(C25*0.25&lt;C39,"Exceeds 25%","")</f>
        <v/>
      </c>
      <c r="D40" s="326" t="str">
        <f>IF(D25*0.25&lt;D39,"Exceeds 25%","")</f>
        <v/>
      </c>
      <c r="E40" s="262" t="str">
        <f>IF(E25*0.25+E50&lt;E39,"Exceeds 25%","")</f>
        <v/>
      </c>
    </row>
    <row r="41" spans="2:11" x14ac:dyDescent="0.2">
      <c r="B41" s="255" t="s">
        <v>186</v>
      </c>
      <c r="C41" s="252"/>
      <c r="D41" s="252"/>
      <c r="E41" s="137"/>
      <c r="G41" s="920" t="s">
        <v>742</v>
      </c>
      <c r="H41" s="921"/>
      <c r="I41" s="921"/>
      <c r="J41" s="922"/>
    </row>
    <row r="42" spans="2:11" x14ac:dyDescent="0.25">
      <c r="B42" s="255" t="s">
        <v>637</v>
      </c>
      <c r="C42" s="326" t="str">
        <f>IF(C43*0.1&lt;C41,"Exceed 10% Rule","")</f>
        <v/>
      </c>
      <c r="D42" s="326" t="str">
        <f>IF(D43*0.1&lt;D41,"Exceed 10% Rule","")</f>
        <v/>
      </c>
      <c r="E42" s="262" t="str">
        <f>IF(E43*0.1&lt;E41,"Exceed 10% Rule","")</f>
        <v/>
      </c>
      <c r="G42" s="643"/>
      <c r="H42" s="472"/>
      <c r="I42" s="634"/>
      <c r="J42" s="644"/>
    </row>
    <row r="43" spans="2:11" x14ac:dyDescent="0.25">
      <c r="B43" s="76" t="s">
        <v>240</v>
      </c>
      <c r="C43" s="327">
        <f>SUM(C27:C41)</f>
        <v>0</v>
      </c>
      <c r="D43" s="327">
        <f>SUM(D27:D41)</f>
        <v>0</v>
      </c>
      <c r="E43" s="261">
        <f>SUM(E27:E39,E41)</f>
        <v>0</v>
      </c>
      <c r="G43" s="645" t="str">
        <f>summ!H21</f>
        <v xml:space="preserve"> </v>
      </c>
      <c r="H43" s="472" t="str">
        <f>CONCATENATE("",E1," Fund Mill Rate")</f>
        <v>2020 Fund Mill Rate</v>
      </c>
      <c r="I43" s="634"/>
      <c r="J43" s="644"/>
    </row>
    <row r="44" spans="2:11" x14ac:dyDescent="0.25">
      <c r="B44" s="58" t="s">
        <v>58</v>
      </c>
      <c r="C44" s="328">
        <f>C25-C43</f>
        <v>0</v>
      </c>
      <c r="D44" s="328">
        <f>D25-D43</f>
        <v>0</v>
      </c>
      <c r="E44" s="254" t="s">
        <v>213</v>
      </c>
      <c r="G44" s="646" t="str">
        <f>summ!E21</f>
        <v xml:space="preserve">  </v>
      </c>
      <c r="H44" s="472" t="str">
        <f>CONCATENATE("",E1-1," Fund Mill Rate")</f>
        <v>2019 Fund Mill Rate</v>
      </c>
      <c r="I44" s="634"/>
      <c r="J44" s="644"/>
    </row>
    <row r="45" spans="2:11" x14ac:dyDescent="0.25">
      <c r="B45" s="92" t="str">
        <f>CONCATENATE("",E1-2,"/",E1-1,"/",E1," Budget Authority Amount:")</f>
        <v>2018/2019/2020 Budget Authority Amount:</v>
      </c>
      <c r="C45" s="673">
        <f>inputOth!B92</f>
        <v>0</v>
      </c>
      <c r="D45" s="673">
        <f>inputPrYr!D26</f>
        <v>0</v>
      </c>
      <c r="E45" s="205">
        <f>E43</f>
        <v>0</v>
      </c>
      <c r="F45" s="263"/>
      <c r="G45" s="647">
        <f>summ!H36</f>
        <v>1.8420000000000001</v>
      </c>
      <c r="H45" s="472" t="str">
        <f>CONCATENATE("Total ",E1," Mill Rate")</f>
        <v>Total 2020 Mill Rate</v>
      </c>
      <c r="I45" s="634"/>
      <c r="J45" s="644"/>
    </row>
    <row r="46" spans="2:11" x14ac:dyDescent="0.25">
      <c r="B46" s="93"/>
      <c r="C46" s="911" t="s">
        <v>634</v>
      </c>
      <c r="D46" s="912"/>
      <c r="E46" s="137"/>
      <c r="F46" s="651" t="str">
        <f>IF(E43/0.95-E43&lt;E46,"Exceeds 5%","")</f>
        <v/>
      </c>
      <c r="G46" s="646">
        <f>summ!E36</f>
        <v>1.861</v>
      </c>
      <c r="H46" s="648" t="str">
        <f>CONCATENATE("Total ",E1-1," Mill Rate")</f>
        <v>Total 2019 Mill Rate</v>
      </c>
      <c r="I46" s="649"/>
      <c r="J46" s="650"/>
    </row>
    <row r="47" spans="2:11" x14ac:dyDescent="0.25">
      <c r="B47" s="428" t="str">
        <f>CONCATENATE(C76,"     ",D76)</f>
        <v xml:space="preserve">     </v>
      </c>
      <c r="C47" s="913" t="s">
        <v>635</v>
      </c>
      <c r="D47" s="914"/>
      <c r="E47" s="205">
        <f>E43+E46</f>
        <v>0</v>
      </c>
    </row>
    <row r="48" spans="2:11" x14ac:dyDescent="0.25">
      <c r="B48" s="428" t="str">
        <f>CONCATENATE(C77,"     ",D77)</f>
        <v xml:space="preserve">     </v>
      </c>
      <c r="C48" s="431"/>
      <c r="D48" s="430" t="s">
        <v>242</v>
      </c>
      <c r="E48" s="148">
        <f>IF(E47-E25&gt;0,E47-E25,0)</f>
        <v>0</v>
      </c>
      <c r="G48" s="781" t="s">
        <v>846</v>
      </c>
      <c r="H48" s="777"/>
      <c r="I48" s="776"/>
      <c r="J48" s="775" t="str">
        <f>cert!F41</f>
        <v>No</v>
      </c>
    </row>
    <row r="49" spans="2:10" x14ac:dyDescent="0.25">
      <c r="B49" s="170"/>
      <c r="C49" s="429" t="s">
        <v>636</v>
      </c>
      <c r="D49" s="635">
        <f>inputOth!$E$83</f>
        <v>0</v>
      </c>
      <c r="E49" s="205">
        <f>ROUND(IF(D49&gt;0,(E48*D49),0),0)</f>
        <v>0</v>
      </c>
      <c r="G49" s="774" t="str">
        <f>CONCATENATE("Computed ",E1," tax levy limit amount")</f>
        <v>Computed 2020 tax levy limit amount</v>
      </c>
      <c r="H49" s="773"/>
      <c r="I49" s="773"/>
      <c r="J49" s="772">
        <f>computation!J41</f>
        <v>3075</v>
      </c>
    </row>
    <row r="50" spans="2:10" x14ac:dyDescent="0.25">
      <c r="B50" s="43"/>
      <c r="C50" s="915" t="str">
        <f>CONCATENATE("Amount of  ",$E$1-1," Ad Valorem Tax")</f>
        <v>Amount of  2019 Ad Valorem Tax</v>
      </c>
      <c r="D50" s="916"/>
      <c r="E50" s="148">
        <f>E48+E49</f>
        <v>0</v>
      </c>
      <c r="G50" s="771" t="str">
        <f>CONCATENATE("Total ",E1," tax levy amount")</f>
        <v>Total 2020 tax levy amount</v>
      </c>
      <c r="H50" s="770"/>
      <c r="I50" s="770"/>
      <c r="J50" s="769">
        <f>summ!G36</f>
        <v>3000</v>
      </c>
    </row>
    <row r="51" spans="2:10" x14ac:dyDescent="0.25">
      <c r="B51" s="43"/>
      <c r="C51" s="43"/>
      <c r="D51" s="43"/>
      <c r="E51" s="43"/>
    </row>
    <row r="52" spans="2:10" x14ac:dyDescent="0.25">
      <c r="B52" s="43"/>
      <c r="C52" s="43"/>
      <c r="D52" s="43"/>
      <c r="E52" s="43"/>
    </row>
    <row r="53" spans="2:10" x14ac:dyDescent="0.25">
      <c r="B53" s="130" t="s">
        <v>244</v>
      </c>
      <c r="C53" s="164">
        <f>E1-2</f>
        <v>2018</v>
      </c>
      <c r="D53" s="43"/>
      <c r="E53" s="43"/>
    </row>
    <row r="54" spans="2:10" x14ac:dyDescent="0.25">
      <c r="B54" s="55" t="s">
        <v>245</v>
      </c>
      <c r="C54" s="57" t="s">
        <v>246</v>
      </c>
      <c r="D54" s="43"/>
      <c r="E54" s="43"/>
    </row>
    <row r="55" spans="2:10" x14ac:dyDescent="0.25">
      <c r="B55" s="81" t="s">
        <v>228</v>
      </c>
      <c r="C55" s="427"/>
      <c r="D55" s="43"/>
      <c r="E55" s="43"/>
    </row>
    <row r="56" spans="2:10" x14ac:dyDescent="0.25">
      <c r="B56" s="81" t="s">
        <v>247</v>
      </c>
      <c r="C56" s="275"/>
      <c r="D56" s="43"/>
      <c r="E56" s="43"/>
    </row>
    <row r="57" spans="2:10" x14ac:dyDescent="0.25">
      <c r="B57" s="81" t="s">
        <v>248</v>
      </c>
      <c r="C57" s="422">
        <f>IF(C39&gt;0,C39,0)</f>
        <v>0</v>
      </c>
      <c r="D57" s="267" t="str">
        <f>IF(C39&gt;(C25*0.25),"Exceeds 25% of Resources Available","")</f>
        <v/>
      </c>
      <c r="E57" s="43"/>
    </row>
    <row r="58" spans="2:10" x14ac:dyDescent="0.25">
      <c r="B58" s="81" t="s">
        <v>157</v>
      </c>
      <c r="C58" s="421">
        <f>IF(gen!C44&gt;0,gen!C44,0)</f>
        <v>0</v>
      </c>
      <c r="D58" s="934" t="str">
        <f>IF(AND(gen!C44&gt;0,gen!C46&gt;0),"Not Auth. Two General Transfers - Only One","")</f>
        <v/>
      </c>
      <c r="E58" s="43"/>
    </row>
    <row r="59" spans="2:10" x14ac:dyDescent="0.25">
      <c r="B59" s="81" t="s">
        <v>158</v>
      </c>
      <c r="C59" s="422">
        <f>IF(gen!C46&gt;0,gen!C46,0)</f>
        <v>0</v>
      </c>
      <c r="D59" s="935"/>
      <c r="E59" s="43"/>
    </row>
    <row r="60" spans="2:10" x14ac:dyDescent="0.25">
      <c r="B60" s="139"/>
      <c r="C60" s="427"/>
      <c r="D60" s="43"/>
      <c r="E60" s="43"/>
    </row>
    <row r="61" spans="2:10" x14ac:dyDescent="0.25">
      <c r="B61" s="139" t="s">
        <v>236</v>
      </c>
      <c r="C61" s="427"/>
      <c r="D61" s="43"/>
      <c r="E61" s="43"/>
    </row>
    <row r="62" spans="2:10" x14ac:dyDescent="0.25">
      <c r="B62" s="139" t="s">
        <v>235</v>
      </c>
      <c r="C62" s="427"/>
      <c r="D62" s="43"/>
      <c r="E62" s="43"/>
    </row>
    <row r="63" spans="2:10" x14ac:dyDescent="0.25">
      <c r="B63" s="268" t="s">
        <v>238</v>
      </c>
      <c r="C63" s="420">
        <f>SUM(C55,C57:C62)</f>
        <v>0</v>
      </c>
      <c r="D63" s="43"/>
      <c r="E63" s="43"/>
    </row>
    <row r="64" spans="2:10" x14ac:dyDescent="0.25">
      <c r="B64" s="268" t="s">
        <v>240</v>
      </c>
      <c r="C64" s="427"/>
      <c r="D64" s="43"/>
      <c r="E64" s="43"/>
    </row>
    <row r="65" spans="2:5" x14ac:dyDescent="0.25">
      <c r="B65" s="268" t="s">
        <v>241</v>
      </c>
      <c r="C65" s="420">
        <f>C63-C64</f>
        <v>0</v>
      </c>
      <c r="D65" s="43"/>
      <c r="E65" s="43"/>
    </row>
    <row r="66" spans="2:5" x14ac:dyDescent="0.25">
      <c r="B66" s="795"/>
      <c r="C66" s="796"/>
      <c r="D66" s="43"/>
      <c r="E66" s="43"/>
    </row>
    <row r="67" spans="2:5" x14ac:dyDescent="0.25">
      <c r="B67" s="797" t="s">
        <v>987</v>
      </c>
      <c r="C67" s="798"/>
      <c r="D67" s="682"/>
      <c r="E67" s="60"/>
    </row>
    <row r="68" spans="2:5" x14ac:dyDescent="0.25">
      <c r="B68" s="799"/>
      <c r="C68" s="796"/>
      <c r="D68" s="49"/>
      <c r="E68" s="62"/>
    </row>
    <row r="69" spans="2:5" x14ac:dyDescent="0.25">
      <c r="B69" s="800"/>
      <c r="C69" s="801"/>
      <c r="D69" s="56"/>
      <c r="E69" s="67"/>
    </row>
    <row r="70" spans="2:5" x14ac:dyDescent="0.25">
      <c r="B70" s="43"/>
      <c r="C70" s="43"/>
      <c r="D70" s="43"/>
      <c r="E70" s="43"/>
    </row>
    <row r="71" spans="2:5" x14ac:dyDescent="0.25">
      <c r="B71" s="170" t="s">
        <v>223</v>
      </c>
      <c r="C71" s="709"/>
      <c r="D71" s="43"/>
      <c r="E71" s="43"/>
    </row>
    <row r="73" spans="2:5" x14ac:dyDescent="0.25">
      <c r="B73" s="85"/>
    </row>
    <row r="76" spans="2:5" hidden="1" x14ac:dyDescent="0.25">
      <c r="C76" s="129" t="str">
        <f>IF(C43&gt;C45,"See Tab A","")</f>
        <v/>
      </c>
      <c r="D76" s="129" t="str">
        <f>IF(D43&gt;D45,"See Tab C","")</f>
        <v/>
      </c>
    </row>
    <row r="77" spans="2:5" hidden="1" x14ac:dyDescent="0.25">
      <c r="C77" s="129" t="str">
        <f>IF(C44&lt;0,"See Tab B","")</f>
        <v/>
      </c>
      <c r="D77" s="129" t="str">
        <f>IF(D44&lt;0,"See Tab D","")</f>
        <v/>
      </c>
    </row>
  </sheetData>
  <sheetProtection sheet="1"/>
  <mergeCells count="7">
    <mergeCell ref="D58:D59"/>
    <mergeCell ref="C46:D46"/>
    <mergeCell ref="C47:D47"/>
    <mergeCell ref="C50:D50"/>
    <mergeCell ref="G24:J24"/>
    <mergeCell ref="G31:J31"/>
    <mergeCell ref="G41:J4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2">
    <cfRule type="cellIs" dxfId="134" priority="5" stopIfTrue="1" operator="greaterThan">
      <formula>$C$24*0.1</formula>
    </cfRule>
  </conditionalFormatting>
  <conditionalFormatting sqref="D22">
    <cfRule type="cellIs" dxfId="133" priority="6" stopIfTrue="1" operator="greaterThan">
      <formula>$D$24*0.1</formula>
    </cfRule>
  </conditionalFormatting>
  <conditionalFormatting sqref="C39">
    <cfRule type="cellIs" dxfId="132" priority="7" stopIfTrue="1" operator="greaterThan">
      <formula>$C$25*0.25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9">
    <cfRule type="cellIs" dxfId="127" priority="12" stopIfTrue="1" operator="greaterThan">
      <formula>$D$25*0.25</formula>
    </cfRule>
  </conditionalFormatting>
  <conditionalFormatting sqref="D44">
    <cfRule type="cellIs" dxfId="126" priority="1" stopIfTrue="1" operator="lessThan">
      <formula>0</formula>
    </cfRule>
  </conditionalFormatting>
  <conditionalFormatting sqref="E39">
    <cfRule type="cellIs" dxfId="125" priority="26" stopIfTrue="1" operator="greaterThan">
      <formula>$E$25*0.25+$E$50</formula>
    </cfRule>
  </conditionalFormatting>
  <conditionalFormatting sqref="E22">
    <cfRule type="cellIs" dxfId="124" priority="27" stopIfTrue="1" operator="greaterThan">
      <formula>$E$24*0.1+$E$50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00B0F0"/>
    <pageSetUpPr fitToPage="1"/>
  </sheetPr>
  <dimension ref="B1:K95"/>
  <sheetViews>
    <sheetView zoomScaleNormal="100" workbookViewId="0">
      <selection activeCell="E90" sqref="E90"/>
    </sheetView>
  </sheetViews>
  <sheetFormatPr defaultColWidth="8.796875" defaultRowHeight="15.75" x14ac:dyDescent="0.2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ol min="9" max="9" width="4.5" style="129" customWidth="1"/>
    <col min="10" max="10" width="9" style="129" customWidth="1"/>
    <col min="11" max="16384" width="8.796875" style="129"/>
  </cols>
  <sheetData>
    <row r="1" spans="2:11" x14ac:dyDescent="0.25">
      <c r="B1" s="182" t="str">
        <f>inputPrYr!D4</f>
        <v>Scott Township</v>
      </c>
      <c r="C1" s="50" t="s">
        <v>249</v>
      </c>
      <c r="D1" s="43"/>
      <c r="E1" s="183">
        <f>inputPrYr!D10</f>
        <v>2020</v>
      </c>
    </row>
    <row r="2" spans="2:11" x14ac:dyDescent="0.25">
      <c r="B2" s="470" t="s">
        <v>654</v>
      </c>
      <c r="C2" s="43"/>
      <c r="D2" s="43"/>
      <c r="E2" s="270"/>
    </row>
    <row r="3" spans="2:11" x14ac:dyDescent="0.25">
      <c r="B3" s="43"/>
      <c r="C3" s="48"/>
      <c r="D3" s="48"/>
      <c r="E3" s="43"/>
    </row>
    <row r="4" spans="2:11" x14ac:dyDescent="0.25">
      <c r="B4" s="50" t="s">
        <v>224</v>
      </c>
      <c r="C4" s="322" t="s">
        <v>225</v>
      </c>
      <c r="D4" s="325" t="s">
        <v>226</v>
      </c>
      <c r="E4" s="52" t="s">
        <v>227</v>
      </c>
    </row>
    <row r="5" spans="2:11" x14ac:dyDescent="0.25">
      <c r="B5" s="413" t="str">
        <f>inputPrYr!B27</f>
        <v>Special Road</v>
      </c>
      <c r="C5" s="323" t="str">
        <f>gen!C5</f>
        <v>Actual for 2018</v>
      </c>
      <c r="D5" s="323" t="str">
        <f>gen!D5</f>
        <v>Estimate for 2019</v>
      </c>
      <c r="E5" s="57" t="str">
        <f>gen!E5</f>
        <v>Year for 2020</v>
      </c>
    </row>
    <row r="6" spans="2:11" x14ac:dyDescent="0.25">
      <c r="B6" s="58" t="s">
        <v>57</v>
      </c>
      <c r="C6" s="252"/>
      <c r="D6" s="324">
        <f>C35</f>
        <v>0</v>
      </c>
      <c r="E6" s="205">
        <f>D35</f>
        <v>0</v>
      </c>
    </row>
    <row r="7" spans="2:11" x14ac:dyDescent="0.25">
      <c r="B7" s="58" t="s">
        <v>59</v>
      </c>
      <c r="C7" s="324"/>
      <c r="D7" s="324"/>
      <c r="E7" s="254"/>
    </row>
    <row r="8" spans="2:11" x14ac:dyDescent="0.25">
      <c r="B8" s="58" t="s">
        <v>230</v>
      </c>
      <c r="C8" s="252"/>
      <c r="D8" s="324">
        <f>IF(inputPrYr!H22&gt;0,inputPrYr!G27,inputPrYr!E27)</f>
        <v>0</v>
      </c>
      <c r="E8" s="254" t="s">
        <v>213</v>
      </c>
    </row>
    <row r="9" spans="2:11" x14ac:dyDescent="0.25">
      <c r="B9" s="58" t="s">
        <v>231</v>
      </c>
      <c r="C9" s="252"/>
      <c r="D9" s="252"/>
      <c r="E9" s="137"/>
    </row>
    <row r="10" spans="2:11" x14ac:dyDescent="0.25">
      <c r="B10" s="58" t="s">
        <v>232</v>
      </c>
      <c r="C10" s="252"/>
      <c r="D10" s="252"/>
      <c r="E10" s="205">
        <f>mvalloc!D15</f>
        <v>0</v>
      </c>
    </row>
    <row r="11" spans="2:11" x14ac:dyDescent="0.25">
      <c r="B11" s="58" t="s">
        <v>233</v>
      </c>
      <c r="C11" s="252"/>
      <c r="D11" s="252"/>
      <c r="E11" s="205">
        <f>mvalloc!F15</f>
        <v>0</v>
      </c>
    </row>
    <row r="12" spans="2:11" x14ac:dyDescent="0.25">
      <c r="B12" s="255" t="s">
        <v>21</v>
      </c>
      <c r="C12" s="252"/>
      <c r="D12" s="252"/>
      <c r="E12" s="205">
        <f>mvalloc!H15</f>
        <v>0</v>
      </c>
    </row>
    <row r="13" spans="2:11" x14ac:dyDescent="0.25">
      <c r="B13" s="742" t="s">
        <v>824</v>
      </c>
      <c r="C13" s="252"/>
      <c r="D13" s="252"/>
      <c r="E13" s="205">
        <f>mvalloc!J15</f>
        <v>0</v>
      </c>
    </row>
    <row r="14" spans="2:11" x14ac:dyDescent="0.25">
      <c r="B14" s="742" t="s">
        <v>825</v>
      </c>
      <c r="C14" s="252"/>
      <c r="D14" s="252"/>
      <c r="E14" s="205">
        <f>mvalloc!L15</f>
        <v>0</v>
      </c>
    </row>
    <row r="15" spans="2:11" x14ac:dyDescent="0.25">
      <c r="B15" s="257"/>
      <c r="C15" s="252"/>
      <c r="D15" s="252"/>
      <c r="E15" s="137"/>
      <c r="G15" s="928" t="str">
        <f>CONCATENATE("Desired Carryover Into ",E1+1,"")</f>
        <v>Desired Carryover Into 2021</v>
      </c>
      <c r="H15" s="929"/>
      <c r="I15" s="929"/>
      <c r="J15" s="930"/>
      <c r="K15" s="535"/>
    </row>
    <row r="16" spans="2:11" x14ac:dyDescent="0.25">
      <c r="B16" s="257"/>
      <c r="C16" s="252"/>
      <c r="D16" s="252"/>
      <c r="E16" s="137"/>
      <c r="G16" s="567"/>
      <c r="H16" s="568"/>
      <c r="I16" s="569"/>
      <c r="J16" s="570"/>
      <c r="K16" s="535"/>
    </row>
    <row r="17" spans="2:11" x14ac:dyDescent="0.25">
      <c r="B17" s="257"/>
      <c r="C17" s="252"/>
      <c r="D17" s="252"/>
      <c r="E17" s="137"/>
      <c r="G17" s="571" t="s">
        <v>640</v>
      </c>
      <c r="H17" s="569"/>
      <c r="I17" s="569"/>
      <c r="J17" s="572">
        <v>0</v>
      </c>
      <c r="K17" s="535"/>
    </row>
    <row r="18" spans="2:11" x14ac:dyDescent="0.25">
      <c r="B18" s="257" t="s">
        <v>236</v>
      </c>
      <c r="C18" s="252"/>
      <c r="D18" s="252"/>
      <c r="E18" s="137"/>
      <c r="G18" s="567" t="s">
        <v>641</v>
      </c>
      <c r="H18" s="568"/>
      <c r="I18" s="568"/>
      <c r="J18" s="573" t="str">
        <f>IF(J17=0,"",ROUND((J17+E41-G30)/inputOth!E11*1000,3)-G35)</f>
        <v/>
      </c>
      <c r="K18" s="535"/>
    </row>
    <row r="19" spans="2:11" x14ac:dyDescent="0.25">
      <c r="B19" s="255" t="s">
        <v>188</v>
      </c>
      <c r="C19" s="252"/>
      <c r="D19" s="252"/>
      <c r="E19" s="148">
        <f>nhood!E10*-1</f>
        <v>0</v>
      </c>
      <c r="G19" s="574" t="str">
        <f>CONCATENATE("",E1," Tot Exp/Non-Appr Must Be:")</f>
        <v>2020 Tot Exp/Non-Appr Must Be:</v>
      </c>
      <c r="H19" s="575"/>
      <c r="I19" s="576"/>
      <c r="J19" s="577">
        <f>IF(J17&gt;0,IF(E38&lt;E23,IF(J17=G30,E38,((J17-G30)*(1-D40))+E23),E38+(J17-G30)),0)</f>
        <v>0</v>
      </c>
      <c r="K19" s="535"/>
    </row>
    <row r="20" spans="2:11" x14ac:dyDescent="0.25">
      <c r="B20" s="258" t="s">
        <v>186</v>
      </c>
      <c r="C20" s="252"/>
      <c r="D20" s="252"/>
      <c r="E20" s="137"/>
      <c r="G20" s="578" t="s">
        <v>741</v>
      </c>
      <c r="H20" s="579"/>
      <c r="I20" s="579"/>
      <c r="J20" s="580">
        <f>IF(J17&gt;0,J19-E38,0)</f>
        <v>0</v>
      </c>
      <c r="K20" s="535"/>
    </row>
    <row r="21" spans="2:11" x14ac:dyDescent="0.25">
      <c r="B21" s="258" t="s">
        <v>187</v>
      </c>
      <c r="C21" s="326" t="str">
        <f>IF(C22*0.1&lt;C20,"Exceed 10% Rule","")</f>
        <v/>
      </c>
      <c r="D21" s="326" t="str">
        <f>IF(D22*0.1&lt;D20,"Exceed 10% Rule","")</f>
        <v/>
      </c>
      <c r="E21" s="262" t="str">
        <f>IF((E41+E22)*0.1&lt;E20,"Exceed 10% Rule","")</f>
        <v/>
      </c>
      <c r="G21" s="535"/>
      <c r="H21" s="535"/>
      <c r="I21" s="535"/>
      <c r="J21" s="535"/>
      <c r="K21" s="535"/>
    </row>
    <row r="22" spans="2:11" x14ac:dyDescent="0.25">
      <c r="B22" s="260" t="s">
        <v>237</v>
      </c>
      <c r="C22" s="327">
        <f>SUM(C8:C20)</f>
        <v>0</v>
      </c>
      <c r="D22" s="327">
        <f>SUM(D8:D20)</f>
        <v>0</v>
      </c>
      <c r="E22" s="261">
        <f>SUM(E8:E20)</f>
        <v>0</v>
      </c>
      <c r="G22" s="928" t="str">
        <f>CONCATENATE("Projected Carryover Into ",E1+1,"")</f>
        <v>Projected Carryover Into 2021</v>
      </c>
      <c r="H22" s="931"/>
      <c r="I22" s="931"/>
      <c r="J22" s="932"/>
      <c r="K22" s="535"/>
    </row>
    <row r="23" spans="2:11" x14ac:dyDescent="0.25">
      <c r="B23" s="76" t="s">
        <v>238</v>
      </c>
      <c r="C23" s="327">
        <f>C22+C6</f>
        <v>0</v>
      </c>
      <c r="D23" s="327">
        <f>D22+D6</f>
        <v>0</v>
      </c>
      <c r="E23" s="261">
        <f>E22+E6</f>
        <v>0</v>
      </c>
      <c r="G23" s="567"/>
      <c r="H23" s="569"/>
      <c r="I23" s="569"/>
      <c r="J23" s="582"/>
      <c r="K23" s="535"/>
    </row>
    <row r="24" spans="2:11" x14ac:dyDescent="0.25">
      <c r="B24" s="58" t="s">
        <v>239</v>
      </c>
      <c r="C24" s="324"/>
      <c r="D24" s="324"/>
      <c r="E24" s="205"/>
      <c r="G24" s="585">
        <f>D35</f>
        <v>0</v>
      </c>
      <c r="H24" s="586" t="str">
        <f>CONCATENATE("",E1-1," Ending Cash Balance (est.)")</f>
        <v>2019 Ending Cash Balance (est.)</v>
      </c>
      <c r="I24" s="587"/>
      <c r="J24" s="582"/>
      <c r="K24" s="535"/>
    </row>
    <row r="25" spans="2:11" x14ac:dyDescent="0.25">
      <c r="B25" s="257"/>
      <c r="C25" s="252"/>
      <c r="D25" s="252"/>
      <c r="E25" s="137"/>
      <c r="G25" s="585">
        <f>E22</f>
        <v>0</v>
      </c>
      <c r="H25" s="569" t="str">
        <f>CONCATENATE("",E1," Non-AV Receipts (est.)")</f>
        <v>2020 Non-AV Receipts (est.)</v>
      </c>
      <c r="I25" s="587"/>
      <c r="J25" s="582"/>
      <c r="K25" s="535"/>
    </row>
    <row r="26" spans="2:11" x14ac:dyDescent="0.2">
      <c r="B26" s="257"/>
      <c r="C26" s="252"/>
      <c r="D26" s="252"/>
      <c r="E26" s="137"/>
      <c r="G26" s="592">
        <f>IF(E40&gt;0,E39,E41)</f>
        <v>0</v>
      </c>
      <c r="H26" s="569" t="str">
        <f>CONCATENATE("",E1," Ad Valorem Tax (est.)")</f>
        <v>2020 Ad Valorem Tax (est.)</v>
      </c>
      <c r="I26" s="569"/>
      <c r="J26" s="582"/>
      <c r="K26" s="593" t="str">
        <f>IF(G26=E41,"","Note: Does not include Delinquent Taxes")</f>
        <v/>
      </c>
    </row>
    <row r="27" spans="2:11" x14ac:dyDescent="0.25">
      <c r="B27" s="257"/>
      <c r="C27" s="252"/>
      <c r="D27" s="252"/>
      <c r="E27" s="137"/>
      <c r="G27" s="585">
        <f>SUM(G24:G26)</f>
        <v>0</v>
      </c>
      <c r="H27" s="569" t="str">
        <f>CONCATENATE("Total ",E1," Resources Available")</f>
        <v>Total 2020 Resources Available</v>
      </c>
      <c r="I27" s="587"/>
      <c r="J27" s="582"/>
      <c r="K27" s="535"/>
    </row>
    <row r="28" spans="2:11" x14ac:dyDescent="0.25">
      <c r="B28" s="257"/>
      <c r="C28" s="252"/>
      <c r="D28" s="252"/>
      <c r="E28" s="137"/>
      <c r="G28" s="596"/>
      <c r="H28" s="569"/>
      <c r="I28" s="569"/>
      <c r="J28" s="582"/>
      <c r="K28" s="535"/>
    </row>
    <row r="29" spans="2:11" x14ac:dyDescent="0.25">
      <c r="B29" s="257"/>
      <c r="C29" s="252"/>
      <c r="D29" s="252"/>
      <c r="E29" s="137"/>
      <c r="G29" s="592">
        <f>C34*0.05+C34</f>
        <v>0</v>
      </c>
      <c r="H29" s="569" t="str">
        <f>CONCATENATE("Less ",E1-2," Expenditures + 5%")</f>
        <v>Less 2018 Expenditures + 5%</v>
      </c>
      <c r="I29" s="569"/>
      <c r="J29" s="582"/>
      <c r="K29" s="535"/>
    </row>
    <row r="30" spans="2:11" x14ac:dyDescent="0.25">
      <c r="B30" s="257"/>
      <c r="C30" s="252"/>
      <c r="D30" s="252"/>
      <c r="E30" s="137"/>
      <c r="G30" s="600">
        <f>G27-G29</f>
        <v>0</v>
      </c>
      <c r="H30" s="601" t="str">
        <f>CONCATENATE("Projected ",E1+1," carryover (est.)")</f>
        <v>Projected 2021 carryover (est.)</v>
      </c>
      <c r="I30" s="602"/>
      <c r="J30" s="603"/>
      <c r="K30" s="535"/>
    </row>
    <row r="31" spans="2:11" x14ac:dyDescent="0.25">
      <c r="B31" s="255" t="str">
        <f>CONCATENATE("Cash Forward (",E1," column)")</f>
        <v>Cash Forward (2020 column)</v>
      </c>
      <c r="C31" s="252"/>
      <c r="D31" s="252"/>
      <c r="E31" s="137"/>
      <c r="G31" s="535"/>
      <c r="H31" s="535"/>
      <c r="I31" s="535"/>
      <c r="J31" s="535"/>
      <c r="K31" s="535"/>
    </row>
    <row r="32" spans="2:11" x14ac:dyDescent="0.25">
      <c r="B32" s="255" t="s">
        <v>186</v>
      </c>
      <c r="C32" s="252"/>
      <c r="D32" s="252"/>
      <c r="E32" s="137"/>
      <c r="G32" s="925" t="s">
        <v>742</v>
      </c>
      <c r="H32" s="926"/>
      <c r="I32" s="926"/>
      <c r="J32" s="927"/>
      <c r="K32" s="535"/>
    </row>
    <row r="33" spans="2:11" x14ac:dyDescent="0.25">
      <c r="B33" s="255" t="s">
        <v>637</v>
      </c>
      <c r="C33" s="326" t="str">
        <f>IF(C34*0.1&lt;C32,"Exceed 10% Rule","")</f>
        <v/>
      </c>
      <c r="D33" s="326" t="str">
        <f>IF(D34*0.1&lt;D32,"Exceed 10% Rule","")</f>
        <v/>
      </c>
      <c r="E33" s="262" t="str">
        <f>IF(E34*0.1&lt;E32,"Exceed 10% Rule","")</f>
        <v/>
      </c>
      <c r="G33" s="607"/>
      <c r="H33" s="586"/>
      <c r="I33" s="608"/>
      <c r="J33" s="609"/>
      <c r="K33" s="535"/>
    </row>
    <row r="34" spans="2:11" x14ac:dyDescent="0.25">
      <c r="B34" s="76" t="s">
        <v>240</v>
      </c>
      <c r="C34" s="327">
        <f>SUM(C25:C32)</f>
        <v>0</v>
      </c>
      <c r="D34" s="327">
        <f>SUM(D25:D32)</f>
        <v>0</v>
      </c>
      <c r="E34" s="261">
        <f>SUM(E25:E32)</f>
        <v>0</v>
      </c>
      <c r="G34" s="610" t="str">
        <f>summ!H22</f>
        <v xml:space="preserve"> </v>
      </c>
      <c r="H34" s="586" t="str">
        <f>CONCATENATE("",E1," Fund Mill Rate")</f>
        <v>2020 Fund Mill Rate</v>
      </c>
      <c r="I34" s="608"/>
      <c r="J34" s="609"/>
      <c r="K34" s="535"/>
    </row>
    <row r="35" spans="2:11" x14ac:dyDescent="0.25">
      <c r="B35" s="58" t="s">
        <v>58</v>
      </c>
      <c r="C35" s="328">
        <f>C23-C34</f>
        <v>0</v>
      </c>
      <c r="D35" s="328">
        <f>D23-D34</f>
        <v>0</v>
      </c>
      <c r="E35" s="254" t="s">
        <v>213</v>
      </c>
      <c r="G35" s="611" t="str">
        <f>summ!E22</f>
        <v xml:space="preserve">  </v>
      </c>
      <c r="H35" s="586" t="str">
        <f>CONCATENATE("",E1-1," Fund Mill Rate")</f>
        <v>2019 Fund Mill Rate</v>
      </c>
      <c r="I35" s="608"/>
      <c r="J35" s="609"/>
      <c r="K35" s="535"/>
    </row>
    <row r="36" spans="2:11" x14ac:dyDescent="0.25">
      <c r="B36" s="92" t="str">
        <f>CONCATENATE("",E1-2,"/",E1-1,"/",E1," Budget Authority Amount:")</f>
        <v>2018/2019/2020 Budget Authority Amount:</v>
      </c>
      <c r="C36" s="673">
        <f>inputOth!$B93</f>
        <v>0</v>
      </c>
      <c r="D36" s="673">
        <f>inputPrYr!$D27</f>
        <v>0</v>
      </c>
      <c r="E36" s="205">
        <f>E34</f>
        <v>0</v>
      </c>
      <c r="F36" s="263"/>
      <c r="G36" s="613">
        <f>summ!H36</f>
        <v>1.8420000000000001</v>
      </c>
      <c r="H36" s="586" t="str">
        <f>CONCATENATE("Total ",E1," Mill Rate")</f>
        <v>Total 2020 Mill Rate</v>
      </c>
      <c r="I36" s="608"/>
      <c r="J36" s="609"/>
      <c r="K36" s="535"/>
    </row>
    <row r="37" spans="2:11" x14ac:dyDescent="0.25">
      <c r="B37" s="93"/>
      <c r="C37" s="911" t="s">
        <v>634</v>
      </c>
      <c r="D37" s="912"/>
      <c r="E37" s="137"/>
      <c r="F37" s="651" t="str">
        <f>IF(E34/0.95-E34&lt;E37,"Exceeds 5%","")</f>
        <v/>
      </c>
      <c r="G37" s="611">
        <f>summ!E36</f>
        <v>1.861</v>
      </c>
      <c r="H37" s="614" t="str">
        <f>CONCATENATE("Total ",E1-1," Mill Rate")</f>
        <v>Total 2019 Mill Rate</v>
      </c>
      <c r="I37" s="615"/>
      <c r="J37" s="616"/>
      <c r="K37" s="535"/>
    </row>
    <row r="38" spans="2:11" x14ac:dyDescent="0.25">
      <c r="B38" s="428" t="str">
        <f>CONCATENATE(C92,"     ",D92)</f>
        <v xml:space="preserve">     </v>
      </c>
      <c r="C38" s="913" t="s">
        <v>635</v>
      </c>
      <c r="D38" s="914"/>
      <c r="E38" s="205">
        <f>E34+E37</f>
        <v>0</v>
      </c>
      <c r="G38" s="535"/>
      <c r="H38" s="535"/>
      <c r="I38" s="535"/>
      <c r="J38" s="535"/>
      <c r="K38" s="535"/>
    </row>
    <row r="39" spans="2:11" x14ac:dyDescent="0.25">
      <c r="B39" s="428" t="str">
        <f>CONCATENATE(C93,"     ",D93)</f>
        <v xml:space="preserve">     </v>
      </c>
      <c r="C39" s="431"/>
      <c r="D39" s="430" t="s">
        <v>242</v>
      </c>
      <c r="E39" s="148">
        <f>IF(E38-E23&gt;0,E38-E23,0)</f>
        <v>0</v>
      </c>
      <c r="G39" s="781" t="s">
        <v>846</v>
      </c>
      <c r="H39" s="777"/>
      <c r="I39" s="776"/>
      <c r="J39" s="775" t="str">
        <f>cert!F41</f>
        <v>No</v>
      </c>
      <c r="K39" s="535"/>
    </row>
    <row r="40" spans="2:11" x14ac:dyDescent="0.25">
      <c r="B40" s="170"/>
      <c r="C40" s="429" t="s">
        <v>636</v>
      </c>
      <c r="D40" s="635">
        <f>inputOth!$E$83</f>
        <v>0</v>
      </c>
      <c r="E40" s="205">
        <f>ROUND(IF(D40&gt;0,(E39*D40),0),0)</f>
        <v>0</v>
      </c>
      <c r="G40" s="767" t="str">
        <f>CONCATENATE("Computed ",E1," tax levy limit amount")</f>
        <v>Computed 2020 tax levy limit amount</v>
      </c>
      <c r="H40" s="766"/>
      <c r="I40" s="766"/>
      <c r="J40" s="765">
        <f>computation!J41</f>
        <v>3075</v>
      </c>
      <c r="K40" s="535"/>
    </row>
    <row r="41" spans="2:11" x14ac:dyDescent="0.25">
      <c r="B41" s="43"/>
      <c r="C41" s="915" t="str">
        <f>CONCATENATE("Amount of  ",$E$1-1," Ad Valorem Tax")</f>
        <v>Amount of  2019 Ad Valorem Tax</v>
      </c>
      <c r="D41" s="916"/>
      <c r="E41" s="148">
        <f>E39+E40</f>
        <v>0</v>
      </c>
      <c r="G41" s="764" t="str">
        <f>CONCATENATE("Total ",E1," tax levy amount")</f>
        <v>Total 2020 tax levy amount</v>
      </c>
      <c r="H41" s="763"/>
      <c r="I41" s="763"/>
      <c r="J41" s="762">
        <f>summ!G36</f>
        <v>3000</v>
      </c>
      <c r="K41" s="535"/>
    </row>
    <row r="42" spans="2:11" x14ac:dyDescent="0.25">
      <c r="B42" s="43"/>
      <c r="C42" s="486"/>
      <c r="D42" s="43"/>
      <c r="E42" s="43"/>
      <c r="G42" s="535"/>
      <c r="H42" s="535"/>
      <c r="I42" s="535"/>
      <c r="J42" s="535"/>
      <c r="K42" s="535"/>
    </row>
    <row r="43" spans="2:11" x14ac:dyDescent="0.25">
      <c r="B43" s="43"/>
      <c r="C43" s="486"/>
      <c r="D43" s="43"/>
      <c r="E43" s="43"/>
      <c r="G43" s="535"/>
      <c r="H43" s="535"/>
      <c r="I43" s="535"/>
      <c r="J43" s="535"/>
      <c r="K43" s="535"/>
    </row>
    <row r="44" spans="2:11" x14ac:dyDescent="0.25">
      <c r="B44" s="50" t="s">
        <v>224</v>
      </c>
      <c r="C44" s="48"/>
      <c r="D44" s="48"/>
      <c r="E44" s="48"/>
      <c r="G44" s="535"/>
      <c r="H44" s="535"/>
      <c r="I44" s="535"/>
      <c r="J44" s="535"/>
      <c r="K44" s="535"/>
    </row>
    <row r="45" spans="2:11" x14ac:dyDescent="0.25">
      <c r="B45" s="43"/>
      <c r="C45" s="322" t="s">
        <v>225</v>
      </c>
      <c r="D45" s="325" t="s">
        <v>226</v>
      </c>
      <c r="E45" s="52" t="s">
        <v>227</v>
      </c>
      <c r="G45" s="535"/>
      <c r="H45" s="535"/>
      <c r="I45" s="535"/>
      <c r="J45" s="535"/>
      <c r="K45" s="535"/>
    </row>
    <row r="46" spans="2:11" x14ac:dyDescent="0.25">
      <c r="B46" s="414" t="str">
        <f>inputPrYr!B28</f>
        <v>Noxious Weed</v>
      </c>
      <c r="C46" s="323" t="str">
        <f>C5</f>
        <v>Actual for 2018</v>
      </c>
      <c r="D46" s="323" t="str">
        <f>D5</f>
        <v>Estimate for 2019</v>
      </c>
      <c r="E46" s="57" t="str">
        <f>E5</f>
        <v>Year for 2020</v>
      </c>
      <c r="G46" s="535"/>
      <c r="H46" s="535"/>
      <c r="I46" s="535"/>
      <c r="J46" s="535"/>
      <c r="K46" s="535"/>
    </row>
    <row r="47" spans="2:11" x14ac:dyDescent="0.25">
      <c r="B47" s="58" t="s">
        <v>57</v>
      </c>
      <c r="C47" s="252"/>
      <c r="D47" s="324">
        <f>C76</f>
        <v>0</v>
      </c>
      <c r="E47" s="205">
        <f>D76</f>
        <v>0</v>
      </c>
      <c r="G47" s="535"/>
      <c r="H47" s="535"/>
      <c r="I47" s="535"/>
      <c r="J47" s="535"/>
      <c r="K47" s="535"/>
    </row>
    <row r="48" spans="2:11" x14ac:dyDescent="0.25">
      <c r="B48" s="58" t="s">
        <v>59</v>
      </c>
      <c r="C48" s="324"/>
      <c r="D48" s="324"/>
      <c r="E48" s="254"/>
      <c r="G48" s="535"/>
      <c r="H48" s="535"/>
      <c r="I48" s="535"/>
      <c r="J48" s="535"/>
      <c r="K48" s="535"/>
    </row>
    <row r="49" spans="2:11" x14ac:dyDescent="0.25">
      <c r="B49" s="58" t="s">
        <v>230</v>
      </c>
      <c r="C49" s="252"/>
      <c r="D49" s="324">
        <f>IF(inputPrYr!H22&gt;0,inputPrYr!G28,inputPrYr!E28)</f>
        <v>0</v>
      </c>
      <c r="E49" s="254" t="s">
        <v>213</v>
      </c>
      <c r="G49" s="535"/>
      <c r="H49" s="535"/>
      <c r="I49" s="535"/>
      <c r="J49" s="535"/>
      <c r="K49" s="535"/>
    </row>
    <row r="50" spans="2:11" x14ac:dyDescent="0.25">
      <c r="B50" s="58" t="s">
        <v>231</v>
      </c>
      <c r="C50" s="252"/>
      <c r="D50" s="252"/>
      <c r="E50" s="137"/>
      <c r="G50" s="535"/>
      <c r="H50" s="535"/>
      <c r="I50" s="535"/>
      <c r="J50" s="535"/>
      <c r="K50" s="535"/>
    </row>
    <row r="51" spans="2:11" x14ac:dyDescent="0.25">
      <c r="B51" s="58" t="s">
        <v>232</v>
      </c>
      <c r="C51" s="252"/>
      <c r="D51" s="252"/>
      <c r="E51" s="205">
        <f>mvalloc!D16</f>
        <v>0</v>
      </c>
      <c r="G51" s="535"/>
      <c r="H51" s="535"/>
      <c r="I51" s="535"/>
      <c r="J51" s="535"/>
      <c r="K51" s="535"/>
    </row>
    <row r="52" spans="2:11" x14ac:dyDescent="0.25">
      <c r="B52" s="58" t="s">
        <v>233</v>
      </c>
      <c r="C52" s="252"/>
      <c r="D52" s="252"/>
      <c r="E52" s="205">
        <f>mvalloc!F16</f>
        <v>0</v>
      </c>
      <c r="G52" s="535"/>
      <c r="H52" s="535"/>
      <c r="I52" s="535"/>
      <c r="J52" s="535"/>
      <c r="K52" s="535"/>
    </row>
    <row r="53" spans="2:11" x14ac:dyDescent="0.25">
      <c r="B53" s="58" t="s">
        <v>47</v>
      </c>
      <c r="C53" s="252"/>
      <c r="D53" s="252"/>
      <c r="E53" s="205">
        <f>mvalloc!H16</f>
        <v>0</v>
      </c>
      <c r="G53" s="535"/>
      <c r="H53" s="535"/>
      <c r="I53" s="535"/>
      <c r="J53" s="535"/>
      <c r="K53" s="535"/>
    </row>
    <row r="54" spans="2:11" x14ac:dyDescent="0.25">
      <c r="B54" s="742" t="s">
        <v>824</v>
      </c>
      <c r="C54" s="252"/>
      <c r="D54" s="252"/>
      <c r="E54" s="205">
        <f>mvalloc!J16</f>
        <v>0</v>
      </c>
      <c r="G54" s="535"/>
      <c r="H54" s="535"/>
      <c r="I54" s="535"/>
      <c r="J54" s="535"/>
      <c r="K54" s="535"/>
    </row>
    <row r="55" spans="2:11" x14ac:dyDescent="0.25">
      <c r="B55" s="742" t="s">
        <v>825</v>
      </c>
      <c r="C55" s="252"/>
      <c r="D55" s="252"/>
      <c r="E55" s="205">
        <f>mvalloc!L16</f>
        <v>0</v>
      </c>
      <c r="G55" s="535"/>
      <c r="H55" s="535"/>
      <c r="I55" s="535"/>
      <c r="J55" s="535"/>
      <c r="K55" s="535"/>
    </row>
    <row r="56" spans="2:11" x14ac:dyDescent="0.25">
      <c r="B56" s="256"/>
      <c r="C56" s="252"/>
      <c r="D56" s="252"/>
      <c r="E56" s="137"/>
      <c r="G56" s="928" t="str">
        <f>CONCATENATE("Desired Carryover Into ",E1+1,"")</f>
        <v>Desired Carryover Into 2021</v>
      </c>
      <c r="H56" s="929"/>
      <c r="I56" s="929"/>
      <c r="J56" s="930"/>
      <c r="K56" s="535"/>
    </row>
    <row r="57" spans="2:11" x14ac:dyDescent="0.25">
      <c r="B57" s="256"/>
      <c r="C57" s="252"/>
      <c r="D57" s="252"/>
      <c r="E57" s="137"/>
      <c r="G57" s="567"/>
      <c r="H57" s="568"/>
      <c r="I57" s="569"/>
      <c r="J57" s="570"/>
      <c r="K57" s="535"/>
    </row>
    <row r="58" spans="2:11" x14ac:dyDescent="0.25">
      <c r="B58" s="257"/>
      <c r="C58" s="252"/>
      <c r="D58" s="252"/>
      <c r="E58" s="137"/>
      <c r="G58" s="571" t="s">
        <v>640</v>
      </c>
      <c r="H58" s="569"/>
      <c r="I58" s="569"/>
      <c r="J58" s="572">
        <v>0</v>
      </c>
      <c r="K58" s="535"/>
    </row>
    <row r="59" spans="2:11" x14ac:dyDescent="0.25">
      <c r="B59" s="257" t="s">
        <v>236</v>
      </c>
      <c r="C59" s="252"/>
      <c r="D59" s="252"/>
      <c r="E59" s="137"/>
      <c r="G59" s="567" t="s">
        <v>641</v>
      </c>
      <c r="H59" s="568"/>
      <c r="I59" s="568"/>
      <c r="J59" s="573" t="str">
        <f>IF(J58=0,"",ROUND((J58+E82-G71)/inputOth!E11*1000,3)-G76)</f>
        <v/>
      </c>
      <c r="K59" s="535"/>
    </row>
    <row r="60" spans="2:11" x14ac:dyDescent="0.25">
      <c r="B60" s="255" t="s">
        <v>188</v>
      </c>
      <c r="C60" s="252"/>
      <c r="D60" s="252"/>
      <c r="E60" s="148">
        <f>nhood!E11*-1</f>
        <v>0</v>
      </c>
      <c r="G60" s="574" t="str">
        <f>CONCATENATE("",E1," Tot Exp/Non-Appr Must Be:")</f>
        <v>2020 Tot Exp/Non-Appr Must Be:</v>
      </c>
      <c r="H60" s="575"/>
      <c r="I60" s="576"/>
      <c r="J60" s="577">
        <f>IF(J58&gt;0,IF(E79&lt;E64,IF(J58=G71,E79,((J58-G71)*(1-D81))+E64),E79+(J58-G71)),0)</f>
        <v>0</v>
      </c>
      <c r="K60" s="535"/>
    </row>
    <row r="61" spans="2:11" x14ac:dyDescent="0.25">
      <c r="B61" s="258" t="s">
        <v>186</v>
      </c>
      <c r="C61" s="252"/>
      <c r="D61" s="252"/>
      <c r="E61" s="137"/>
      <c r="G61" s="578" t="s">
        <v>741</v>
      </c>
      <c r="H61" s="579"/>
      <c r="I61" s="579"/>
      <c r="J61" s="580">
        <f>IF(J58&gt;0,J60-E79,0)</f>
        <v>0</v>
      </c>
      <c r="K61" s="535"/>
    </row>
    <row r="62" spans="2:11" x14ac:dyDescent="0.25">
      <c r="B62" s="258" t="s">
        <v>187</v>
      </c>
      <c r="C62" s="326" t="str">
        <f>IF(C63*0.1&lt;C61,"Exceed 10% Rule","")</f>
        <v/>
      </c>
      <c r="D62" s="326" t="str">
        <f>IF(D63*0.1&lt;D61,"Exceed 10% Rule","")</f>
        <v/>
      </c>
      <c r="E62" s="262" t="str">
        <f>IF((E82+E63)*0.1&lt;E61,"Exceed 10% Rule","")</f>
        <v/>
      </c>
      <c r="G62" s="535"/>
      <c r="H62" s="535"/>
      <c r="I62" s="535"/>
      <c r="J62" s="535"/>
      <c r="K62" s="535"/>
    </row>
    <row r="63" spans="2:11" x14ac:dyDescent="0.25">
      <c r="B63" s="260" t="s">
        <v>237</v>
      </c>
      <c r="C63" s="327">
        <f>SUM(C49:C61)</f>
        <v>0</v>
      </c>
      <c r="D63" s="327">
        <f>SUM(D49:D61)</f>
        <v>0</v>
      </c>
      <c r="E63" s="261">
        <f>SUM(E49:E61)</f>
        <v>0</v>
      </c>
      <c r="G63" s="928" t="str">
        <f>CONCATENATE("Projected Carryover Into ",E1+1,"")</f>
        <v>Projected Carryover Into 2021</v>
      </c>
      <c r="H63" s="933"/>
      <c r="I63" s="933"/>
      <c r="J63" s="932"/>
      <c r="K63" s="535"/>
    </row>
    <row r="64" spans="2:11" x14ac:dyDescent="0.25">
      <c r="B64" s="76" t="s">
        <v>238</v>
      </c>
      <c r="C64" s="327">
        <f>C63+C47</f>
        <v>0</v>
      </c>
      <c r="D64" s="327">
        <f>D63+D47</f>
        <v>0</v>
      </c>
      <c r="E64" s="261">
        <f>E63+E47</f>
        <v>0</v>
      </c>
      <c r="G64" s="619"/>
      <c r="H64" s="568"/>
      <c r="I64" s="568"/>
      <c r="J64" s="620"/>
      <c r="K64" s="535"/>
    </row>
    <row r="65" spans="2:11" x14ac:dyDescent="0.25">
      <c r="B65" s="58" t="s">
        <v>239</v>
      </c>
      <c r="C65" s="324"/>
      <c r="D65" s="324"/>
      <c r="E65" s="205"/>
      <c r="G65" s="585">
        <f>D76</f>
        <v>0</v>
      </c>
      <c r="H65" s="586" t="str">
        <f>CONCATENATE("",E1-1," Ending Cash Balance (est.)")</f>
        <v>2019 Ending Cash Balance (est.)</v>
      </c>
      <c r="I65" s="587"/>
      <c r="J65" s="620"/>
      <c r="K65" s="535"/>
    </row>
    <row r="66" spans="2:11" x14ac:dyDescent="0.25">
      <c r="B66" s="257"/>
      <c r="C66" s="252"/>
      <c r="D66" s="252"/>
      <c r="E66" s="137"/>
      <c r="G66" s="585">
        <f>E63</f>
        <v>0</v>
      </c>
      <c r="H66" s="569" t="str">
        <f>CONCATENATE("",E1," Non-AV Receipts (est.)")</f>
        <v>2020 Non-AV Receipts (est.)</v>
      </c>
      <c r="I66" s="587"/>
      <c r="J66" s="620"/>
      <c r="K66" s="535"/>
    </row>
    <row r="67" spans="2:11" x14ac:dyDescent="0.25">
      <c r="B67" s="257"/>
      <c r="C67" s="252"/>
      <c r="D67" s="252"/>
      <c r="E67" s="137"/>
      <c r="G67" s="592">
        <f>IF(E81&gt;0,E80,E82)</f>
        <v>0</v>
      </c>
      <c r="H67" s="569" t="str">
        <f>CONCATENATE("",E1," Ad Valorem Tax (est.)")</f>
        <v>2020 Ad Valorem Tax (est.)</v>
      </c>
      <c r="I67" s="569"/>
      <c r="J67" s="620"/>
      <c r="K67" s="593" t="str">
        <f>IF(G67=E82,"","Note: Does not include Delinquent Taxes")</f>
        <v/>
      </c>
    </row>
    <row r="68" spans="2:11" x14ac:dyDescent="0.25">
      <c r="B68" s="257"/>
      <c r="C68" s="252"/>
      <c r="D68" s="252"/>
      <c r="E68" s="137"/>
      <c r="G68" s="622">
        <f>SUM(G65:G67)</f>
        <v>0</v>
      </c>
      <c r="H68" s="569" t="str">
        <f>CONCATENATE("Total ",E1," Resources Available")</f>
        <v>Total 2020 Resources Available</v>
      </c>
      <c r="I68" s="623"/>
      <c r="J68" s="620"/>
      <c r="K68" s="535"/>
    </row>
    <row r="69" spans="2:11" x14ac:dyDescent="0.25">
      <c r="B69" s="257"/>
      <c r="C69" s="252"/>
      <c r="D69" s="252"/>
      <c r="E69" s="137"/>
      <c r="G69" s="624"/>
      <c r="H69" s="625"/>
      <c r="I69" s="568"/>
      <c r="J69" s="620"/>
      <c r="K69" s="535"/>
    </row>
    <row r="70" spans="2:11" x14ac:dyDescent="0.25">
      <c r="B70" s="257"/>
      <c r="C70" s="252"/>
      <c r="D70" s="252"/>
      <c r="E70" s="137"/>
      <c r="G70" s="592">
        <f>ROUND(C75*0.05+C75,0)</f>
        <v>0</v>
      </c>
      <c r="H70" s="569" t="str">
        <f>CONCATENATE("Less ",E1-2," Expenditures + 5%")</f>
        <v>Less 2018 Expenditures + 5%</v>
      </c>
      <c r="I70" s="623"/>
      <c r="J70" s="620"/>
      <c r="K70" s="535"/>
    </row>
    <row r="71" spans="2:11" x14ac:dyDescent="0.25">
      <c r="B71" s="257"/>
      <c r="C71" s="252"/>
      <c r="D71" s="252"/>
      <c r="E71" s="137"/>
      <c r="G71" s="600">
        <f>G68-G70</f>
        <v>0</v>
      </c>
      <c r="H71" s="601" t="str">
        <f>CONCATENATE("Projected ",E1+1," carryover (est.)")</f>
        <v>Projected 2021 carryover (est.)</v>
      </c>
      <c r="I71" s="626"/>
      <c r="J71" s="627"/>
      <c r="K71" s="535"/>
    </row>
    <row r="72" spans="2:11" x14ac:dyDescent="0.25">
      <c r="B72" s="255" t="str">
        <f>CONCATENATE("Cash Forward (",E1," column)")</f>
        <v>Cash Forward (2020 column)</v>
      </c>
      <c r="C72" s="252"/>
      <c r="D72" s="252"/>
      <c r="E72" s="137"/>
      <c r="G72" s="535"/>
      <c r="H72" s="535"/>
      <c r="I72" s="535"/>
      <c r="J72" s="535"/>
      <c r="K72" s="535"/>
    </row>
    <row r="73" spans="2:11" x14ac:dyDescent="0.25">
      <c r="B73" s="255" t="s">
        <v>186</v>
      </c>
      <c r="C73" s="252"/>
      <c r="D73" s="252"/>
      <c r="E73" s="137"/>
      <c r="G73" s="925" t="s">
        <v>742</v>
      </c>
      <c r="H73" s="926"/>
      <c r="I73" s="926"/>
      <c r="J73" s="927"/>
      <c r="K73" s="535"/>
    </row>
    <row r="74" spans="2:11" x14ac:dyDescent="0.25">
      <c r="B74" s="255" t="s">
        <v>637</v>
      </c>
      <c r="C74" s="326" t="str">
        <f>IF(C75*0.1&lt;C73,"Exceed 10% Rule","")</f>
        <v/>
      </c>
      <c r="D74" s="326" t="str">
        <f>IF(D75*0.1&lt;D73,"Exceed 10% Rule","")</f>
        <v/>
      </c>
      <c r="E74" s="262" t="str">
        <f>IF(E75*0.1&lt;E73,"Exceed 10% Rule","")</f>
        <v/>
      </c>
      <c r="G74" s="607"/>
      <c r="H74" s="586"/>
      <c r="I74" s="608"/>
      <c r="J74" s="609"/>
      <c r="K74" s="535"/>
    </row>
    <row r="75" spans="2:11" x14ac:dyDescent="0.25">
      <c r="B75" s="76" t="s">
        <v>240</v>
      </c>
      <c r="C75" s="327">
        <f>SUM(C66:C73)</f>
        <v>0</v>
      </c>
      <c r="D75" s="327">
        <f>SUM(D66:D73)</f>
        <v>0</v>
      </c>
      <c r="E75" s="261">
        <f>SUM(E66:E73)</f>
        <v>0</v>
      </c>
      <c r="G75" s="610" t="str">
        <f>summ!H23</f>
        <v xml:space="preserve"> </v>
      </c>
      <c r="H75" s="586" t="str">
        <f>CONCATENATE("",E1," Fund Mill Rate")</f>
        <v>2020 Fund Mill Rate</v>
      </c>
      <c r="I75" s="608"/>
      <c r="J75" s="609"/>
      <c r="K75" s="535"/>
    </row>
    <row r="76" spans="2:11" x14ac:dyDescent="0.25">
      <c r="B76" s="58" t="s">
        <v>58</v>
      </c>
      <c r="C76" s="328">
        <f>C64-C75</f>
        <v>0</v>
      </c>
      <c r="D76" s="328">
        <f>D64-D75</f>
        <v>0</v>
      </c>
      <c r="E76" s="254" t="s">
        <v>213</v>
      </c>
      <c r="G76" s="611" t="str">
        <f>summ!E23</f>
        <v xml:space="preserve">  </v>
      </c>
      <c r="H76" s="586" t="str">
        <f>CONCATENATE("",E1-1," Fund Mill Rate")</f>
        <v>2019 Fund Mill Rate</v>
      </c>
      <c r="I76" s="608"/>
      <c r="J76" s="609"/>
      <c r="K76" s="535"/>
    </row>
    <row r="77" spans="2:11" x14ac:dyDescent="0.25">
      <c r="B77" s="92" t="str">
        <f>CONCATENATE("",E1-2,"/",E1-1,"/",E1," Budget Authority Amount:")</f>
        <v>2018/2019/2020 Budget Authority Amount:</v>
      </c>
      <c r="C77" s="673">
        <f>inputOth!$B94</f>
        <v>0</v>
      </c>
      <c r="D77" s="673">
        <f>inputPrYr!$D28</f>
        <v>0</v>
      </c>
      <c r="E77" s="205">
        <f>E75</f>
        <v>0</v>
      </c>
      <c r="F77" s="263"/>
      <c r="G77" s="613">
        <f>summ!H36</f>
        <v>1.8420000000000001</v>
      </c>
      <c r="H77" s="586" t="str">
        <f>CONCATENATE("Total ",E1," Mill Rate")</f>
        <v>Total 2020 Mill Rate</v>
      </c>
      <c r="I77" s="608"/>
      <c r="J77" s="609"/>
      <c r="K77" s="535"/>
    </row>
    <row r="78" spans="2:11" x14ac:dyDescent="0.25">
      <c r="B78" s="93"/>
      <c r="C78" s="911" t="s">
        <v>634</v>
      </c>
      <c r="D78" s="912"/>
      <c r="E78" s="137"/>
      <c r="F78" s="651" t="str">
        <f>IF(E75/0.95-E75&lt;E78,"Exceeds 5%","")</f>
        <v/>
      </c>
      <c r="G78" s="611">
        <f>summ!E36</f>
        <v>1.861</v>
      </c>
      <c r="H78" s="614" t="str">
        <f>CONCATENATE("Total ",E1-1," Mill Rate")</f>
        <v>Total 2019 Mill Rate</v>
      </c>
      <c r="I78" s="615"/>
      <c r="J78" s="616"/>
      <c r="K78" s="535"/>
    </row>
    <row r="79" spans="2:11" x14ac:dyDescent="0.25">
      <c r="B79" s="428" t="str">
        <f>CONCATENATE(C94,"     ",D94)</f>
        <v xml:space="preserve">     </v>
      </c>
      <c r="C79" s="913" t="s">
        <v>635</v>
      </c>
      <c r="D79" s="914"/>
      <c r="E79" s="205">
        <f>E75+E78</f>
        <v>0</v>
      </c>
    </row>
    <row r="80" spans="2:11" x14ac:dyDescent="0.25">
      <c r="B80" s="428" t="str">
        <f>CONCATENATE(C95,"     ",D95)</f>
        <v xml:space="preserve">     </v>
      </c>
      <c r="C80" s="431"/>
      <c r="D80" s="430" t="s">
        <v>242</v>
      </c>
      <c r="E80" s="148">
        <f>IF(E79-E64&gt;0,E79-E64,0)</f>
        <v>0</v>
      </c>
      <c r="G80" s="781" t="s">
        <v>846</v>
      </c>
      <c r="H80" s="777"/>
      <c r="I80" s="776"/>
      <c r="J80" s="775" t="str">
        <f>cert!F41</f>
        <v>No</v>
      </c>
    </row>
    <row r="81" spans="2:10" x14ac:dyDescent="0.25">
      <c r="B81" s="170"/>
      <c r="C81" s="429" t="s">
        <v>636</v>
      </c>
      <c r="D81" s="635">
        <f>inputOth!$E$83</f>
        <v>0</v>
      </c>
      <c r="E81" s="205">
        <f>ROUND(IF(D81&gt;0,(E80*D81),0),0)</f>
        <v>0</v>
      </c>
      <c r="G81" s="774" t="str">
        <f>CONCATENATE("Computed ",E1," tax levy limit amount")</f>
        <v>Computed 2020 tax levy limit amount</v>
      </c>
      <c r="H81" s="773"/>
      <c r="I81" s="773"/>
      <c r="J81" s="772">
        <f>computation!J41</f>
        <v>3075</v>
      </c>
    </row>
    <row r="82" spans="2:10" x14ac:dyDescent="0.25">
      <c r="B82" s="43"/>
      <c r="C82" s="915" t="str">
        <f>CONCATENATE("Amount of  ",$E$1-1," Ad Valorem Tax")</f>
        <v>Amount of  2019 Ad Valorem Tax</v>
      </c>
      <c r="D82" s="916"/>
      <c r="E82" s="148">
        <f>E80+E81</f>
        <v>0</v>
      </c>
      <c r="G82" s="771" t="str">
        <f>CONCATENATE("Total ",E1," tax levy amount")</f>
        <v>Total 2020 tax levy amount</v>
      </c>
      <c r="H82" s="770"/>
      <c r="I82" s="770"/>
      <c r="J82" s="769">
        <f>summ!G36</f>
        <v>3000</v>
      </c>
    </row>
    <row r="83" spans="2:10" x14ac:dyDescent="0.25">
      <c r="B83" s="43"/>
      <c r="C83" s="486"/>
      <c r="D83" s="486"/>
      <c r="E83" s="486"/>
      <c r="G83" s="802"/>
      <c r="H83" s="773"/>
      <c r="I83" s="773"/>
      <c r="J83" s="803"/>
    </row>
    <row r="84" spans="2:10" x14ac:dyDescent="0.25">
      <c r="B84" s="790" t="s">
        <v>987</v>
      </c>
      <c r="C84" s="804"/>
      <c r="D84" s="804"/>
      <c r="E84" s="805"/>
      <c r="G84" s="802"/>
      <c r="H84" s="773"/>
      <c r="I84" s="773"/>
      <c r="J84" s="803"/>
    </row>
    <row r="85" spans="2:10" x14ac:dyDescent="0.25">
      <c r="B85" s="432"/>
      <c r="C85" s="486"/>
      <c r="D85" s="486"/>
      <c r="E85" s="806"/>
      <c r="G85" s="802"/>
      <c r="H85" s="773"/>
      <c r="I85" s="773"/>
      <c r="J85" s="803"/>
    </row>
    <row r="86" spans="2:10" x14ac:dyDescent="0.25">
      <c r="B86" s="793"/>
      <c r="C86" s="807"/>
      <c r="D86" s="807"/>
      <c r="E86" s="808"/>
      <c r="G86" s="802"/>
      <c r="H86" s="773"/>
      <c r="I86" s="773"/>
      <c r="J86" s="803"/>
    </row>
    <row r="87" spans="2:10" x14ac:dyDescent="0.25">
      <c r="B87" s="43"/>
      <c r="C87" s="486"/>
      <c r="D87" s="486"/>
      <c r="E87" s="486"/>
      <c r="G87" s="802"/>
      <c r="H87" s="773"/>
      <c r="I87" s="773"/>
      <c r="J87" s="803"/>
    </row>
    <row r="88" spans="2:10" x14ac:dyDescent="0.25">
      <c r="B88" s="170" t="s">
        <v>223</v>
      </c>
      <c r="C88" s="729"/>
      <c r="D88" s="43"/>
      <c r="E88" s="43"/>
    </row>
    <row r="89" spans="2:10" x14ac:dyDescent="0.25">
      <c r="B89" s="89"/>
    </row>
    <row r="92" spans="2:10" hidden="1" x14ac:dyDescent="0.25">
      <c r="C92" s="129" t="str">
        <f>IF(C34&gt;C36,"See Tab A","")</f>
        <v/>
      </c>
      <c r="D92" s="129" t="str">
        <f>IF(D34&gt;D36,"See Tab C","")</f>
        <v/>
      </c>
    </row>
    <row r="93" spans="2:10" hidden="1" x14ac:dyDescent="0.25">
      <c r="C93" s="129" t="str">
        <f>IF(C35&lt;0,"See Tab B","")</f>
        <v/>
      </c>
      <c r="D93" s="129" t="str">
        <f>IF(D35&lt;0,"See Tab D","")</f>
        <v/>
      </c>
    </row>
    <row r="94" spans="2:10" hidden="1" x14ac:dyDescent="0.25">
      <c r="C94" s="129" t="str">
        <f>IF(C75&gt;C77,"See Tab A","")</f>
        <v/>
      </c>
      <c r="D94" s="129" t="str">
        <f>IF(D75&gt;D77,"See Tab C","")</f>
        <v/>
      </c>
    </row>
    <row r="95" spans="2:10" hidden="1" x14ac:dyDescent="0.25">
      <c r="C95" s="129" t="str">
        <f>IF(C76&lt;0,"See Tab B","")</f>
        <v/>
      </c>
      <c r="D95" s="129" t="str">
        <f>IF(D76&lt;0,"See Tab D","")</f>
        <v/>
      </c>
    </row>
  </sheetData>
  <mergeCells count="12">
    <mergeCell ref="C82:D82"/>
    <mergeCell ref="C41:D41"/>
    <mergeCell ref="G73:J73"/>
    <mergeCell ref="C37:D37"/>
    <mergeCell ref="C38:D38"/>
    <mergeCell ref="C78:D78"/>
    <mergeCell ref="C79:D79"/>
    <mergeCell ref="G15:J15"/>
    <mergeCell ref="G22:J22"/>
    <mergeCell ref="G32:J32"/>
    <mergeCell ref="G56:J56"/>
    <mergeCell ref="G63:J63"/>
  </mergeCells>
  <phoneticPr fontId="0" type="noConversion"/>
  <conditionalFormatting sqref="C73">
    <cfRule type="cellIs" dxfId="123" priority="3" stopIfTrue="1" operator="greaterThan">
      <formula>$C$75*0.1</formula>
    </cfRule>
  </conditionalFormatting>
  <conditionalFormatting sqref="D73">
    <cfRule type="cellIs" dxfId="122" priority="4" stopIfTrue="1" operator="greaterThan">
      <formula>$D$75*0.1</formula>
    </cfRule>
  </conditionalFormatting>
  <conditionalFormatting sqref="C61">
    <cfRule type="cellIs" dxfId="121" priority="5" stopIfTrue="1" operator="greaterThan">
      <formula>$C$63*0.1</formula>
    </cfRule>
  </conditionalFormatting>
  <conditionalFormatting sqref="D61">
    <cfRule type="cellIs" dxfId="120" priority="6" stopIfTrue="1" operator="greaterThan">
      <formula>$D$63*0.1</formula>
    </cfRule>
  </conditionalFormatting>
  <conditionalFormatting sqref="E61">
    <cfRule type="cellIs" dxfId="119" priority="7" stopIfTrue="1" operator="greaterThan">
      <formula>(E82+$E$63)*0.1</formula>
    </cfRule>
  </conditionalFormatting>
  <conditionalFormatting sqref="E78">
    <cfRule type="cellIs" dxfId="118" priority="8" stopIfTrue="1" operator="greaterThan">
      <formula>$E$75/0.95-$E$75</formula>
    </cfRule>
  </conditionalFormatting>
  <conditionalFormatting sqref="C32">
    <cfRule type="cellIs" dxfId="117" priority="9" stopIfTrue="1" operator="greaterThan">
      <formula>$C$34*0.1</formula>
    </cfRule>
  </conditionalFormatting>
  <conditionalFormatting sqref="D32">
    <cfRule type="cellIs" dxfId="116" priority="10" stopIfTrue="1" operator="greaterThan">
      <formula>$D$34*0.1</formula>
    </cfRule>
  </conditionalFormatting>
  <conditionalFormatting sqref="E32">
    <cfRule type="cellIs" dxfId="115" priority="11" stopIfTrue="1" operator="greaterThan">
      <formula>$E$34*0.1</formula>
    </cfRule>
  </conditionalFormatting>
  <conditionalFormatting sqref="C20">
    <cfRule type="cellIs" dxfId="114" priority="12" stopIfTrue="1" operator="greaterThan">
      <formula>$C$22*0.1</formula>
    </cfRule>
  </conditionalFormatting>
  <conditionalFormatting sqref="D20">
    <cfRule type="cellIs" dxfId="113" priority="13" stopIfTrue="1" operator="greaterThan">
      <formula>$D$22*0.1</formula>
    </cfRule>
  </conditionalFormatting>
  <conditionalFormatting sqref="E37">
    <cfRule type="cellIs" dxfId="112" priority="14" stopIfTrue="1" operator="greaterThan">
      <formula>$E$34/0.95-$E$34</formula>
    </cfRule>
  </conditionalFormatting>
  <conditionalFormatting sqref="C76 C35">
    <cfRule type="cellIs" dxfId="111" priority="15" stopIfTrue="1" operator="lessThan">
      <formula>0</formula>
    </cfRule>
  </conditionalFormatting>
  <conditionalFormatting sqref="C75">
    <cfRule type="cellIs" dxfId="110" priority="16" stopIfTrue="1" operator="greaterThan">
      <formula>$C$77</formula>
    </cfRule>
  </conditionalFormatting>
  <conditionalFormatting sqref="D75">
    <cfRule type="cellIs" dxfId="109" priority="17" stopIfTrue="1" operator="greaterThan">
      <formula>$D$77</formula>
    </cfRule>
  </conditionalFormatting>
  <conditionalFormatting sqref="C34">
    <cfRule type="cellIs" dxfId="108" priority="18" stopIfTrue="1" operator="greaterThan">
      <formula>$C$36</formula>
    </cfRule>
  </conditionalFormatting>
  <conditionalFormatting sqref="D34">
    <cfRule type="cellIs" dxfId="107" priority="19" stopIfTrue="1" operator="greaterThan">
      <formula>$D$36</formula>
    </cfRule>
  </conditionalFormatting>
  <conditionalFormatting sqref="E73">
    <cfRule type="cellIs" dxfId="106" priority="21" stopIfTrue="1" operator="greaterThan">
      <formula>$E$75*0.1</formula>
    </cfRule>
  </conditionalFormatting>
  <conditionalFormatting sqref="D35 D76">
    <cfRule type="cellIs" dxfId="105" priority="2" stopIfTrue="1" operator="lessThan">
      <formula>0</formula>
    </cfRule>
  </conditionalFormatting>
  <conditionalFormatting sqref="E20">
    <cfRule type="cellIs" dxfId="104" priority="28" stopIfTrue="1" operator="greaterThan">
      <formula>$E$22*0.1+$E$41</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00B0F0"/>
    <pageSetUpPr fitToPage="1"/>
  </sheetPr>
  <dimension ref="B1:K95"/>
  <sheetViews>
    <sheetView zoomScaleNormal="100" workbookViewId="0">
      <selection activeCell="E90" sqref="E90"/>
    </sheetView>
  </sheetViews>
  <sheetFormatPr defaultColWidth="8.796875" defaultRowHeight="15.75" x14ac:dyDescent="0.2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ol min="9" max="9" width="4.5" style="129" customWidth="1"/>
    <col min="10" max="10" width="9" style="129" customWidth="1"/>
    <col min="11" max="16384" width="8.796875" style="129"/>
  </cols>
  <sheetData>
    <row r="1" spans="2:11" x14ac:dyDescent="0.25">
      <c r="B1" s="182" t="str">
        <f>inputPrYr!D4</f>
        <v>Scott Township</v>
      </c>
      <c r="C1" s="43"/>
      <c r="D1" s="43"/>
      <c r="E1" s="183">
        <f>inputPrYr!D10</f>
        <v>2020</v>
      </c>
    </row>
    <row r="2" spans="2:11" x14ac:dyDescent="0.25">
      <c r="B2" s="470" t="s">
        <v>654</v>
      </c>
      <c r="C2" s="43"/>
      <c r="D2" s="167"/>
      <c r="E2" s="271"/>
    </row>
    <row r="3" spans="2:11" x14ac:dyDescent="0.25">
      <c r="B3" s="43"/>
      <c r="C3" s="48"/>
      <c r="D3" s="48"/>
      <c r="E3" s="48"/>
    </row>
    <row r="4" spans="2:11" x14ac:dyDescent="0.25">
      <c r="B4" s="50" t="s">
        <v>224</v>
      </c>
      <c r="C4" s="322" t="s">
        <v>225</v>
      </c>
      <c r="D4" s="325" t="s">
        <v>226</v>
      </c>
      <c r="E4" s="52" t="s">
        <v>227</v>
      </c>
    </row>
    <row r="5" spans="2:11" x14ac:dyDescent="0.25">
      <c r="B5" s="413" t="str">
        <f>inputPrYr!B29</f>
        <v>Fire Protection</v>
      </c>
      <c r="C5" s="323" t="str">
        <f>gen!C5</f>
        <v>Actual for 2018</v>
      </c>
      <c r="D5" s="323" t="str">
        <f>gen!D5</f>
        <v>Estimate for 2019</v>
      </c>
      <c r="E5" s="57" t="str">
        <f>gen!E5</f>
        <v>Year for 2020</v>
      </c>
    </row>
    <row r="6" spans="2:11" x14ac:dyDescent="0.25">
      <c r="B6" s="58" t="s">
        <v>57</v>
      </c>
      <c r="C6" s="252"/>
      <c r="D6" s="324">
        <f>C35</f>
        <v>0</v>
      </c>
      <c r="E6" s="205">
        <f>D35</f>
        <v>0</v>
      </c>
    </row>
    <row r="7" spans="2:11" x14ac:dyDescent="0.25">
      <c r="B7" s="58" t="s">
        <v>59</v>
      </c>
      <c r="C7" s="324"/>
      <c r="D7" s="324"/>
      <c r="E7" s="254"/>
    </row>
    <row r="8" spans="2:11" x14ac:dyDescent="0.25">
      <c r="B8" s="58" t="s">
        <v>230</v>
      </c>
      <c r="C8" s="252"/>
      <c r="D8" s="324">
        <f>IF(inputPrYr!H22&gt;0,inputPrYr!G29,inputPrYr!E29)</f>
        <v>0</v>
      </c>
      <c r="E8" s="254" t="s">
        <v>213</v>
      </c>
    </row>
    <row r="9" spans="2:11" x14ac:dyDescent="0.25">
      <c r="B9" s="58" t="s">
        <v>231</v>
      </c>
      <c r="C9" s="252"/>
      <c r="D9" s="252"/>
      <c r="E9" s="137"/>
    </row>
    <row r="10" spans="2:11" x14ac:dyDescent="0.25">
      <c r="B10" s="58" t="s">
        <v>232</v>
      </c>
      <c r="C10" s="252"/>
      <c r="D10" s="252"/>
      <c r="E10" s="205">
        <f>mvalloc!D17</f>
        <v>0</v>
      </c>
    </row>
    <row r="11" spans="2:11" x14ac:dyDescent="0.25">
      <c r="B11" s="58" t="s">
        <v>233</v>
      </c>
      <c r="C11" s="252"/>
      <c r="D11" s="252"/>
      <c r="E11" s="205">
        <f>mvalloc!F17</f>
        <v>0</v>
      </c>
    </row>
    <row r="12" spans="2:11" x14ac:dyDescent="0.25">
      <c r="B12" s="58" t="s">
        <v>47</v>
      </c>
      <c r="C12" s="252"/>
      <c r="D12" s="252"/>
      <c r="E12" s="205">
        <f>mvalloc!H17</f>
        <v>0</v>
      </c>
    </row>
    <row r="13" spans="2:11" x14ac:dyDescent="0.25">
      <c r="B13" s="742" t="s">
        <v>824</v>
      </c>
      <c r="C13" s="252"/>
      <c r="D13" s="252"/>
      <c r="E13" s="205">
        <f>mvalloc!J17</f>
        <v>0</v>
      </c>
    </row>
    <row r="14" spans="2:11" x14ac:dyDescent="0.25">
      <c r="B14" s="742" t="s">
        <v>825</v>
      </c>
      <c r="C14" s="252"/>
      <c r="D14" s="252"/>
      <c r="E14" s="205">
        <f>mvalloc!L17</f>
        <v>0</v>
      </c>
    </row>
    <row r="15" spans="2:11" x14ac:dyDescent="0.25">
      <c r="B15" s="256"/>
      <c r="C15" s="252"/>
      <c r="D15" s="252"/>
      <c r="E15" s="137"/>
      <c r="G15" s="928" t="str">
        <f>CONCATENATE("Desired Carryover Into ",E1+1,"")</f>
        <v>Desired Carryover Into 2021</v>
      </c>
      <c r="H15" s="929"/>
      <c r="I15" s="929"/>
      <c r="J15" s="930"/>
      <c r="K15" s="535"/>
    </row>
    <row r="16" spans="2:11" x14ac:dyDescent="0.25">
      <c r="B16" s="256"/>
      <c r="C16" s="252"/>
      <c r="D16" s="252"/>
      <c r="E16" s="137"/>
      <c r="G16" s="567"/>
      <c r="H16" s="568"/>
      <c r="I16" s="569"/>
      <c r="J16" s="570"/>
      <c r="K16" s="535"/>
    </row>
    <row r="17" spans="2:11" x14ac:dyDescent="0.25">
      <c r="B17" s="257"/>
      <c r="C17" s="252"/>
      <c r="D17" s="252"/>
      <c r="E17" s="137"/>
      <c r="G17" s="571" t="s">
        <v>640</v>
      </c>
      <c r="H17" s="569"/>
      <c r="I17" s="569"/>
      <c r="J17" s="572">
        <v>0</v>
      </c>
      <c r="K17" s="535"/>
    </row>
    <row r="18" spans="2:11" x14ac:dyDescent="0.25">
      <c r="B18" s="257" t="s">
        <v>236</v>
      </c>
      <c r="C18" s="252"/>
      <c r="D18" s="252"/>
      <c r="E18" s="137"/>
      <c r="G18" s="567" t="s">
        <v>641</v>
      </c>
      <c r="H18" s="568"/>
      <c r="I18" s="568"/>
      <c r="J18" s="573" t="str">
        <f>IF(J17=0,"",ROUND((J17+E41-G30)/inputOth!E11*1000,3)-G35)</f>
        <v/>
      </c>
      <c r="K18" s="535"/>
    </row>
    <row r="19" spans="2:11" x14ac:dyDescent="0.25">
      <c r="B19" s="255" t="s">
        <v>188</v>
      </c>
      <c r="C19" s="252"/>
      <c r="D19" s="252"/>
      <c r="E19" s="148">
        <f>nhood!E12*-1</f>
        <v>0</v>
      </c>
      <c r="G19" s="574" t="str">
        <f>CONCATENATE("",E1," Tot Exp/Non-Appr Must Be:")</f>
        <v>2020 Tot Exp/Non-Appr Must Be:</v>
      </c>
      <c r="H19" s="575"/>
      <c r="I19" s="576"/>
      <c r="J19" s="577">
        <f>IF(J17&gt;0,IF(E38&lt;E23,IF(J17=G30,E38,((J17-G30)*(1-D40))+E23),E38+(J17-G30)),0)</f>
        <v>0</v>
      </c>
      <c r="K19" s="535"/>
    </row>
    <row r="20" spans="2:11" x14ac:dyDescent="0.25">
      <c r="B20" s="258" t="s">
        <v>186</v>
      </c>
      <c r="C20" s="252"/>
      <c r="D20" s="252"/>
      <c r="E20" s="137"/>
      <c r="G20" s="578" t="s">
        <v>741</v>
      </c>
      <c r="H20" s="579"/>
      <c r="I20" s="579"/>
      <c r="J20" s="580">
        <f>IF(J17&gt;0,J19-E38,0)</f>
        <v>0</v>
      </c>
      <c r="K20" s="535"/>
    </row>
    <row r="21" spans="2:11" x14ac:dyDescent="0.25">
      <c r="B21" s="258" t="s">
        <v>187</v>
      </c>
      <c r="C21" s="326" t="str">
        <f>IF(C22*0.1&lt;C20,"Exceed 10% Rule","")</f>
        <v/>
      </c>
      <c r="D21" s="326" t="str">
        <f>IF(D22*0.1&lt;D20,"Exceed 10% Rule","")</f>
        <v/>
      </c>
      <c r="E21" s="262" t="str">
        <f>IF((E41+E22)*0.1&lt;E20,"Exceed 10% Rule","")</f>
        <v/>
      </c>
      <c r="G21" s="535"/>
      <c r="H21" s="535"/>
      <c r="I21" s="535"/>
      <c r="J21" s="535"/>
      <c r="K21" s="535"/>
    </row>
    <row r="22" spans="2:11" x14ac:dyDescent="0.25">
      <c r="B22" s="260" t="s">
        <v>237</v>
      </c>
      <c r="C22" s="327">
        <f>SUM(C8:C20)</f>
        <v>0</v>
      </c>
      <c r="D22" s="327">
        <f>SUM(D8:D20)</f>
        <v>0</v>
      </c>
      <c r="E22" s="261">
        <f>SUM(E8:E20)</f>
        <v>0</v>
      </c>
      <c r="G22" s="928" t="str">
        <f>CONCATENATE("Projected Carryover Into ",E1+1,"")</f>
        <v>Projected Carryover Into 2021</v>
      </c>
      <c r="H22" s="931"/>
      <c r="I22" s="931"/>
      <c r="J22" s="932"/>
      <c r="K22" s="535"/>
    </row>
    <row r="23" spans="2:11" x14ac:dyDescent="0.25">
      <c r="B23" s="76" t="s">
        <v>238</v>
      </c>
      <c r="C23" s="327">
        <f>C22+C6</f>
        <v>0</v>
      </c>
      <c r="D23" s="327">
        <f>D22+D6</f>
        <v>0</v>
      </c>
      <c r="E23" s="261">
        <f>E22+E6</f>
        <v>0</v>
      </c>
      <c r="G23" s="567"/>
      <c r="H23" s="569"/>
      <c r="I23" s="569"/>
      <c r="J23" s="582"/>
      <c r="K23" s="535"/>
    </row>
    <row r="24" spans="2:11" x14ac:dyDescent="0.25">
      <c r="B24" s="58" t="s">
        <v>239</v>
      </c>
      <c r="C24" s="324"/>
      <c r="D24" s="324"/>
      <c r="E24" s="205"/>
      <c r="G24" s="585">
        <f>D35</f>
        <v>0</v>
      </c>
      <c r="H24" s="586" t="str">
        <f>CONCATENATE("",E1-1," Ending Cash Balance (est.)")</f>
        <v>2019 Ending Cash Balance (est.)</v>
      </c>
      <c r="I24" s="587"/>
      <c r="J24" s="582"/>
      <c r="K24" s="535"/>
    </row>
    <row r="25" spans="2:11" x14ac:dyDescent="0.25">
      <c r="B25" s="257"/>
      <c r="C25" s="252"/>
      <c r="D25" s="252"/>
      <c r="E25" s="137"/>
      <c r="G25" s="585">
        <f>E22</f>
        <v>0</v>
      </c>
      <c r="H25" s="569" t="str">
        <f>CONCATENATE("",E1," Non-AV Receipts (est.)")</f>
        <v>2020 Non-AV Receipts (est.)</v>
      </c>
      <c r="I25" s="587"/>
      <c r="J25" s="582"/>
      <c r="K25" s="535"/>
    </row>
    <row r="26" spans="2:11" x14ac:dyDescent="0.2">
      <c r="B26" s="257"/>
      <c r="C26" s="252"/>
      <c r="D26" s="252"/>
      <c r="E26" s="137"/>
      <c r="G26" s="592">
        <f>IF(E40&gt;0,E39,E41)</f>
        <v>0</v>
      </c>
      <c r="H26" s="569" t="str">
        <f>CONCATENATE("",E1," Ad Valorem Tax (est.)")</f>
        <v>2020 Ad Valorem Tax (est.)</v>
      </c>
      <c r="I26" s="569"/>
      <c r="J26" s="582"/>
      <c r="K26" s="593" t="str">
        <f>IF(G26=E41,"","Note: Does not include Delinquent Taxes")</f>
        <v/>
      </c>
    </row>
    <row r="27" spans="2:11" x14ac:dyDescent="0.25">
      <c r="B27" s="257"/>
      <c r="C27" s="252"/>
      <c r="D27" s="252"/>
      <c r="E27" s="137"/>
      <c r="G27" s="585">
        <f>SUM(G24:G26)</f>
        <v>0</v>
      </c>
      <c r="H27" s="569" t="str">
        <f>CONCATENATE("Total ",E1," Resources Available")</f>
        <v>Total 2020 Resources Available</v>
      </c>
      <c r="I27" s="587"/>
      <c r="J27" s="582"/>
      <c r="K27" s="535"/>
    </row>
    <row r="28" spans="2:11" x14ac:dyDescent="0.25">
      <c r="B28" s="257"/>
      <c r="C28" s="252"/>
      <c r="D28" s="252"/>
      <c r="E28" s="137"/>
      <c r="G28" s="596"/>
      <c r="H28" s="569"/>
      <c r="I28" s="569"/>
      <c r="J28" s="582"/>
      <c r="K28" s="535"/>
    </row>
    <row r="29" spans="2:11" x14ac:dyDescent="0.25">
      <c r="B29" s="257"/>
      <c r="C29" s="252"/>
      <c r="D29" s="252"/>
      <c r="E29" s="137"/>
      <c r="G29" s="592">
        <f>C34*0.05+C34</f>
        <v>0</v>
      </c>
      <c r="H29" s="569" t="str">
        <f>CONCATENATE("Less ",E1-2," Expenditures + 5%")</f>
        <v>Less 2018 Expenditures + 5%</v>
      </c>
      <c r="I29" s="569"/>
      <c r="J29" s="582"/>
      <c r="K29" s="535"/>
    </row>
    <row r="30" spans="2:11" x14ac:dyDescent="0.25">
      <c r="B30" s="257"/>
      <c r="C30" s="252"/>
      <c r="D30" s="252"/>
      <c r="E30" s="137"/>
      <c r="G30" s="600">
        <f>G27-G29</f>
        <v>0</v>
      </c>
      <c r="H30" s="601" t="str">
        <f>CONCATENATE("Projected ",E1+1," carryover (est.)")</f>
        <v>Projected 2021 carryover (est.)</v>
      </c>
      <c r="I30" s="602"/>
      <c r="J30" s="603"/>
      <c r="K30" s="535"/>
    </row>
    <row r="31" spans="2:11" x14ac:dyDescent="0.25">
      <c r="B31" s="255" t="str">
        <f>CONCATENATE("Cash Forward (",E1," column)")</f>
        <v>Cash Forward (2020 column)</v>
      </c>
      <c r="C31" s="252"/>
      <c r="D31" s="252"/>
      <c r="E31" s="137"/>
      <c r="G31" s="535"/>
      <c r="H31" s="535"/>
      <c r="I31" s="535"/>
      <c r="J31" s="535"/>
      <c r="K31" s="535"/>
    </row>
    <row r="32" spans="2:11" x14ac:dyDescent="0.25">
      <c r="B32" s="255" t="s">
        <v>186</v>
      </c>
      <c r="C32" s="252"/>
      <c r="D32" s="252"/>
      <c r="E32" s="137"/>
      <c r="G32" s="925" t="s">
        <v>742</v>
      </c>
      <c r="H32" s="926"/>
      <c r="I32" s="926"/>
      <c r="J32" s="927"/>
      <c r="K32" s="535"/>
    </row>
    <row r="33" spans="2:11" x14ac:dyDescent="0.25">
      <c r="B33" s="255" t="s">
        <v>637</v>
      </c>
      <c r="C33" s="326" t="str">
        <f>IF(C34*0.1&lt;C32,"Exceed 10% Rule","")</f>
        <v/>
      </c>
      <c r="D33" s="326" t="str">
        <f>IF(D34*0.1&lt;D32,"Exceed 10% Rule","")</f>
        <v/>
      </c>
      <c r="E33" s="262" t="str">
        <f>IF(E34*0.1&lt;E32,"Exceed 10% Rule","")</f>
        <v/>
      </c>
      <c r="G33" s="607"/>
      <c r="H33" s="586"/>
      <c r="I33" s="608"/>
      <c r="J33" s="609"/>
      <c r="K33" s="535"/>
    </row>
    <row r="34" spans="2:11" x14ac:dyDescent="0.25">
      <c r="B34" s="76" t="s">
        <v>240</v>
      </c>
      <c r="C34" s="327">
        <f>SUM(C25:C32)</f>
        <v>0</v>
      </c>
      <c r="D34" s="327">
        <f>SUM(D25:D32)</f>
        <v>0</v>
      </c>
      <c r="E34" s="261">
        <f>SUM(E25:E32)</f>
        <v>0</v>
      </c>
      <c r="G34" s="610" t="str">
        <f>summ!H24</f>
        <v xml:space="preserve"> </v>
      </c>
      <c r="H34" s="586" t="str">
        <f>CONCATENATE("",E1," Fund Mill Rate")</f>
        <v>2020 Fund Mill Rate</v>
      </c>
      <c r="I34" s="608"/>
      <c r="J34" s="609"/>
      <c r="K34" s="535"/>
    </row>
    <row r="35" spans="2:11" x14ac:dyDescent="0.25">
      <c r="B35" s="58" t="s">
        <v>58</v>
      </c>
      <c r="C35" s="328">
        <f>C23-C34</f>
        <v>0</v>
      </c>
      <c r="D35" s="328">
        <f>D23-D34</f>
        <v>0</v>
      </c>
      <c r="E35" s="254" t="s">
        <v>213</v>
      </c>
      <c r="G35" s="611" t="str">
        <f>summ!E24</f>
        <v xml:space="preserve">  </v>
      </c>
      <c r="H35" s="586" t="str">
        <f>CONCATENATE("",E1-1," Fund Mill Rate")</f>
        <v>2019 Fund Mill Rate</v>
      </c>
      <c r="I35" s="608"/>
      <c r="J35" s="609"/>
      <c r="K35" s="535"/>
    </row>
    <row r="36" spans="2:11" x14ac:dyDescent="0.25">
      <c r="B36" s="92" t="str">
        <f>CONCATENATE("",E1-2,"/",E1-1,"/",E1," Budget Authority Amount:")</f>
        <v>2018/2019/2020 Budget Authority Amount:</v>
      </c>
      <c r="C36" s="673">
        <f>inputOth!$B95</f>
        <v>0</v>
      </c>
      <c r="D36" s="673">
        <f>inputPrYr!$D29</f>
        <v>0</v>
      </c>
      <c r="E36" s="205">
        <f>E34</f>
        <v>0</v>
      </c>
      <c r="F36" s="263"/>
      <c r="G36" s="613">
        <f>summ!H36</f>
        <v>1.8420000000000001</v>
      </c>
      <c r="H36" s="586" t="str">
        <f>CONCATENATE("Total ",E1," Mill Rate")</f>
        <v>Total 2020 Mill Rate</v>
      </c>
      <c r="I36" s="608"/>
      <c r="J36" s="609"/>
      <c r="K36" s="535"/>
    </row>
    <row r="37" spans="2:11" x14ac:dyDescent="0.25">
      <c r="B37" s="93"/>
      <c r="C37" s="911" t="s">
        <v>634</v>
      </c>
      <c r="D37" s="912"/>
      <c r="E37" s="137"/>
      <c r="F37" s="651" t="str">
        <f>IF(E34/0.95-E34&lt;E37,"Exceeds 5%","")</f>
        <v/>
      </c>
      <c r="G37" s="611">
        <f>summ!E36</f>
        <v>1.861</v>
      </c>
      <c r="H37" s="614" t="str">
        <f>CONCATENATE("Total ",E1-1," Mill Rate")</f>
        <v>Total 2019 Mill Rate</v>
      </c>
      <c r="I37" s="615"/>
      <c r="J37" s="616"/>
      <c r="K37" s="535"/>
    </row>
    <row r="38" spans="2:11" x14ac:dyDescent="0.25">
      <c r="B38" s="428" t="str">
        <f>CONCATENATE(C92,"     ",D92)</f>
        <v xml:space="preserve">     </v>
      </c>
      <c r="C38" s="913" t="s">
        <v>635</v>
      </c>
      <c r="D38" s="914"/>
      <c r="E38" s="205">
        <f>E34+E37</f>
        <v>0</v>
      </c>
      <c r="G38" s="535"/>
      <c r="H38" s="535"/>
      <c r="I38" s="535"/>
      <c r="J38" s="535"/>
      <c r="K38" s="535"/>
    </row>
    <row r="39" spans="2:11" x14ac:dyDescent="0.25">
      <c r="B39" s="428" t="str">
        <f>CONCATENATE(C93,"     ",D93)</f>
        <v xml:space="preserve">     </v>
      </c>
      <c r="C39" s="431"/>
      <c r="D39" s="430" t="s">
        <v>242</v>
      </c>
      <c r="E39" s="148">
        <f>IF(E38-E23&gt;0,E38-E23,0)</f>
        <v>0</v>
      </c>
      <c r="G39" s="781" t="s">
        <v>846</v>
      </c>
      <c r="H39" s="777"/>
      <c r="I39" s="776"/>
      <c r="J39" s="775" t="str">
        <f>cert!F41</f>
        <v>No</v>
      </c>
      <c r="K39" s="535"/>
    </row>
    <row r="40" spans="2:11" x14ac:dyDescent="0.25">
      <c r="B40" s="170"/>
      <c r="C40" s="429" t="s">
        <v>636</v>
      </c>
      <c r="D40" s="635">
        <f>inputOth!$E$83</f>
        <v>0</v>
      </c>
      <c r="E40" s="205">
        <f>ROUND(IF(D40&gt;0,(E39*D40),0),0)</f>
        <v>0</v>
      </c>
      <c r="G40" s="767" t="str">
        <f>CONCATENATE("Computed ",E1," tax levy limit amount")</f>
        <v>Computed 2020 tax levy limit amount</v>
      </c>
      <c r="H40" s="766"/>
      <c r="I40" s="766"/>
      <c r="J40" s="765">
        <f>computation!J41</f>
        <v>3075</v>
      </c>
      <c r="K40" s="535"/>
    </row>
    <row r="41" spans="2:11" x14ac:dyDescent="0.25">
      <c r="B41" s="43"/>
      <c r="C41" s="915" t="str">
        <f>CONCATENATE("Amount of  ",$E$1-1," Ad Valorem Tax")</f>
        <v>Amount of  2019 Ad Valorem Tax</v>
      </c>
      <c r="D41" s="916"/>
      <c r="E41" s="148">
        <f>E39+E40</f>
        <v>0</v>
      </c>
      <c r="G41" s="764" t="str">
        <f>CONCATENATE("Total ",E1," tax levy amount")</f>
        <v>Total 2020 tax levy amount</v>
      </c>
      <c r="H41" s="763"/>
      <c r="I41" s="763"/>
      <c r="J41" s="762">
        <f>summ!G36</f>
        <v>3000</v>
      </c>
      <c r="K41" s="535"/>
    </row>
    <row r="42" spans="2:11" x14ac:dyDescent="0.25">
      <c r="B42" s="43"/>
      <c r="C42" s="486"/>
      <c r="D42" s="43"/>
      <c r="E42" s="43"/>
      <c r="G42" s="535"/>
      <c r="H42" s="535"/>
      <c r="I42" s="535"/>
      <c r="J42" s="535"/>
      <c r="K42" s="535"/>
    </row>
    <row r="43" spans="2:11" x14ac:dyDescent="0.25">
      <c r="B43" s="43"/>
      <c r="C43" s="486"/>
      <c r="D43" s="43"/>
      <c r="E43" s="43"/>
      <c r="G43" s="535"/>
      <c r="H43" s="535"/>
      <c r="I43" s="535"/>
      <c r="J43" s="535"/>
      <c r="K43" s="535"/>
    </row>
    <row r="44" spans="2:11" x14ac:dyDescent="0.25">
      <c r="B44" s="50" t="s">
        <v>224</v>
      </c>
      <c r="C44" s="48"/>
      <c r="D44" s="48"/>
      <c r="E44" s="48"/>
      <c r="G44" s="535"/>
      <c r="H44" s="535"/>
      <c r="I44" s="535"/>
      <c r="J44" s="535"/>
      <c r="K44" s="535"/>
    </row>
    <row r="45" spans="2:11" x14ac:dyDescent="0.25">
      <c r="B45" s="43"/>
      <c r="C45" s="322" t="s">
        <v>225</v>
      </c>
      <c r="D45" s="325" t="s">
        <v>226</v>
      </c>
      <c r="E45" s="52" t="s">
        <v>227</v>
      </c>
      <c r="G45" s="535"/>
      <c r="H45" s="535"/>
      <c r="I45" s="535"/>
      <c r="J45" s="535"/>
      <c r="K45" s="535"/>
    </row>
    <row r="46" spans="2:11" x14ac:dyDescent="0.25">
      <c r="B46" s="414">
        <f>inputPrYr!B30</f>
        <v>0</v>
      </c>
      <c r="C46" s="323" t="str">
        <f>C5</f>
        <v>Actual for 2018</v>
      </c>
      <c r="D46" s="323" t="str">
        <f>D5</f>
        <v>Estimate for 2019</v>
      </c>
      <c r="E46" s="57" t="str">
        <f>E5</f>
        <v>Year for 2020</v>
      </c>
      <c r="G46" s="535"/>
      <c r="H46" s="535"/>
      <c r="I46" s="535"/>
      <c r="J46" s="535"/>
      <c r="K46" s="535"/>
    </row>
    <row r="47" spans="2:11" x14ac:dyDescent="0.25">
      <c r="B47" s="58" t="s">
        <v>57</v>
      </c>
      <c r="C47" s="252"/>
      <c r="D47" s="324">
        <f>C76</f>
        <v>0</v>
      </c>
      <c r="E47" s="205">
        <f>D76</f>
        <v>0</v>
      </c>
      <c r="G47" s="535"/>
      <c r="H47" s="535"/>
      <c r="I47" s="535"/>
      <c r="J47" s="535"/>
      <c r="K47" s="535"/>
    </row>
    <row r="48" spans="2:11" x14ac:dyDescent="0.25">
      <c r="B48" s="58" t="s">
        <v>59</v>
      </c>
      <c r="C48" s="324"/>
      <c r="D48" s="324"/>
      <c r="E48" s="254"/>
      <c r="G48" s="535"/>
      <c r="H48" s="535"/>
      <c r="I48" s="535"/>
      <c r="J48" s="535"/>
      <c r="K48" s="535"/>
    </row>
    <row r="49" spans="2:11" x14ac:dyDescent="0.25">
      <c r="B49" s="58" t="s">
        <v>230</v>
      </c>
      <c r="C49" s="252"/>
      <c r="D49" s="324">
        <f>IF(inputPrYr!H22&gt;0,inputPrYr!G30,inputPrYr!E30)</f>
        <v>0</v>
      </c>
      <c r="E49" s="254" t="s">
        <v>213</v>
      </c>
      <c r="G49" s="535"/>
      <c r="H49" s="535"/>
      <c r="I49" s="535"/>
      <c r="J49" s="535"/>
      <c r="K49" s="535"/>
    </row>
    <row r="50" spans="2:11" x14ac:dyDescent="0.25">
      <c r="B50" s="58" t="s">
        <v>231</v>
      </c>
      <c r="C50" s="252"/>
      <c r="D50" s="252"/>
      <c r="E50" s="137"/>
      <c r="G50" s="535"/>
      <c r="H50" s="535"/>
      <c r="I50" s="535"/>
      <c r="J50" s="535"/>
      <c r="K50" s="535"/>
    </row>
    <row r="51" spans="2:11" x14ac:dyDescent="0.25">
      <c r="B51" s="58" t="s">
        <v>232</v>
      </c>
      <c r="C51" s="252"/>
      <c r="D51" s="252"/>
      <c r="E51" s="205">
        <f>mvalloc!D18+mvalloc!E18</f>
        <v>0</v>
      </c>
      <c r="G51" s="535"/>
      <c r="H51" s="535"/>
      <c r="I51" s="535"/>
      <c r="J51" s="535"/>
      <c r="K51" s="535"/>
    </row>
    <row r="52" spans="2:11" x14ac:dyDescent="0.25">
      <c r="B52" s="58" t="s">
        <v>233</v>
      </c>
      <c r="C52" s="252"/>
      <c r="D52" s="252"/>
      <c r="E52" s="205">
        <f>mvalloc!F18+mvalloc!G18</f>
        <v>0</v>
      </c>
      <c r="G52" s="535"/>
      <c r="H52" s="535"/>
      <c r="I52" s="535"/>
      <c r="J52" s="535"/>
      <c r="K52" s="535"/>
    </row>
    <row r="53" spans="2:11" x14ac:dyDescent="0.25">
      <c r="B53" s="58" t="s">
        <v>47</v>
      </c>
      <c r="C53" s="252"/>
      <c r="D53" s="252"/>
      <c r="E53" s="205">
        <f>mvalloc!H18+mvalloc!I18</f>
        <v>0</v>
      </c>
      <c r="G53" s="535"/>
      <c r="H53" s="535"/>
      <c r="I53" s="535"/>
      <c r="J53" s="535"/>
      <c r="K53" s="535"/>
    </row>
    <row r="54" spans="2:11" x14ac:dyDescent="0.25">
      <c r="B54" s="742" t="s">
        <v>824</v>
      </c>
      <c r="C54" s="252"/>
      <c r="D54" s="252"/>
      <c r="E54" s="205">
        <f>mvalloc!J18+mvalloc!K18</f>
        <v>0</v>
      </c>
      <c r="G54" s="535"/>
      <c r="H54" s="535"/>
      <c r="I54" s="535"/>
      <c r="J54" s="535"/>
      <c r="K54" s="535"/>
    </row>
    <row r="55" spans="2:11" x14ac:dyDescent="0.25">
      <c r="B55" s="742" t="s">
        <v>825</v>
      </c>
      <c r="C55" s="252"/>
      <c r="D55" s="252"/>
      <c r="E55" s="205">
        <f>mvalloc!L18+mvalloc!M18</f>
        <v>0</v>
      </c>
      <c r="G55" s="535"/>
      <c r="H55" s="535"/>
      <c r="I55" s="535"/>
      <c r="J55" s="535"/>
      <c r="K55" s="535"/>
    </row>
    <row r="56" spans="2:11" x14ac:dyDescent="0.25">
      <c r="B56" s="257"/>
      <c r="C56" s="252"/>
      <c r="D56" s="252"/>
      <c r="E56" s="137"/>
      <c r="G56" s="928" t="str">
        <f>CONCATENATE("Desired Carryover Into ",E1+1,"")</f>
        <v>Desired Carryover Into 2021</v>
      </c>
      <c r="H56" s="929"/>
      <c r="I56" s="929"/>
      <c r="J56" s="930"/>
      <c r="K56" s="535"/>
    </row>
    <row r="57" spans="2:11" x14ac:dyDescent="0.25">
      <c r="B57" s="257"/>
      <c r="C57" s="252"/>
      <c r="D57" s="252"/>
      <c r="E57" s="137"/>
      <c r="G57" s="567"/>
      <c r="H57" s="568"/>
      <c r="I57" s="569"/>
      <c r="J57" s="570"/>
      <c r="K57" s="535"/>
    </row>
    <row r="58" spans="2:11" x14ac:dyDescent="0.25">
      <c r="B58" s="257"/>
      <c r="C58" s="252"/>
      <c r="D58" s="252"/>
      <c r="E58" s="137"/>
      <c r="G58" s="571" t="s">
        <v>640</v>
      </c>
      <c r="H58" s="569"/>
      <c r="I58" s="569"/>
      <c r="J58" s="572">
        <v>0</v>
      </c>
      <c r="K58" s="535"/>
    </row>
    <row r="59" spans="2:11" x14ac:dyDescent="0.25">
      <c r="B59" s="257" t="s">
        <v>236</v>
      </c>
      <c r="C59" s="252"/>
      <c r="D59" s="252"/>
      <c r="E59" s="137"/>
      <c r="G59" s="567" t="s">
        <v>641</v>
      </c>
      <c r="H59" s="568"/>
      <c r="I59" s="568"/>
      <c r="J59" s="573" t="str">
        <f>IF(J58=0,"",ROUND((J58+E82-G71)/inputOth!E11*1000,3)-G76)</f>
        <v/>
      </c>
      <c r="K59" s="535"/>
    </row>
    <row r="60" spans="2:11" x14ac:dyDescent="0.25">
      <c r="B60" s="255" t="s">
        <v>188</v>
      </c>
      <c r="C60" s="252"/>
      <c r="D60" s="252"/>
      <c r="E60" s="148">
        <f>nhood!E13*-1</f>
        <v>0</v>
      </c>
      <c r="G60" s="574" t="str">
        <f>CONCATENATE("",E1," Tot Exp/Non-Appr Must Be:")</f>
        <v>2020 Tot Exp/Non-Appr Must Be:</v>
      </c>
      <c r="H60" s="575"/>
      <c r="I60" s="576"/>
      <c r="J60" s="577">
        <f>IF(J58&gt;0,IF(E79&lt;E64,IF(J58=G71,E79,((J58-G71)*(1-D81))+E64),E79+(J58-G71)),0)</f>
        <v>0</v>
      </c>
      <c r="K60" s="535"/>
    </row>
    <row r="61" spans="2:11" x14ac:dyDescent="0.25">
      <c r="B61" s="258" t="s">
        <v>186</v>
      </c>
      <c r="C61" s="252"/>
      <c r="D61" s="252"/>
      <c r="E61" s="137"/>
      <c r="G61" s="578" t="s">
        <v>741</v>
      </c>
      <c r="H61" s="579"/>
      <c r="I61" s="579"/>
      <c r="J61" s="580">
        <f>IF(J58&gt;0,J60-E79,0)</f>
        <v>0</v>
      </c>
      <c r="K61" s="535"/>
    </row>
    <row r="62" spans="2:11" x14ac:dyDescent="0.25">
      <c r="B62" s="258" t="s">
        <v>187</v>
      </c>
      <c r="C62" s="326" t="str">
        <f>IF(C63*0.1&lt;C61,"Exceed 10% Rule","")</f>
        <v/>
      </c>
      <c r="D62" s="326" t="str">
        <f>IF(D63*0.1&lt;D61,"Exceed 10% Rule","")</f>
        <v/>
      </c>
      <c r="E62" s="262" t="str">
        <f>IF((E82+E63)*0.1&lt;E61,"Exceed 10% Rule","")</f>
        <v/>
      </c>
      <c r="G62" s="535"/>
      <c r="H62" s="535"/>
      <c r="I62" s="535"/>
      <c r="J62" s="535"/>
      <c r="K62" s="535"/>
    </row>
    <row r="63" spans="2:11" x14ac:dyDescent="0.25">
      <c r="B63" s="260" t="s">
        <v>237</v>
      </c>
      <c r="C63" s="327">
        <f>SUM(C49:C61)</f>
        <v>0</v>
      </c>
      <c r="D63" s="327">
        <f>SUM(D49:D61)</f>
        <v>0</v>
      </c>
      <c r="E63" s="261">
        <f>SUM(E49:E61)</f>
        <v>0</v>
      </c>
      <c r="G63" s="928" t="str">
        <f>CONCATENATE("Projected Carryover Into ",E1+1,"")</f>
        <v>Projected Carryover Into 2021</v>
      </c>
      <c r="H63" s="933"/>
      <c r="I63" s="933"/>
      <c r="J63" s="932"/>
      <c r="K63" s="535"/>
    </row>
    <row r="64" spans="2:11" x14ac:dyDescent="0.25">
      <c r="B64" s="76" t="s">
        <v>238</v>
      </c>
      <c r="C64" s="327">
        <f>C63+C47</f>
        <v>0</v>
      </c>
      <c r="D64" s="327">
        <f>D63+D47</f>
        <v>0</v>
      </c>
      <c r="E64" s="261">
        <f>E63+E47</f>
        <v>0</v>
      </c>
      <c r="G64" s="619"/>
      <c r="H64" s="568"/>
      <c r="I64" s="568"/>
      <c r="J64" s="620"/>
      <c r="K64" s="535"/>
    </row>
    <row r="65" spans="2:11" x14ac:dyDescent="0.25">
      <c r="B65" s="58" t="s">
        <v>239</v>
      </c>
      <c r="C65" s="324"/>
      <c r="D65" s="324"/>
      <c r="E65" s="205"/>
      <c r="G65" s="585">
        <f>D76</f>
        <v>0</v>
      </c>
      <c r="H65" s="586" t="str">
        <f>CONCATENATE("",E1-1," Ending Cash Balance (est.)")</f>
        <v>2019 Ending Cash Balance (est.)</v>
      </c>
      <c r="I65" s="587"/>
      <c r="J65" s="620"/>
      <c r="K65" s="535"/>
    </row>
    <row r="66" spans="2:11" x14ac:dyDescent="0.25">
      <c r="B66" s="257"/>
      <c r="C66" s="252"/>
      <c r="D66" s="252"/>
      <c r="E66" s="137"/>
      <c r="G66" s="585">
        <f>E63</f>
        <v>0</v>
      </c>
      <c r="H66" s="569" t="str">
        <f>CONCATENATE("",E1," Non-AV Receipts (est.)")</f>
        <v>2020 Non-AV Receipts (est.)</v>
      </c>
      <c r="I66" s="587"/>
      <c r="J66" s="620"/>
      <c r="K66" s="535"/>
    </row>
    <row r="67" spans="2:11" x14ac:dyDescent="0.25">
      <c r="B67" s="257"/>
      <c r="C67" s="252"/>
      <c r="D67" s="252"/>
      <c r="E67" s="137"/>
      <c r="G67" s="592">
        <f>IF(E81&gt;0,E80,E82)</f>
        <v>0</v>
      </c>
      <c r="H67" s="569" t="str">
        <f>CONCATENATE("",E1," Ad Valorem Tax (est.)")</f>
        <v>2020 Ad Valorem Tax (est.)</v>
      </c>
      <c r="I67" s="569"/>
      <c r="J67" s="620"/>
      <c r="K67" s="593" t="str">
        <f>IF(G67=E82,"","Note: Does not include Delinquent Taxes")</f>
        <v/>
      </c>
    </row>
    <row r="68" spans="2:11" x14ac:dyDescent="0.25">
      <c r="B68" s="257"/>
      <c r="C68" s="252"/>
      <c r="D68" s="252"/>
      <c r="E68" s="137"/>
      <c r="G68" s="585">
        <f>SUM(G65:G67)</f>
        <v>0</v>
      </c>
      <c r="H68" s="569" t="str">
        <f>CONCATENATE("Total ",E1," Resources Available")</f>
        <v>Total 2020 Resources Available</v>
      </c>
      <c r="I68" s="623"/>
      <c r="J68" s="620"/>
      <c r="K68" s="535"/>
    </row>
    <row r="69" spans="2:11" x14ac:dyDescent="0.25">
      <c r="B69" s="257"/>
      <c r="C69" s="252"/>
      <c r="D69" s="252"/>
      <c r="E69" s="137"/>
      <c r="G69" s="624"/>
      <c r="H69" s="625"/>
      <c r="I69" s="568"/>
      <c r="J69" s="620"/>
      <c r="K69" s="535"/>
    </row>
    <row r="70" spans="2:11" x14ac:dyDescent="0.25">
      <c r="B70" s="257"/>
      <c r="C70" s="252"/>
      <c r="D70" s="252"/>
      <c r="E70" s="137"/>
      <c r="G70" s="592">
        <f>ROUND(C75*0.05+C75,0)</f>
        <v>0</v>
      </c>
      <c r="H70" s="569" t="str">
        <f>CONCATENATE("Less ",E1-2," Expenditures + 5%")</f>
        <v>Less 2018 Expenditures + 5%</v>
      </c>
      <c r="I70" s="623"/>
      <c r="J70" s="620"/>
      <c r="K70" s="535"/>
    </row>
    <row r="71" spans="2:11" x14ac:dyDescent="0.25">
      <c r="B71" s="257"/>
      <c r="C71" s="252"/>
      <c r="D71" s="252"/>
      <c r="E71" s="137"/>
      <c r="G71" s="600">
        <f>G68-G70</f>
        <v>0</v>
      </c>
      <c r="H71" s="601" t="str">
        <f>CONCATENATE("Projected ",E1+1," carryover (est.)")</f>
        <v>Projected 2021 carryover (est.)</v>
      </c>
      <c r="I71" s="626"/>
      <c r="J71" s="627"/>
      <c r="K71" s="535"/>
    </row>
    <row r="72" spans="2:11" x14ac:dyDescent="0.25">
      <c r="B72" s="255" t="str">
        <f>CONCATENATE("Cash Forward (",E1," column)")</f>
        <v>Cash Forward (2020 column)</v>
      </c>
      <c r="C72" s="252"/>
      <c r="D72" s="252"/>
      <c r="E72" s="137"/>
      <c r="G72" s="535"/>
      <c r="H72" s="535"/>
      <c r="I72" s="535"/>
      <c r="J72" s="535"/>
      <c r="K72" s="535"/>
    </row>
    <row r="73" spans="2:11" x14ac:dyDescent="0.25">
      <c r="B73" s="255" t="s">
        <v>186</v>
      </c>
      <c r="C73" s="252"/>
      <c r="D73" s="252"/>
      <c r="E73" s="137"/>
      <c r="G73" s="925" t="s">
        <v>742</v>
      </c>
      <c r="H73" s="926"/>
      <c r="I73" s="926"/>
      <c r="J73" s="927"/>
      <c r="K73" s="535"/>
    </row>
    <row r="74" spans="2:11" x14ac:dyDescent="0.25">
      <c r="B74" s="255" t="s">
        <v>637</v>
      </c>
      <c r="C74" s="326" t="str">
        <f>IF(C75*0.1&lt;C73,"Exceed 10% Rule","")</f>
        <v/>
      </c>
      <c r="D74" s="326" t="str">
        <f>IF(D75*0.1&lt;D73,"Exceed 10% Rule","")</f>
        <v/>
      </c>
      <c r="E74" s="262" t="str">
        <f>IF(E75*0.1&lt;E73,"Exceed 10% Rule","")</f>
        <v/>
      </c>
      <c r="G74" s="607"/>
      <c r="H74" s="586"/>
      <c r="I74" s="608"/>
      <c r="J74" s="609"/>
      <c r="K74" s="535"/>
    </row>
    <row r="75" spans="2:11" x14ac:dyDescent="0.25">
      <c r="B75" s="76" t="s">
        <v>240</v>
      </c>
      <c r="C75" s="327">
        <f>SUM(C66:C73)</f>
        <v>0</v>
      </c>
      <c r="D75" s="327">
        <f>SUM(D66:D73)</f>
        <v>0</v>
      </c>
      <c r="E75" s="261">
        <f>SUM(E66:E73)</f>
        <v>0</v>
      </c>
      <c r="G75" s="610" t="str">
        <f>summ!H25</f>
        <v xml:space="preserve"> </v>
      </c>
      <c r="H75" s="586" t="str">
        <f>CONCATENATE("",E1," Fund Mill Rate")</f>
        <v>2020 Fund Mill Rate</v>
      </c>
      <c r="I75" s="608"/>
      <c r="J75" s="609"/>
      <c r="K75" s="535"/>
    </row>
    <row r="76" spans="2:11" x14ac:dyDescent="0.25">
      <c r="B76" s="58" t="s">
        <v>58</v>
      </c>
      <c r="C76" s="328">
        <f>C64-C75</f>
        <v>0</v>
      </c>
      <c r="D76" s="328">
        <f>D64-D75</f>
        <v>0</v>
      </c>
      <c r="E76" s="254" t="s">
        <v>213</v>
      </c>
      <c r="G76" s="611" t="str">
        <f>summ!E25</f>
        <v xml:space="preserve">  </v>
      </c>
      <c r="H76" s="586" t="str">
        <f>CONCATENATE("",E1-1," Fund Mill Rate")</f>
        <v>2019 Fund Mill Rate</v>
      </c>
      <c r="I76" s="608"/>
      <c r="J76" s="609"/>
      <c r="K76" s="535"/>
    </row>
    <row r="77" spans="2:11" x14ac:dyDescent="0.25">
      <c r="B77" s="92" t="str">
        <f>CONCATENATE("",E1-2,"/",E1-1,"/",E1," Budget Authority Amount:")</f>
        <v>2018/2019/2020 Budget Authority Amount:</v>
      </c>
      <c r="C77" s="673">
        <f>inputOth!$B96</f>
        <v>0</v>
      </c>
      <c r="D77" s="500">
        <f>inputPrYr!$D30</f>
        <v>0</v>
      </c>
      <c r="E77" s="205">
        <f>E75</f>
        <v>0</v>
      </c>
      <c r="F77" s="263"/>
      <c r="G77" s="613">
        <f>summ!H36</f>
        <v>1.8420000000000001</v>
      </c>
      <c r="H77" s="586" t="str">
        <f>CONCATENATE("Total ",E1," Mill Rate")</f>
        <v>Total 2020 Mill Rate</v>
      </c>
      <c r="I77" s="608"/>
      <c r="J77" s="609"/>
      <c r="K77" s="535"/>
    </row>
    <row r="78" spans="2:11" x14ac:dyDescent="0.25">
      <c r="B78" s="93"/>
      <c r="C78" s="911" t="s">
        <v>634</v>
      </c>
      <c r="D78" s="912"/>
      <c r="E78" s="137"/>
      <c r="F78" s="651" t="str">
        <f>IF(E75/0.95-E75&lt;E78,"Exceeds 5%","")</f>
        <v/>
      </c>
      <c r="G78" s="611">
        <f>summ!E36</f>
        <v>1.861</v>
      </c>
      <c r="H78" s="614" t="str">
        <f>CONCATENATE("Total ",E1-1," Mill Rate")</f>
        <v>Total 2019 Mill Rate</v>
      </c>
      <c r="I78" s="615"/>
      <c r="J78" s="616"/>
      <c r="K78" s="535"/>
    </row>
    <row r="79" spans="2:11" x14ac:dyDescent="0.25">
      <c r="B79" s="428" t="str">
        <f>CONCATENATE(C94,"     ",D94)</f>
        <v xml:space="preserve">     </v>
      </c>
      <c r="C79" s="913" t="s">
        <v>635</v>
      </c>
      <c r="D79" s="914"/>
      <c r="E79" s="205">
        <f>E75+E78</f>
        <v>0</v>
      </c>
    </row>
    <row r="80" spans="2:11" x14ac:dyDescent="0.25">
      <c r="B80" s="428" t="str">
        <f>CONCATENATE(C95,"     ",D95)</f>
        <v xml:space="preserve">     </v>
      </c>
      <c r="C80" s="431"/>
      <c r="D80" s="430" t="s">
        <v>242</v>
      </c>
      <c r="E80" s="148">
        <f>IF(E79-E64&gt;0,E79-E64,0)</f>
        <v>0</v>
      </c>
      <c r="G80" s="781" t="s">
        <v>846</v>
      </c>
      <c r="H80" s="777"/>
      <c r="I80" s="776"/>
      <c r="J80" s="775" t="str">
        <f>cert!F41</f>
        <v>No</v>
      </c>
    </row>
    <row r="81" spans="2:10" x14ac:dyDescent="0.25">
      <c r="B81" s="170"/>
      <c r="C81" s="429" t="s">
        <v>636</v>
      </c>
      <c r="D81" s="635">
        <f>inputOth!$E$83</f>
        <v>0</v>
      </c>
      <c r="E81" s="205">
        <f>ROUND(IF(D81&gt;0,(E80*D81),0),0)</f>
        <v>0</v>
      </c>
      <c r="G81" s="774" t="str">
        <f>CONCATENATE("Computed ",E1," tax levy limit amount")</f>
        <v>Computed 2020 tax levy limit amount</v>
      </c>
      <c r="H81" s="773"/>
      <c r="I81" s="773"/>
      <c r="J81" s="772">
        <f>computation!J41</f>
        <v>3075</v>
      </c>
    </row>
    <row r="82" spans="2:10" x14ac:dyDescent="0.25">
      <c r="B82" s="43"/>
      <c r="C82" s="915" t="str">
        <f>CONCATENATE("Amount of  ",$E$1-1," Ad Valorem Tax")</f>
        <v>Amount of  2019 Ad Valorem Tax</v>
      </c>
      <c r="D82" s="916"/>
      <c r="E82" s="148">
        <f>E80+E81</f>
        <v>0</v>
      </c>
      <c r="G82" s="771" t="str">
        <f>CONCATENATE("Total ",E1," tax levy amount")</f>
        <v>Total 2020 tax levy amount</v>
      </c>
      <c r="H82" s="770"/>
      <c r="I82" s="770"/>
      <c r="J82" s="769">
        <f>summ!G36</f>
        <v>3000</v>
      </c>
    </row>
    <row r="83" spans="2:10" x14ac:dyDescent="0.25">
      <c r="B83" s="43"/>
      <c r="C83" s="486"/>
      <c r="D83" s="486"/>
      <c r="E83" s="486"/>
      <c r="G83" s="802"/>
      <c r="H83" s="773"/>
      <c r="I83" s="773"/>
      <c r="J83" s="803"/>
    </row>
    <row r="84" spans="2:10" x14ac:dyDescent="0.25">
      <c r="B84" s="790" t="s">
        <v>987</v>
      </c>
      <c r="C84" s="804"/>
      <c r="D84" s="804"/>
      <c r="E84" s="805"/>
      <c r="G84" s="802"/>
      <c r="H84" s="773"/>
      <c r="I84" s="773"/>
      <c r="J84" s="803"/>
    </row>
    <row r="85" spans="2:10" x14ac:dyDescent="0.25">
      <c r="B85" s="432"/>
      <c r="C85" s="486"/>
      <c r="D85" s="486"/>
      <c r="E85" s="806"/>
      <c r="G85" s="802"/>
      <c r="H85" s="773"/>
      <c r="I85" s="773"/>
      <c r="J85" s="803"/>
    </row>
    <row r="86" spans="2:10" x14ac:dyDescent="0.25">
      <c r="B86" s="793"/>
      <c r="C86" s="807"/>
      <c r="D86" s="807"/>
      <c r="E86" s="808"/>
      <c r="G86" s="802"/>
      <c r="H86" s="773"/>
      <c r="I86" s="773"/>
      <c r="J86" s="803"/>
    </row>
    <row r="87" spans="2:10" x14ac:dyDescent="0.25">
      <c r="B87" s="43"/>
      <c r="C87" s="486"/>
      <c r="D87" s="486"/>
      <c r="E87" s="486"/>
      <c r="G87" s="802"/>
      <c r="H87" s="773"/>
      <c r="I87" s="773"/>
      <c r="J87" s="803"/>
    </row>
    <row r="88" spans="2:10" x14ac:dyDescent="0.25">
      <c r="B88" s="170" t="s">
        <v>223</v>
      </c>
      <c r="C88" s="729"/>
      <c r="D88" s="43"/>
      <c r="E88" s="43"/>
    </row>
    <row r="89" spans="2:10" x14ac:dyDescent="0.25">
      <c r="B89" s="89"/>
    </row>
    <row r="92" spans="2:10" hidden="1" x14ac:dyDescent="0.25">
      <c r="C92" s="129" t="str">
        <f>IF(C34&gt;C36,"See Tab A","")</f>
        <v/>
      </c>
      <c r="D92" s="129" t="str">
        <f>IF(D34&gt;D36,"See Tab C","")</f>
        <v/>
      </c>
    </row>
    <row r="93" spans="2:10" hidden="1" x14ac:dyDescent="0.25">
      <c r="C93" s="129" t="str">
        <f>IF(C35&lt;0,"See Tab B","")</f>
        <v/>
      </c>
      <c r="D93" s="129" t="str">
        <f>IF(D35&lt;0,"See Tab D","")</f>
        <v/>
      </c>
    </row>
    <row r="94" spans="2:10" hidden="1" x14ac:dyDescent="0.25">
      <c r="C94" s="129" t="str">
        <f>IF(C75&gt;C77,"See Tab A","")</f>
        <v/>
      </c>
      <c r="D94" s="129" t="str">
        <f>IF(D75&gt;D77,"See Tab C","")</f>
        <v/>
      </c>
    </row>
    <row r="95" spans="2:10" hidden="1" x14ac:dyDescent="0.25">
      <c r="C95" s="129" t="str">
        <f>IF(C76&lt;0,"See Tab B","")</f>
        <v/>
      </c>
      <c r="D95" s="129" t="str">
        <f>IF(D76&lt;0,"See Tab D","")</f>
        <v/>
      </c>
    </row>
  </sheetData>
  <sheetProtection sheet="1"/>
  <mergeCells count="12">
    <mergeCell ref="C82:D82"/>
    <mergeCell ref="C41:D41"/>
    <mergeCell ref="G73:J73"/>
    <mergeCell ref="C37:D37"/>
    <mergeCell ref="C38:D38"/>
    <mergeCell ref="C78:D78"/>
    <mergeCell ref="C79:D79"/>
    <mergeCell ref="G15:J15"/>
    <mergeCell ref="G22:J22"/>
    <mergeCell ref="G32:J32"/>
    <mergeCell ref="G56:J56"/>
    <mergeCell ref="G63:J63"/>
  </mergeCells>
  <phoneticPr fontId="0" type="noConversion"/>
  <conditionalFormatting sqref="C73">
    <cfRule type="cellIs" dxfId="103" priority="3" stopIfTrue="1" operator="greaterThan">
      <formula>$C$720*0.1</formula>
    </cfRule>
  </conditionalFormatting>
  <conditionalFormatting sqref="D73">
    <cfRule type="cellIs" dxfId="102" priority="4" stopIfTrue="1" operator="greaterThan">
      <formula>$D$720*0.1</formula>
    </cfRule>
  </conditionalFormatting>
  <conditionalFormatting sqref="E73">
    <cfRule type="cellIs" dxfId="101" priority="5" stopIfTrue="1" operator="greaterThan">
      <formula>$E$75*0.1</formula>
    </cfRule>
  </conditionalFormatting>
  <conditionalFormatting sqref="C61">
    <cfRule type="cellIs" dxfId="100" priority="6" stopIfTrue="1" operator="greaterThan">
      <formula>$C$63*0.1</formula>
    </cfRule>
  </conditionalFormatting>
  <conditionalFormatting sqref="D61">
    <cfRule type="cellIs" dxfId="99" priority="7" stopIfTrue="1" operator="greaterThan">
      <formula>$D$63*0.1</formula>
    </cfRule>
  </conditionalFormatting>
  <conditionalFormatting sqref="E78">
    <cfRule type="cellIs" dxfId="98" priority="8" stopIfTrue="1" operator="greaterThan">
      <formula>$E$75/0.95-$E$75</formula>
    </cfRule>
  </conditionalFormatting>
  <conditionalFormatting sqref="C32">
    <cfRule type="cellIs" dxfId="97" priority="9" stopIfTrue="1" operator="greaterThan">
      <formula>$C$34*0.1</formula>
    </cfRule>
  </conditionalFormatting>
  <conditionalFormatting sqref="D32">
    <cfRule type="cellIs" dxfId="96" priority="10" stopIfTrue="1" operator="greaterThan">
      <formula>$D$34*0.1</formula>
    </cfRule>
  </conditionalFormatting>
  <conditionalFormatting sqref="E32">
    <cfRule type="cellIs" dxfId="95" priority="11" stopIfTrue="1" operator="greaterThan">
      <formula>$E$34*0.1</formula>
    </cfRule>
  </conditionalFormatting>
  <conditionalFormatting sqref="C20">
    <cfRule type="cellIs" dxfId="94" priority="12" stopIfTrue="1" operator="greaterThan">
      <formula>$C$22*0.1</formula>
    </cfRule>
  </conditionalFormatting>
  <conditionalFormatting sqref="D20">
    <cfRule type="cellIs" dxfId="93" priority="13" stopIfTrue="1" operator="greaterThan">
      <formula>$D$22*0.1</formula>
    </cfRule>
  </conditionalFormatting>
  <conditionalFormatting sqref="E37">
    <cfRule type="cellIs" dxfId="92" priority="14" stopIfTrue="1" operator="greaterThan">
      <formula>$E$34/0.95-$E$34</formula>
    </cfRule>
  </conditionalFormatting>
  <conditionalFormatting sqref="C76 C35">
    <cfRule type="cellIs" dxfId="91" priority="15" stopIfTrue="1" operator="lessThan">
      <formula>0</formula>
    </cfRule>
  </conditionalFormatting>
  <conditionalFormatting sqref="C75">
    <cfRule type="cellIs" dxfId="90" priority="16" stopIfTrue="1" operator="greaterThan">
      <formula>$C$77</formula>
    </cfRule>
  </conditionalFormatting>
  <conditionalFormatting sqref="D75">
    <cfRule type="cellIs" dxfId="89" priority="17" stopIfTrue="1" operator="greaterThan">
      <formula>$D$77</formula>
    </cfRule>
  </conditionalFormatting>
  <conditionalFormatting sqref="C34">
    <cfRule type="cellIs" dxfId="88" priority="18" stopIfTrue="1" operator="greaterThan">
      <formula>$C$36</formula>
    </cfRule>
  </conditionalFormatting>
  <conditionalFormatting sqref="D34">
    <cfRule type="cellIs" dxfId="87" priority="19" stopIfTrue="1" operator="greaterThan">
      <formula>$D$36</formula>
    </cfRule>
  </conditionalFormatting>
  <conditionalFormatting sqref="D35 D76">
    <cfRule type="cellIs" dxfId="86" priority="2" stopIfTrue="1" operator="lessThan">
      <formula>0</formula>
    </cfRule>
  </conditionalFormatting>
  <conditionalFormatting sqref="E20">
    <cfRule type="cellIs" dxfId="85" priority="29" stopIfTrue="1" operator="greaterThan">
      <formula>$E$22*0.1+$E$41</formula>
    </cfRule>
  </conditionalFormatting>
  <conditionalFormatting sqref="E61">
    <cfRule type="cellIs" dxfId="84" priority="30" stopIfTrue="1" operator="greaterThan">
      <formula>$E$63*0.1+$E$82</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00B0F0"/>
    <pageSetUpPr fitToPage="1"/>
  </sheetPr>
  <dimension ref="B1:K95"/>
  <sheetViews>
    <sheetView zoomScaleNormal="100" workbookViewId="0">
      <selection activeCell="E90" sqref="E90"/>
    </sheetView>
  </sheetViews>
  <sheetFormatPr defaultColWidth="8.796875" defaultRowHeight="15.75" x14ac:dyDescent="0.2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ol min="9" max="9" width="4.5" style="129" customWidth="1"/>
    <col min="10" max="10" width="9" style="129" customWidth="1"/>
    <col min="11" max="16384" width="8.796875" style="129"/>
  </cols>
  <sheetData>
    <row r="1" spans="2:11" x14ac:dyDescent="0.25">
      <c r="B1" s="182" t="str">
        <f>inputPrYr!D4</f>
        <v>Scott Township</v>
      </c>
      <c r="C1" s="43"/>
      <c r="D1" s="43"/>
      <c r="E1" s="183">
        <f>inputPrYr!D10</f>
        <v>2020</v>
      </c>
    </row>
    <row r="2" spans="2:11" x14ac:dyDescent="0.25">
      <c r="B2" s="470" t="s">
        <v>654</v>
      </c>
      <c r="C2" s="43"/>
      <c r="D2" s="167"/>
      <c r="E2" s="45"/>
    </row>
    <row r="3" spans="2:11" x14ac:dyDescent="0.25">
      <c r="B3" s="43"/>
      <c r="C3" s="48"/>
      <c r="D3" s="48"/>
      <c r="E3" s="48"/>
    </row>
    <row r="4" spans="2:11" x14ac:dyDescent="0.25">
      <c r="B4" s="50" t="s">
        <v>224</v>
      </c>
      <c r="C4" s="322" t="s">
        <v>225</v>
      </c>
      <c r="D4" s="325" t="s">
        <v>226</v>
      </c>
      <c r="E4" s="52" t="s">
        <v>227</v>
      </c>
    </row>
    <row r="5" spans="2:11" x14ac:dyDescent="0.25">
      <c r="B5" s="413">
        <f>inputPrYr!B31</f>
        <v>0</v>
      </c>
      <c r="C5" s="323" t="str">
        <f>gen!C5</f>
        <v>Actual for 2018</v>
      </c>
      <c r="D5" s="323" t="str">
        <f>gen!D5</f>
        <v>Estimate for 2019</v>
      </c>
      <c r="E5" s="57" t="str">
        <f>gen!E5</f>
        <v>Year for 2020</v>
      </c>
    </row>
    <row r="6" spans="2:11" x14ac:dyDescent="0.25">
      <c r="B6" s="58" t="s">
        <v>57</v>
      </c>
      <c r="C6" s="252"/>
      <c r="D6" s="324">
        <f>C35</f>
        <v>0</v>
      </c>
      <c r="E6" s="205">
        <f>D35</f>
        <v>0</v>
      </c>
    </row>
    <row r="7" spans="2:11" x14ac:dyDescent="0.25">
      <c r="B7" s="58" t="s">
        <v>59</v>
      </c>
      <c r="C7" s="324"/>
      <c r="D7" s="324"/>
      <c r="E7" s="254"/>
    </row>
    <row r="8" spans="2:11" x14ac:dyDescent="0.25">
      <c r="B8" s="58" t="s">
        <v>230</v>
      </c>
      <c r="C8" s="252"/>
      <c r="D8" s="324">
        <f>IF(inputPrYr!H22&gt;0,inputPrYr!G31,inputPrYr!E31)</f>
        <v>0</v>
      </c>
      <c r="E8" s="254" t="s">
        <v>213</v>
      </c>
    </row>
    <row r="9" spans="2:11" x14ac:dyDescent="0.25">
      <c r="B9" s="58" t="s">
        <v>231</v>
      </c>
      <c r="C9" s="252"/>
      <c r="D9" s="252"/>
      <c r="E9" s="137"/>
    </row>
    <row r="10" spans="2:11" x14ac:dyDescent="0.25">
      <c r="B10" s="58" t="s">
        <v>232</v>
      </c>
      <c r="C10" s="252"/>
      <c r="D10" s="252"/>
      <c r="E10" s="205">
        <f>mvalloc!D19+mvalloc!E19</f>
        <v>0</v>
      </c>
    </row>
    <row r="11" spans="2:11" x14ac:dyDescent="0.25">
      <c r="B11" s="58" t="s">
        <v>233</v>
      </c>
      <c r="C11" s="252"/>
      <c r="D11" s="252"/>
      <c r="E11" s="205">
        <f>mvalloc!F19+mvalloc!G19</f>
        <v>0</v>
      </c>
    </row>
    <row r="12" spans="2:11" x14ac:dyDescent="0.25">
      <c r="B12" s="58" t="s">
        <v>47</v>
      </c>
      <c r="C12" s="252"/>
      <c r="D12" s="252"/>
      <c r="E12" s="205">
        <f>mvalloc!H19+mvalloc!I19</f>
        <v>0</v>
      </c>
    </row>
    <row r="13" spans="2:11" x14ac:dyDescent="0.25">
      <c r="B13" s="742" t="s">
        <v>824</v>
      </c>
      <c r="C13" s="252"/>
      <c r="D13" s="252"/>
      <c r="E13" s="205">
        <f>mvalloc!J19+mvalloc!K19</f>
        <v>0</v>
      </c>
    </row>
    <row r="14" spans="2:11" x14ac:dyDescent="0.25">
      <c r="B14" s="742" t="s">
        <v>825</v>
      </c>
      <c r="C14" s="252"/>
      <c r="D14" s="252"/>
      <c r="E14" s="205">
        <f>mvalloc!L19+mvalloc!M19</f>
        <v>0</v>
      </c>
    </row>
    <row r="15" spans="2:11" x14ac:dyDescent="0.25">
      <c r="B15" s="257"/>
      <c r="C15" s="252"/>
      <c r="D15" s="252"/>
      <c r="E15" s="137"/>
      <c r="G15" s="928" t="str">
        <f>CONCATENATE("Desired Carryover Into ",E1+1,"")</f>
        <v>Desired Carryover Into 2021</v>
      </c>
      <c r="H15" s="929"/>
      <c r="I15" s="929"/>
      <c r="J15" s="930"/>
      <c r="K15" s="535"/>
    </row>
    <row r="16" spans="2:11" x14ac:dyDescent="0.25">
      <c r="B16" s="257"/>
      <c r="C16" s="252"/>
      <c r="D16" s="252"/>
      <c r="E16" s="137"/>
      <c r="G16" s="567"/>
      <c r="H16" s="568"/>
      <c r="I16" s="569"/>
      <c r="J16" s="570"/>
      <c r="K16" s="535"/>
    </row>
    <row r="17" spans="2:11" x14ac:dyDescent="0.25">
      <c r="B17" s="257"/>
      <c r="C17" s="252"/>
      <c r="D17" s="252"/>
      <c r="E17" s="137"/>
      <c r="G17" s="571" t="s">
        <v>640</v>
      </c>
      <c r="H17" s="569"/>
      <c r="I17" s="569"/>
      <c r="J17" s="572">
        <v>0</v>
      </c>
      <c r="K17" s="535"/>
    </row>
    <row r="18" spans="2:11" x14ac:dyDescent="0.25">
      <c r="B18" s="257" t="s">
        <v>236</v>
      </c>
      <c r="C18" s="252"/>
      <c r="D18" s="252"/>
      <c r="E18" s="137"/>
      <c r="G18" s="567" t="s">
        <v>641</v>
      </c>
      <c r="H18" s="568"/>
      <c r="I18" s="568"/>
      <c r="J18" s="573" t="str">
        <f>IF(J17=0,"",ROUND((J17+E41-G30)/inputOth!E11*1000,3)-G35)</f>
        <v/>
      </c>
      <c r="K18" s="535"/>
    </row>
    <row r="19" spans="2:11" x14ac:dyDescent="0.25">
      <c r="B19" s="255" t="s">
        <v>188</v>
      </c>
      <c r="C19" s="252"/>
      <c r="D19" s="252"/>
      <c r="E19" s="148">
        <f>nhood!E14*-1</f>
        <v>0</v>
      </c>
      <c r="G19" s="574" t="str">
        <f>CONCATENATE("",E1," Tot Exp/Non-Appr Must Be:")</f>
        <v>2020 Tot Exp/Non-Appr Must Be:</v>
      </c>
      <c r="H19" s="575"/>
      <c r="I19" s="576"/>
      <c r="J19" s="577">
        <f>IF(J17&gt;0,IF(E38&lt;E23,IF(J17=G30,E38,((J17-G30)*(1-D40))+E23),E38+(J17-G30)),0)</f>
        <v>0</v>
      </c>
      <c r="K19" s="535"/>
    </row>
    <row r="20" spans="2:11" x14ac:dyDescent="0.25">
      <c r="B20" s="258" t="s">
        <v>186</v>
      </c>
      <c r="C20" s="252"/>
      <c r="D20" s="252"/>
      <c r="E20" s="137"/>
      <c r="G20" s="578" t="s">
        <v>741</v>
      </c>
      <c r="H20" s="579"/>
      <c r="I20" s="579"/>
      <c r="J20" s="580">
        <f>IF(J17&gt;0,J19-E38,0)</f>
        <v>0</v>
      </c>
      <c r="K20" s="535"/>
    </row>
    <row r="21" spans="2:11" x14ac:dyDescent="0.25">
      <c r="B21" s="258" t="s">
        <v>187</v>
      </c>
      <c r="C21" s="326" t="str">
        <f>IF(C22*0.1&lt;C20,"Exceed 10% Rule","")</f>
        <v/>
      </c>
      <c r="D21" s="326" t="str">
        <f>IF(D22*0.1&lt;D20,"Exceed 10% Rule","")</f>
        <v/>
      </c>
      <c r="E21" s="262" t="str">
        <f>IF((E41+E22)*0.1&lt;E20,"Exceed 10% Rule","")</f>
        <v/>
      </c>
      <c r="G21" s="535"/>
      <c r="H21" s="535"/>
      <c r="I21" s="535"/>
      <c r="J21" s="535"/>
      <c r="K21" s="535"/>
    </row>
    <row r="22" spans="2:11" x14ac:dyDescent="0.25">
      <c r="B22" s="260" t="s">
        <v>237</v>
      </c>
      <c r="C22" s="327">
        <f>SUM(C8:C20)</f>
        <v>0</v>
      </c>
      <c r="D22" s="327">
        <f>SUM(D8:D20)</f>
        <v>0</v>
      </c>
      <c r="E22" s="261">
        <f>SUM(E8:E20)</f>
        <v>0</v>
      </c>
      <c r="G22" s="928" t="str">
        <f>CONCATENATE("Projected Carryover Into ",E1+1,"")</f>
        <v>Projected Carryover Into 2021</v>
      </c>
      <c r="H22" s="931"/>
      <c r="I22" s="931"/>
      <c r="J22" s="932"/>
      <c r="K22" s="535"/>
    </row>
    <row r="23" spans="2:11" x14ac:dyDescent="0.25">
      <c r="B23" s="76" t="s">
        <v>238</v>
      </c>
      <c r="C23" s="327">
        <f>C22+C6</f>
        <v>0</v>
      </c>
      <c r="D23" s="327">
        <f>D22+D6</f>
        <v>0</v>
      </c>
      <c r="E23" s="261">
        <f>E22+E6</f>
        <v>0</v>
      </c>
      <c r="G23" s="567"/>
      <c r="H23" s="569"/>
      <c r="I23" s="569"/>
      <c r="J23" s="582"/>
      <c r="K23" s="535"/>
    </row>
    <row r="24" spans="2:11" x14ac:dyDescent="0.25">
      <c r="B24" s="58" t="s">
        <v>239</v>
      </c>
      <c r="C24" s="324"/>
      <c r="D24" s="324"/>
      <c r="E24" s="205"/>
      <c r="G24" s="585">
        <f>D35</f>
        <v>0</v>
      </c>
      <c r="H24" s="586" t="str">
        <f>CONCATENATE("",E1-1," Ending Cash Balance (est.)")</f>
        <v>2019 Ending Cash Balance (est.)</v>
      </c>
      <c r="I24" s="587"/>
      <c r="J24" s="582"/>
      <c r="K24" s="535"/>
    </row>
    <row r="25" spans="2:11" x14ac:dyDescent="0.25">
      <c r="B25" s="257"/>
      <c r="C25" s="252"/>
      <c r="D25" s="252"/>
      <c r="E25" s="137"/>
      <c r="G25" s="585">
        <f>E22</f>
        <v>0</v>
      </c>
      <c r="H25" s="569" t="str">
        <f>CONCATENATE("",E1," Non-AV Receipts (est.)")</f>
        <v>2020 Non-AV Receipts (est.)</v>
      </c>
      <c r="I25" s="587"/>
      <c r="J25" s="582"/>
      <c r="K25" s="535"/>
    </row>
    <row r="26" spans="2:11" x14ac:dyDescent="0.2">
      <c r="B26" s="257"/>
      <c r="C26" s="252"/>
      <c r="D26" s="252"/>
      <c r="E26" s="137"/>
      <c r="G26" s="592">
        <f>IF(E40&gt;0,E39,E41)</f>
        <v>0</v>
      </c>
      <c r="H26" s="569" t="str">
        <f>CONCATENATE("",E1," Ad Valorem Tax (est.)")</f>
        <v>2020 Ad Valorem Tax (est.)</v>
      </c>
      <c r="I26" s="569"/>
      <c r="J26" s="582"/>
      <c r="K26" s="593" t="str">
        <f>IF(G26=E41,"","Note: Does not include Delinquent Taxes")</f>
        <v/>
      </c>
    </row>
    <row r="27" spans="2:11" x14ac:dyDescent="0.25">
      <c r="B27" s="257"/>
      <c r="C27" s="252"/>
      <c r="D27" s="252"/>
      <c r="E27" s="137"/>
      <c r="G27" s="585">
        <f>SUM(G24:G26)</f>
        <v>0</v>
      </c>
      <c r="H27" s="569" t="str">
        <f>CONCATENATE("Total ",E1," Resources Available")</f>
        <v>Total 2020 Resources Available</v>
      </c>
      <c r="I27" s="587"/>
      <c r="J27" s="582"/>
      <c r="K27" s="535"/>
    </row>
    <row r="28" spans="2:11" x14ac:dyDescent="0.25">
      <c r="B28" s="257"/>
      <c r="C28" s="252"/>
      <c r="D28" s="252"/>
      <c r="E28" s="137"/>
      <c r="G28" s="596"/>
      <c r="H28" s="569"/>
      <c r="I28" s="569"/>
      <c r="J28" s="582"/>
      <c r="K28" s="535"/>
    </row>
    <row r="29" spans="2:11" x14ac:dyDescent="0.25">
      <c r="B29" s="252"/>
      <c r="C29" s="252"/>
      <c r="D29" s="252"/>
      <c r="E29" s="137"/>
      <c r="G29" s="592">
        <f>C34*0.05+C34</f>
        <v>0</v>
      </c>
      <c r="H29" s="569" t="str">
        <f>CONCATENATE("Less ",E1-2," Expenditures + 5%")</f>
        <v>Less 2018 Expenditures + 5%</v>
      </c>
      <c r="I29" s="569"/>
      <c r="J29" s="582"/>
      <c r="K29" s="535"/>
    </row>
    <row r="30" spans="2:11" x14ac:dyDescent="0.25">
      <c r="B30" s="257"/>
      <c r="C30" s="252"/>
      <c r="D30" s="252"/>
      <c r="E30" s="137"/>
      <c r="G30" s="600">
        <f>G27-G29</f>
        <v>0</v>
      </c>
      <c r="H30" s="601" t="str">
        <f>CONCATENATE("Projected ",E1+1," carryover (est.)")</f>
        <v>Projected 2021 carryover (est.)</v>
      </c>
      <c r="I30" s="602"/>
      <c r="J30" s="603"/>
      <c r="K30" s="535"/>
    </row>
    <row r="31" spans="2:11" x14ac:dyDescent="0.25">
      <c r="B31" s="255" t="str">
        <f>CONCATENATE("Cash Forward (",E1," column)")</f>
        <v>Cash Forward (2020 column)</v>
      </c>
      <c r="C31" s="252"/>
      <c r="D31" s="252"/>
      <c r="E31" s="137"/>
      <c r="G31" s="535"/>
      <c r="H31" s="535"/>
      <c r="I31" s="535"/>
      <c r="J31" s="535"/>
      <c r="K31" s="535"/>
    </row>
    <row r="32" spans="2:11" x14ac:dyDescent="0.25">
      <c r="B32" s="255" t="s">
        <v>186</v>
      </c>
      <c r="C32" s="252"/>
      <c r="D32" s="252"/>
      <c r="E32" s="137"/>
      <c r="G32" s="925" t="s">
        <v>742</v>
      </c>
      <c r="H32" s="926"/>
      <c r="I32" s="926"/>
      <c r="J32" s="927"/>
      <c r="K32" s="535"/>
    </row>
    <row r="33" spans="2:11" x14ac:dyDescent="0.25">
      <c r="B33" s="255" t="s">
        <v>637</v>
      </c>
      <c r="C33" s="326" t="str">
        <f>IF(C34*0.1&lt;C32,"Exceed 10% Rule","")</f>
        <v/>
      </c>
      <c r="D33" s="326" t="str">
        <f>IF(D34*0.1&lt;D32,"Exceed 10% Rule","")</f>
        <v/>
      </c>
      <c r="E33" s="262" t="str">
        <f>IF(E34*0.1&lt;E32,"Exceed 10% Rule","")</f>
        <v/>
      </c>
      <c r="G33" s="607"/>
      <c r="H33" s="586"/>
      <c r="I33" s="608"/>
      <c r="J33" s="609"/>
      <c r="K33" s="535"/>
    </row>
    <row r="34" spans="2:11" x14ac:dyDescent="0.25">
      <c r="B34" s="76" t="s">
        <v>240</v>
      </c>
      <c r="C34" s="327">
        <f>SUM(C25:C32)</f>
        <v>0</v>
      </c>
      <c r="D34" s="327">
        <f>SUM(D25:D32)</f>
        <v>0</v>
      </c>
      <c r="E34" s="261">
        <f>SUM(E25:E32)</f>
        <v>0</v>
      </c>
      <c r="G34" s="610" t="str">
        <f>summ!H26</f>
        <v xml:space="preserve"> </v>
      </c>
      <c r="H34" s="586" t="str">
        <f>CONCATENATE("",E1," Fund Mill Rate")</f>
        <v>2020 Fund Mill Rate</v>
      </c>
      <c r="I34" s="608"/>
      <c r="J34" s="609"/>
      <c r="K34" s="535"/>
    </row>
    <row r="35" spans="2:11" x14ac:dyDescent="0.25">
      <c r="B35" s="58" t="s">
        <v>58</v>
      </c>
      <c r="C35" s="328">
        <f>C23-C34</f>
        <v>0</v>
      </c>
      <c r="D35" s="328">
        <f>D23-D34</f>
        <v>0</v>
      </c>
      <c r="E35" s="254" t="s">
        <v>213</v>
      </c>
      <c r="G35" s="611" t="str">
        <f>summ!E26</f>
        <v xml:space="preserve">  </v>
      </c>
      <c r="H35" s="586" t="str">
        <f>CONCATENATE("",E1-1," Fund Mill Rate")</f>
        <v>2019 Fund Mill Rate</v>
      </c>
      <c r="I35" s="608"/>
      <c r="J35" s="609"/>
      <c r="K35" s="535"/>
    </row>
    <row r="36" spans="2:11" x14ac:dyDescent="0.25">
      <c r="B36" s="92" t="str">
        <f>CONCATENATE("",E1-2,"/",E1-1,"/",E1," Budget Authority Amount:")</f>
        <v>2018/2019/2020 Budget Authority Amount:</v>
      </c>
      <c r="C36" s="673">
        <f>inputOth!$B97</f>
        <v>0</v>
      </c>
      <c r="D36" s="673">
        <f>inputPrYr!$D31</f>
        <v>0</v>
      </c>
      <c r="E36" s="205">
        <f>E34</f>
        <v>0</v>
      </c>
      <c r="F36" s="263"/>
      <c r="G36" s="613">
        <f>summ!H36</f>
        <v>1.8420000000000001</v>
      </c>
      <c r="H36" s="586" t="str">
        <f>CONCATENATE("Total ",E1," Mill Rate")</f>
        <v>Total 2020 Mill Rate</v>
      </c>
      <c r="I36" s="608"/>
      <c r="J36" s="609"/>
      <c r="K36" s="535"/>
    </row>
    <row r="37" spans="2:11" x14ac:dyDescent="0.25">
      <c r="B37" s="93"/>
      <c r="C37" s="911" t="s">
        <v>634</v>
      </c>
      <c r="D37" s="912"/>
      <c r="E37" s="137"/>
      <c r="F37" s="651" t="str">
        <f>IF(E34/0.95-E34&lt;E37,"Exceeds 5%","")</f>
        <v/>
      </c>
      <c r="G37" s="611">
        <f>summ!E36</f>
        <v>1.861</v>
      </c>
      <c r="H37" s="614" t="str">
        <f>CONCATENATE("Total ",E1-1," Mill Rate")</f>
        <v>Total 2019 Mill Rate</v>
      </c>
      <c r="I37" s="615"/>
      <c r="J37" s="616"/>
      <c r="K37" s="535"/>
    </row>
    <row r="38" spans="2:11" x14ac:dyDescent="0.25">
      <c r="B38" s="428" t="str">
        <f>CONCATENATE(C92,"     ",D92)</f>
        <v xml:space="preserve">     </v>
      </c>
      <c r="C38" s="913" t="s">
        <v>635</v>
      </c>
      <c r="D38" s="914"/>
      <c r="E38" s="205">
        <f>E34+E37</f>
        <v>0</v>
      </c>
      <c r="G38" s="535"/>
      <c r="H38" s="535"/>
      <c r="I38" s="535"/>
      <c r="J38" s="535"/>
      <c r="K38" s="535"/>
    </row>
    <row r="39" spans="2:11" x14ac:dyDescent="0.25">
      <c r="B39" s="428" t="str">
        <f>CONCATENATE(C93,"     ",D93)</f>
        <v xml:space="preserve">     </v>
      </c>
      <c r="C39" s="431"/>
      <c r="D39" s="430" t="s">
        <v>242</v>
      </c>
      <c r="E39" s="148">
        <f>IF(E38-E23&gt;0,E38-E23,0)</f>
        <v>0</v>
      </c>
      <c r="G39" s="781" t="s">
        <v>846</v>
      </c>
      <c r="H39" s="777"/>
      <c r="I39" s="776"/>
      <c r="J39" s="775" t="str">
        <f>cert!F41</f>
        <v>No</v>
      </c>
      <c r="K39" s="535"/>
    </row>
    <row r="40" spans="2:11" x14ac:dyDescent="0.25">
      <c r="B40" s="170"/>
      <c r="C40" s="429" t="s">
        <v>636</v>
      </c>
      <c r="D40" s="635">
        <f>inputOth!$E$83</f>
        <v>0</v>
      </c>
      <c r="E40" s="205">
        <f>ROUND(IF(D40&gt;0,(E39*D40),0),0)</f>
        <v>0</v>
      </c>
      <c r="G40" s="767" t="str">
        <f>CONCATENATE("Computed ",E1," tax levy limit amount")</f>
        <v>Computed 2020 tax levy limit amount</v>
      </c>
      <c r="H40" s="766"/>
      <c r="I40" s="766"/>
      <c r="J40" s="765">
        <f>computation!J41</f>
        <v>3075</v>
      </c>
      <c r="K40" s="535"/>
    </row>
    <row r="41" spans="2:11" x14ac:dyDescent="0.25">
      <c r="B41" s="43"/>
      <c r="C41" s="915" t="str">
        <f>CONCATENATE("Amount of  ",$E$1-1," Ad Valorem Tax")</f>
        <v>Amount of  2019 Ad Valorem Tax</v>
      </c>
      <c r="D41" s="916"/>
      <c r="E41" s="148">
        <f>E39+E40</f>
        <v>0</v>
      </c>
      <c r="G41" s="764" t="str">
        <f>CONCATENATE("Total ",E1," tax levy amount")</f>
        <v>Total 2020 tax levy amount</v>
      </c>
      <c r="H41" s="763"/>
      <c r="I41" s="763"/>
      <c r="J41" s="762">
        <f>summ!G36</f>
        <v>3000</v>
      </c>
      <c r="K41" s="535"/>
    </row>
    <row r="42" spans="2:11" x14ac:dyDescent="0.25">
      <c r="B42" s="43"/>
      <c r="C42" s="486"/>
      <c r="D42" s="43"/>
      <c r="E42" s="43"/>
      <c r="G42" s="535"/>
      <c r="H42" s="535"/>
      <c r="I42" s="535"/>
      <c r="J42" s="535"/>
      <c r="K42" s="535"/>
    </row>
    <row r="43" spans="2:11" x14ac:dyDescent="0.25">
      <c r="B43" s="43"/>
      <c r="C43" s="486"/>
      <c r="D43" s="43"/>
      <c r="E43" s="43"/>
      <c r="G43" s="535"/>
      <c r="H43" s="535"/>
      <c r="I43" s="535"/>
      <c r="J43" s="535"/>
      <c r="K43" s="535"/>
    </row>
    <row r="44" spans="2:11" x14ac:dyDescent="0.25">
      <c r="B44" s="50" t="s">
        <v>224</v>
      </c>
      <c r="C44" s="48"/>
      <c r="D44" s="48"/>
      <c r="E44" s="48"/>
      <c r="G44" s="535"/>
      <c r="H44" s="535"/>
      <c r="I44" s="535"/>
      <c r="J44" s="535"/>
      <c r="K44" s="535"/>
    </row>
    <row r="45" spans="2:11" x14ac:dyDescent="0.25">
      <c r="B45" s="43"/>
      <c r="C45" s="322" t="s">
        <v>225</v>
      </c>
      <c r="D45" s="325" t="s">
        <v>226</v>
      </c>
      <c r="E45" s="52" t="s">
        <v>227</v>
      </c>
      <c r="G45" s="535"/>
      <c r="H45" s="535"/>
      <c r="I45" s="535"/>
      <c r="J45" s="535"/>
      <c r="K45" s="535"/>
    </row>
    <row r="46" spans="2:11" x14ac:dyDescent="0.25">
      <c r="B46" s="414">
        <f>inputPrYr!B32</f>
        <v>0</v>
      </c>
      <c r="C46" s="323" t="str">
        <f>C5</f>
        <v>Actual for 2018</v>
      </c>
      <c r="D46" s="323" t="str">
        <f>D5</f>
        <v>Estimate for 2019</v>
      </c>
      <c r="E46" s="57" t="str">
        <f>E5</f>
        <v>Year for 2020</v>
      </c>
      <c r="G46" s="535"/>
      <c r="H46" s="535"/>
      <c r="I46" s="535"/>
      <c r="J46" s="535"/>
      <c r="K46" s="535"/>
    </row>
    <row r="47" spans="2:11" x14ac:dyDescent="0.25">
      <c r="B47" s="58" t="s">
        <v>57</v>
      </c>
      <c r="C47" s="252"/>
      <c r="D47" s="324">
        <f>C76</f>
        <v>0</v>
      </c>
      <c r="E47" s="205">
        <f>D76</f>
        <v>0</v>
      </c>
      <c r="G47" s="535"/>
      <c r="H47" s="535"/>
      <c r="I47" s="535"/>
      <c r="J47" s="535"/>
      <c r="K47" s="535"/>
    </row>
    <row r="48" spans="2:11" x14ac:dyDescent="0.25">
      <c r="B48" s="58" t="s">
        <v>59</v>
      </c>
      <c r="C48" s="324"/>
      <c r="D48" s="324"/>
      <c r="E48" s="254"/>
      <c r="G48" s="535"/>
      <c r="H48" s="535"/>
      <c r="I48" s="535"/>
      <c r="J48" s="535"/>
      <c r="K48" s="535"/>
    </row>
    <row r="49" spans="2:11" x14ac:dyDescent="0.25">
      <c r="B49" s="58" t="s">
        <v>230</v>
      </c>
      <c r="C49" s="252"/>
      <c r="D49" s="324">
        <f>IF(inputPrYr!H22&gt;0,inputPrYr!G32,inputPrYr!E32)</f>
        <v>0</v>
      </c>
      <c r="E49" s="254" t="s">
        <v>213</v>
      </c>
      <c r="G49" s="535"/>
      <c r="H49" s="535"/>
      <c r="I49" s="535"/>
      <c r="J49" s="535"/>
      <c r="K49" s="535"/>
    </row>
    <row r="50" spans="2:11" x14ac:dyDescent="0.25">
      <c r="B50" s="58" t="s">
        <v>231</v>
      </c>
      <c r="C50" s="252"/>
      <c r="D50" s="252"/>
      <c r="E50" s="137"/>
      <c r="G50" s="535"/>
      <c r="H50" s="535"/>
      <c r="I50" s="535"/>
      <c r="J50" s="535"/>
      <c r="K50" s="535"/>
    </row>
    <row r="51" spans="2:11" x14ac:dyDescent="0.25">
      <c r="B51" s="58" t="s">
        <v>232</v>
      </c>
      <c r="C51" s="252"/>
      <c r="D51" s="252"/>
      <c r="E51" s="205">
        <f>mvalloc!D20+mvalloc!E20</f>
        <v>0</v>
      </c>
      <c r="G51" s="535"/>
      <c r="H51" s="535"/>
      <c r="I51" s="535"/>
      <c r="J51" s="535"/>
      <c r="K51" s="535"/>
    </row>
    <row r="52" spans="2:11" x14ac:dyDescent="0.25">
      <c r="B52" s="58" t="s">
        <v>233</v>
      </c>
      <c r="C52" s="252"/>
      <c r="D52" s="252"/>
      <c r="E52" s="205">
        <f>mvalloc!F20+mvalloc!G20</f>
        <v>0</v>
      </c>
      <c r="G52" s="535"/>
      <c r="H52" s="535"/>
      <c r="I52" s="535"/>
      <c r="J52" s="535"/>
      <c r="K52" s="535"/>
    </row>
    <row r="53" spans="2:11" x14ac:dyDescent="0.25">
      <c r="B53" s="58" t="s">
        <v>47</v>
      </c>
      <c r="C53" s="252"/>
      <c r="D53" s="252"/>
      <c r="E53" s="205">
        <f>mvalloc!H20+mvalloc!I20</f>
        <v>0</v>
      </c>
      <c r="G53" s="535"/>
      <c r="H53" s="535"/>
      <c r="I53" s="535"/>
      <c r="J53" s="535"/>
      <c r="K53" s="535"/>
    </row>
    <row r="54" spans="2:11" x14ac:dyDescent="0.25">
      <c r="B54" s="742" t="s">
        <v>824</v>
      </c>
      <c r="C54" s="252"/>
      <c r="D54" s="252"/>
      <c r="E54" s="205">
        <f>mvalloc!J20+mvalloc!K20</f>
        <v>0</v>
      </c>
      <c r="G54" s="535"/>
      <c r="H54" s="535"/>
      <c r="I54" s="535"/>
      <c r="J54" s="535"/>
      <c r="K54" s="535"/>
    </row>
    <row r="55" spans="2:11" x14ac:dyDescent="0.25">
      <c r="B55" s="742" t="s">
        <v>825</v>
      </c>
      <c r="C55" s="252"/>
      <c r="D55" s="252"/>
      <c r="E55" s="205">
        <f>mvalloc!L20+mvalloc!M20</f>
        <v>0</v>
      </c>
      <c r="G55" s="535"/>
      <c r="H55" s="535"/>
      <c r="I55" s="535"/>
      <c r="J55" s="535"/>
      <c r="K55" s="535"/>
    </row>
    <row r="56" spans="2:11" x14ac:dyDescent="0.25">
      <c r="B56" s="256"/>
      <c r="C56" s="252"/>
      <c r="D56" s="252"/>
      <c r="E56" s="137"/>
      <c r="G56" s="928" t="str">
        <f>CONCATENATE("Desired Carryover Into ",E1+1,"")</f>
        <v>Desired Carryover Into 2021</v>
      </c>
      <c r="H56" s="929"/>
      <c r="I56" s="929"/>
      <c r="J56" s="930"/>
      <c r="K56" s="535"/>
    </row>
    <row r="57" spans="2:11" x14ac:dyDescent="0.25">
      <c r="B57" s="256"/>
      <c r="C57" s="252"/>
      <c r="D57" s="252"/>
      <c r="E57" s="137"/>
      <c r="G57" s="567"/>
      <c r="H57" s="568"/>
      <c r="I57" s="569"/>
      <c r="J57" s="570"/>
      <c r="K57" s="535"/>
    </row>
    <row r="58" spans="2:11" x14ac:dyDescent="0.25">
      <c r="B58" s="257"/>
      <c r="C58" s="252"/>
      <c r="D58" s="252"/>
      <c r="E58" s="137"/>
      <c r="G58" s="571" t="s">
        <v>640</v>
      </c>
      <c r="H58" s="569"/>
      <c r="I58" s="569"/>
      <c r="J58" s="572">
        <v>0</v>
      </c>
      <c r="K58" s="535"/>
    </row>
    <row r="59" spans="2:11" x14ac:dyDescent="0.25">
      <c r="B59" s="257" t="s">
        <v>236</v>
      </c>
      <c r="C59" s="252"/>
      <c r="D59" s="252"/>
      <c r="E59" s="137"/>
      <c r="G59" s="567" t="s">
        <v>641</v>
      </c>
      <c r="H59" s="568"/>
      <c r="I59" s="568"/>
      <c r="J59" s="573" t="str">
        <f>IF(J58=0,"",ROUND((J58+E82-G71)/inputOth!E11*1000,3)-G76)</f>
        <v/>
      </c>
      <c r="K59" s="535"/>
    </row>
    <row r="60" spans="2:11" x14ac:dyDescent="0.25">
      <c r="B60" s="255" t="s">
        <v>188</v>
      </c>
      <c r="C60" s="252"/>
      <c r="D60" s="252"/>
      <c r="E60" s="148">
        <f>nhood!E15*-1</f>
        <v>0</v>
      </c>
      <c r="G60" s="574" t="str">
        <f>CONCATENATE("",E1," Tot Exp/Non-Appr Must Be:")</f>
        <v>2020 Tot Exp/Non-Appr Must Be:</v>
      </c>
      <c r="H60" s="575"/>
      <c r="I60" s="576"/>
      <c r="J60" s="577">
        <f>IF(J58&gt;0,IF(E79&lt;E64,IF(J58=G71,E79,((J58-G71)*(1-D81))+E64),E79+(J58-G71)),0)</f>
        <v>0</v>
      </c>
      <c r="K60" s="535"/>
    </row>
    <row r="61" spans="2:11" x14ac:dyDescent="0.25">
      <c r="B61" s="258" t="s">
        <v>186</v>
      </c>
      <c r="C61" s="252"/>
      <c r="D61" s="252"/>
      <c r="E61" s="137"/>
      <c r="G61" s="578" t="s">
        <v>741</v>
      </c>
      <c r="H61" s="579"/>
      <c r="I61" s="579"/>
      <c r="J61" s="580">
        <f>IF(J58&gt;0,J60-E79,0)</f>
        <v>0</v>
      </c>
      <c r="K61" s="535"/>
    </row>
    <row r="62" spans="2:11" x14ac:dyDescent="0.25">
      <c r="B62" s="258" t="s">
        <v>187</v>
      </c>
      <c r="C62" s="326" t="str">
        <f>IF(C63*0.1&lt;C61,"Exceed 10% Rule","")</f>
        <v/>
      </c>
      <c r="D62" s="326" t="str">
        <f>IF(D63*0.1&lt;D61,"Exceed 10% Rule","")</f>
        <v/>
      </c>
      <c r="E62" s="262" t="str">
        <f>IF(E63*0.1+E82&lt;E61,"Exceed 10% Rule","")</f>
        <v/>
      </c>
      <c r="G62" s="535"/>
      <c r="H62" s="535"/>
      <c r="I62" s="535"/>
      <c r="J62" s="535"/>
      <c r="K62" s="535"/>
    </row>
    <row r="63" spans="2:11" x14ac:dyDescent="0.25">
      <c r="B63" s="260" t="s">
        <v>237</v>
      </c>
      <c r="C63" s="327">
        <f>SUM(C49:C61)</f>
        <v>0</v>
      </c>
      <c r="D63" s="327">
        <f>SUM(D49:D61)</f>
        <v>0</v>
      </c>
      <c r="E63" s="261">
        <f>SUM(E49:E61)</f>
        <v>0</v>
      </c>
      <c r="G63" s="928" t="str">
        <f>CONCATENATE("Projected Carryover Into ",E1+1,"")</f>
        <v>Projected Carryover Into 2021</v>
      </c>
      <c r="H63" s="933"/>
      <c r="I63" s="933"/>
      <c r="J63" s="932"/>
      <c r="K63" s="535"/>
    </row>
    <row r="64" spans="2:11" x14ac:dyDescent="0.25">
      <c r="B64" s="76" t="s">
        <v>238</v>
      </c>
      <c r="C64" s="327">
        <f>C63+C47</f>
        <v>0</v>
      </c>
      <c r="D64" s="327">
        <f>D63+D47</f>
        <v>0</v>
      </c>
      <c r="E64" s="261">
        <f>E63+E47</f>
        <v>0</v>
      </c>
      <c r="G64" s="619"/>
      <c r="H64" s="568"/>
      <c r="I64" s="568"/>
      <c r="J64" s="620"/>
      <c r="K64" s="535"/>
    </row>
    <row r="65" spans="2:11" x14ac:dyDescent="0.25">
      <c r="B65" s="58" t="s">
        <v>239</v>
      </c>
      <c r="C65" s="324"/>
      <c r="D65" s="324"/>
      <c r="E65" s="205"/>
      <c r="G65" s="585">
        <f>D76</f>
        <v>0</v>
      </c>
      <c r="H65" s="586" t="str">
        <f>CONCATENATE("",E1-1," Ending Cash Balance (est.)")</f>
        <v>2019 Ending Cash Balance (est.)</v>
      </c>
      <c r="I65" s="587"/>
      <c r="J65" s="620"/>
      <c r="K65" s="535"/>
    </row>
    <row r="66" spans="2:11" x14ac:dyDescent="0.25">
      <c r="B66" s="257"/>
      <c r="C66" s="252"/>
      <c r="D66" s="252"/>
      <c r="E66" s="137"/>
      <c r="G66" s="585">
        <f>E63</f>
        <v>0</v>
      </c>
      <c r="H66" s="569" t="str">
        <f>CONCATENATE("",E1," Non-AV Receipts (est.)")</f>
        <v>2020 Non-AV Receipts (est.)</v>
      </c>
      <c r="I66" s="587"/>
      <c r="J66" s="620"/>
      <c r="K66" s="535"/>
    </row>
    <row r="67" spans="2:11" x14ac:dyDescent="0.25">
      <c r="B67" s="257"/>
      <c r="C67" s="252"/>
      <c r="D67" s="252"/>
      <c r="E67" s="137"/>
      <c r="G67" s="592">
        <f>IF(E81&gt;0,E80,E82)</f>
        <v>0</v>
      </c>
      <c r="H67" s="569" t="str">
        <f>CONCATENATE("",E1," Ad Valorem Tax (est.)")</f>
        <v>2020 Ad Valorem Tax (est.)</v>
      </c>
      <c r="I67" s="569"/>
      <c r="J67" s="620"/>
      <c r="K67" s="593" t="str">
        <f>IF(G67=E82,"","Note: Does not include Delinquent Taxes")</f>
        <v/>
      </c>
    </row>
    <row r="68" spans="2:11" x14ac:dyDescent="0.25">
      <c r="B68" s="257"/>
      <c r="C68" s="252"/>
      <c r="D68" s="252"/>
      <c r="E68" s="137"/>
      <c r="G68" s="622">
        <f>SUM(G65:G67)</f>
        <v>0</v>
      </c>
      <c r="H68" s="569" t="str">
        <f>CONCATENATE("Total ",E1," Resources Available")</f>
        <v>Total 2020 Resources Available</v>
      </c>
      <c r="I68" s="623"/>
      <c r="J68" s="620"/>
      <c r="K68" s="535"/>
    </row>
    <row r="69" spans="2:11" x14ac:dyDescent="0.25">
      <c r="B69" s="257"/>
      <c r="C69" s="252"/>
      <c r="D69" s="252"/>
      <c r="E69" s="137"/>
      <c r="G69" s="624"/>
      <c r="H69" s="625"/>
      <c r="I69" s="568"/>
      <c r="J69" s="620"/>
      <c r="K69" s="535"/>
    </row>
    <row r="70" spans="2:11" x14ac:dyDescent="0.25">
      <c r="B70" s="257"/>
      <c r="C70" s="252"/>
      <c r="D70" s="252"/>
      <c r="E70" s="137"/>
      <c r="G70" s="592">
        <f>ROUND(C75*0.05+C75,0)</f>
        <v>0</v>
      </c>
      <c r="H70" s="569" t="str">
        <f>CONCATENATE("Less ",E1-2," Expenditures + 5%")</f>
        <v>Less 2018 Expenditures + 5%</v>
      </c>
      <c r="I70" s="623"/>
      <c r="J70" s="620"/>
      <c r="K70" s="535"/>
    </row>
    <row r="71" spans="2:11" x14ac:dyDescent="0.25">
      <c r="B71" s="257"/>
      <c r="C71" s="252"/>
      <c r="D71" s="252"/>
      <c r="E71" s="137"/>
      <c r="G71" s="600">
        <f>G68-G70</f>
        <v>0</v>
      </c>
      <c r="H71" s="601" t="str">
        <f>CONCATENATE("Projected ",E1+1," carryover (est.)")</f>
        <v>Projected 2021 carryover (est.)</v>
      </c>
      <c r="I71" s="626"/>
      <c r="J71" s="627"/>
      <c r="K71" s="535"/>
    </row>
    <row r="72" spans="2:11" x14ac:dyDescent="0.25">
      <c r="B72" s="255" t="str">
        <f>CONCATENATE("Cash Forward (",E1," column)")</f>
        <v>Cash Forward (2020 column)</v>
      </c>
      <c r="C72" s="252"/>
      <c r="D72" s="252"/>
      <c r="E72" s="137"/>
      <c r="G72" s="535"/>
      <c r="H72" s="535"/>
      <c r="I72" s="535"/>
      <c r="J72" s="535"/>
      <c r="K72" s="535"/>
    </row>
    <row r="73" spans="2:11" x14ac:dyDescent="0.25">
      <c r="B73" s="255" t="s">
        <v>186</v>
      </c>
      <c r="C73" s="252"/>
      <c r="D73" s="252"/>
      <c r="E73" s="137"/>
      <c r="G73" s="925" t="s">
        <v>742</v>
      </c>
      <c r="H73" s="926"/>
      <c r="I73" s="926"/>
      <c r="J73" s="927"/>
      <c r="K73" s="535"/>
    </row>
    <row r="74" spans="2:11" x14ac:dyDescent="0.25">
      <c r="B74" s="255" t="s">
        <v>637</v>
      </c>
      <c r="C74" s="326" t="str">
        <f>IF(C75*0.1&lt;C73,"Exceed 10% Rule","")</f>
        <v/>
      </c>
      <c r="D74" s="326" t="str">
        <f>IF(D75*0.1&lt;D73,"Exceed 10% Rule","")</f>
        <v/>
      </c>
      <c r="E74" s="262" t="str">
        <f>IF(E75*0.1&lt;E73,"Exceed 10% Rule","")</f>
        <v/>
      </c>
      <c r="G74" s="607"/>
      <c r="H74" s="586"/>
      <c r="I74" s="608"/>
      <c r="J74" s="609"/>
      <c r="K74" s="535"/>
    </row>
    <row r="75" spans="2:11" x14ac:dyDescent="0.25">
      <c r="B75" s="76" t="s">
        <v>240</v>
      </c>
      <c r="C75" s="327">
        <f>SUM(C66:C73)</f>
        <v>0</v>
      </c>
      <c r="D75" s="327">
        <f>SUM(D66:D73)</f>
        <v>0</v>
      </c>
      <c r="E75" s="261">
        <f>SUM(E66:E73)</f>
        <v>0</v>
      </c>
      <c r="G75" s="610" t="str">
        <f>summ!H27</f>
        <v xml:space="preserve"> </v>
      </c>
      <c r="H75" s="586" t="str">
        <f>CONCATENATE("",E1," Fund Mill Rate")</f>
        <v>2020 Fund Mill Rate</v>
      </c>
      <c r="I75" s="608"/>
      <c r="J75" s="609"/>
      <c r="K75" s="535"/>
    </row>
    <row r="76" spans="2:11" x14ac:dyDescent="0.25">
      <c r="B76" s="58" t="s">
        <v>58</v>
      </c>
      <c r="C76" s="328">
        <f>C64-C75</f>
        <v>0</v>
      </c>
      <c r="D76" s="328">
        <f>D64-D75</f>
        <v>0</v>
      </c>
      <c r="E76" s="254" t="s">
        <v>213</v>
      </c>
      <c r="G76" s="611" t="str">
        <f>summ!E27</f>
        <v xml:space="preserve">  </v>
      </c>
      <c r="H76" s="586" t="str">
        <f>CONCATENATE("",E1-1," Fund Mill Rate")</f>
        <v>2019 Fund Mill Rate</v>
      </c>
      <c r="I76" s="608"/>
      <c r="J76" s="609"/>
      <c r="K76" s="535"/>
    </row>
    <row r="77" spans="2:11" x14ac:dyDescent="0.25">
      <c r="B77" s="92" t="str">
        <f>CONCATENATE("",E1-2,"/",E1-1,"/",E1," Budget Authority Amount:")</f>
        <v>2018/2019/2020 Budget Authority Amount:</v>
      </c>
      <c r="C77" s="673">
        <f>inputOth!$B98</f>
        <v>0</v>
      </c>
      <c r="D77" s="673">
        <f>inputPrYr!$D32</f>
        <v>0</v>
      </c>
      <c r="E77" s="205">
        <f>E75</f>
        <v>0</v>
      </c>
      <c r="F77" s="263"/>
      <c r="G77" s="613">
        <f>summ!H36</f>
        <v>1.8420000000000001</v>
      </c>
      <c r="H77" s="586" t="str">
        <f>CONCATENATE("Total ",E1," Mill Rate")</f>
        <v>Total 2020 Mill Rate</v>
      </c>
      <c r="I77" s="608"/>
      <c r="J77" s="609"/>
      <c r="K77" s="535"/>
    </row>
    <row r="78" spans="2:11" x14ac:dyDescent="0.25">
      <c r="B78" s="93"/>
      <c r="C78" s="911" t="s">
        <v>634</v>
      </c>
      <c r="D78" s="912"/>
      <c r="E78" s="137"/>
      <c r="F78" s="651" t="str">
        <f>IF(E75/0.95-E75&lt;E78,"Exceeds 5%","")</f>
        <v/>
      </c>
      <c r="G78" s="611">
        <f>summ!E36</f>
        <v>1.861</v>
      </c>
      <c r="H78" s="614" t="str">
        <f>CONCATENATE("Total ",E1-1," Mill Rate")</f>
        <v>Total 2019 Mill Rate</v>
      </c>
      <c r="I78" s="615"/>
      <c r="J78" s="616"/>
      <c r="K78" s="535"/>
    </row>
    <row r="79" spans="2:11" x14ac:dyDescent="0.25">
      <c r="B79" s="428" t="str">
        <f>CONCATENATE(C94,"     ",D94)</f>
        <v xml:space="preserve">     </v>
      </c>
      <c r="C79" s="913" t="s">
        <v>635</v>
      </c>
      <c r="D79" s="914"/>
      <c r="E79" s="205">
        <f>E75+E78</f>
        <v>0</v>
      </c>
    </row>
    <row r="80" spans="2:11" x14ac:dyDescent="0.25">
      <c r="B80" s="428" t="str">
        <f>CONCATENATE(C95,"     ",D95)</f>
        <v xml:space="preserve">     </v>
      </c>
      <c r="C80" s="431"/>
      <c r="D80" s="430" t="s">
        <v>242</v>
      </c>
      <c r="E80" s="148">
        <f>IF(E79-E64&gt;0,E79-E64,0)</f>
        <v>0</v>
      </c>
      <c r="G80" s="781" t="s">
        <v>846</v>
      </c>
      <c r="H80" s="777"/>
      <c r="I80" s="776"/>
      <c r="J80" s="775" t="str">
        <f>cert!F41</f>
        <v>No</v>
      </c>
    </row>
    <row r="81" spans="2:10" x14ac:dyDescent="0.25">
      <c r="B81" s="170"/>
      <c r="C81" s="429" t="s">
        <v>636</v>
      </c>
      <c r="D81" s="635">
        <f>inputOth!$E$83</f>
        <v>0</v>
      </c>
      <c r="E81" s="205">
        <f>ROUND(IF(D81&gt;0,(E80*D81),0),0)</f>
        <v>0</v>
      </c>
      <c r="G81" s="774" t="str">
        <f>CONCATENATE("Computed ",E1," tax levy limit amount")</f>
        <v>Computed 2020 tax levy limit amount</v>
      </c>
      <c r="H81" s="773"/>
      <c r="I81" s="773"/>
      <c r="J81" s="772">
        <f>computation!J41</f>
        <v>3075</v>
      </c>
    </row>
    <row r="82" spans="2:10" x14ac:dyDescent="0.25">
      <c r="B82" s="43"/>
      <c r="C82" s="915" t="str">
        <f>CONCATENATE("Amount of  ",$E$1-1," Ad Valorem Tax")</f>
        <v>Amount of  2019 Ad Valorem Tax</v>
      </c>
      <c r="D82" s="916"/>
      <c r="E82" s="148">
        <f>E80+E81</f>
        <v>0</v>
      </c>
      <c r="G82" s="771" t="str">
        <f>CONCATENATE("Total ",E1," tax levy amount")</f>
        <v>Total 2020 tax levy amount</v>
      </c>
      <c r="H82" s="770"/>
      <c r="I82" s="770"/>
      <c r="J82" s="769">
        <f>summ!G36</f>
        <v>3000</v>
      </c>
    </row>
    <row r="83" spans="2:10" x14ac:dyDescent="0.25">
      <c r="B83" s="43"/>
      <c r="C83" s="486"/>
      <c r="D83" s="486"/>
      <c r="E83" s="486"/>
      <c r="G83" s="802"/>
      <c r="H83" s="773"/>
      <c r="I83" s="773"/>
      <c r="J83" s="803"/>
    </row>
    <row r="84" spans="2:10" x14ac:dyDescent="0.25">
      <c r="B84" s="790" t="s">
        <v>987</v>
      </c>
      <c r="C84" s="804"/>
      <c r="D84" s="804"/>
      <c r="E84" s="805"/>
      <c r="G84" s="802"/>
      <c r="H84" s="773"/>
      <c r="I84" s="773"/>
      <c r="J84" s="803"/>
    </row>
    <row r="85" spans="2:10" x14ac:dyDescent="0.25">
      <c r="B85" s="432"/>
      <c r="C85" s="486"/>
      <c r="D85" s="486"/>
      <c r="E85" s="806"/>
      <c r="G85" s="802"/>
      <c r="H85" s="773"/>
      <c r="I85" s="773"/>
      <c r="J85" s="803"/>
    </row>
    <row r="86" spans="2:10" x14ac:dyDescent="0.25">
      <c r="B86" s="793"/>
      <c r="C86" s="807"/>
      <c r="D86" s="807"/>
      <c r="E86" s="808"/>
      <c r="G86" s="802"/>
      <c r="H86" s="773"/>
      <c r="I86" s="773"/>
      <c r="J86" s="803"/>
    </row>
    <row r="87" spans="2:10" x14ac:dyDescent="0.25">
      <c r="B87" s="43"/>
      <c r="C87" s="486"/>
      <c r="D87" s="486"/>
      <c r="E87" s="486"/>
      <c r="G87" s="802"/>
      <c r="H87" s="773"/>
      <c r="I87" s="773"/>
      <c r="J87" s="803"/>
    </row>
    <row r="88" spans="2:10" x14ac:dyDescent="0.25">
      <c r="B88" s="170" t="s">
        <v>223</v>
      </c>
      <c r="C88" s="708"/>
      <c r="D88" s="43"/>
      <c r="E88" s="43"/>
    </row>
    <row r="89" spans="2:10" x14ac:dyDescent="0.25">
      <c r="B89" s="89"/>
    </row>
    <row r="92" spans="2:10" hidden="1" x14ac:dyDescent="0.25">
      <c r="C92" s="129" t="str">
        <f>IF(C34&gt;C36,"See Tab A","")</f>
        <v/>
      </c>
      <c r="D92" s="129" t="str">
        <f>IF(D34&gt;D36,"See Tab C","")</f>
        <v/>
      </c>
    </row>
    <row r="93" spans="2:10" hidden="1" x14ac:dyDescent="0.25">
      <c r="C93" s="129" t="str">
        <f>IF(C35&lt;0,"See Tab B","")</f>
        <v/>
      </c>
      <c r="D93" s="129" t="str">
        <f>IF(D35&lt;0,"See Tab D","")</f>
        <v/>
      </c>
    </row>
    <row r="94" spans="2:10" hidden="1" x14ac:dyDescent="0.25">
      <c r="C94" s="129" t="str">
        <f>IF(C75&gt;C77,"See Tab A","")</f>
        <v/>
      </c>
      <c r="D94" s="129" t="str">
        <f>IF(D75&gt;D77,"See Tab C","")</f>
        <v/>
      </c>
    </row>
    <row r="95" spans="2:10" hidden="1" x14ac:dyDescent="0.25">
      <c r="C95" s="129" t="str">
        <f>IF(C76&lt;0,"See Tab B","")</f>
        <v/>
      </c>
      <c r="D95" s="129" t="str">
        <f>IF(D76&lt;0,"See Tab D","")</f>
        <v/>
      </c>
    </row>
  </sheetData>
  <sheetProtection sheet="1"/>
  <mergeCells count="12">
    <mergeCell ref="C82:D82"/>
    <mergeCell ref="C41:D41"/>
    <mergeCell ref="G73:J73"/>
    <mergeCell ref="C37:D37"/>
    <mergeCell ref="C38:D38"/>
    <mergeCell ref="C78:D78"/>
    <mergeCell ref="C79:D79"/>
    <mergeCell ref="G15:J15"/>
    <mergeCell ref="G22:J22"/>
    <mergeCell ref="G32:J32"/>
    <mergeCell ref="G56:J56"/>
    <mergeCell ref="G63:J63"/>
  </mergeCells>
  <phoneticPr fontId="0" type="noConversion"/>
  <conditionalFormatting sqref="C73">
    <cfRule type="cellIs" dxfId="83" priority="3" stopIfTrue="1" operator="greaterThan">
      <formula>$C$75*0.1</formula>
    </cfRule>
  </conditionalFormatting>
  <conditionalFormatting sqref="D73">
    <cfRule type="cellIs" dxfId="82" priority="4" stopIfTrue="1" operator="greaterThan">
      <formula>$D$75*0.1</formula>
    </cfRule>
  </conditionalFormatting>
  <conditionalFormatting sqref="E73">
    <cfRule type="cellIs" dxfId="81" priority="5" stopIfTrue="1" operator="greaterThan">
      <formula>$E$75*0.1</formula>
    </cfRule>
  </conditionalFormatting>
  <conditionalFormatting sqref="C61">
    <cfRule type="cellIs" dxfId="80" priority="6" stopIfTrue="1" operator="greaterThan">
      <formula>$C$63*0.1</formula>
    </cfRule>
  </conditionalFormatting>
  <conditionalFormatting sqref="D61">
    <cfRule type="cellIs" dxfId="79" priority="7" stopIfTrue="1" operator="greaterThan">
      <formula>$D$63*0.1</formula>
    </cfRule>
  </conditionalFormatting>
  <conditionalFormatting sqref="E78">
    <cfRule type="cellIs" dxfId="78" priority="8" stopIfTrue="1" operator="greaterThan">
      <formula>$E$75/0.95-$E$75</formula>
    </cfRule>
  </conditionalFormatting>
  <conditionalFormatting sqref="C32">
    <cfRule type="cellIs" dxfId="77" priority="9" stopIfTrue="1" operator="greaterThan">
      <formula>$C$34*0.1</formula>
    </cfRule>
  </conditionalFormatting>
  <conditionalFormatting sqref="D32">
    <cfRule type="cellIs" dxfId="76" priority="10" stopIfTrue="1" operator="greaterThan">
      <formula>$D$34*0.1</formula>
    </cfRule>
  </conditionalFormatting>
  <conditionalFormatting sqref="E32">
    <cfRule type="cellIs" dxfId="75" priority="11" stopIfTrue="1" operator="greaterThan">
      <formula>$E$34*0.1</formula>
    </cfRule>
  </conditionalFormatting>
  <conditionalFormatting sqref="C20">
    <cfRule type="cellIs" dxfId="74" priority="12" stopIfTrue="1" operator="greaterThan">
      <formula>$C$22*0.1</formula>
    </cfRule>
  </conditionalFormatting>
  <conditionalFormatting sqref="D20">
    <cfRule type="cellIs" dxfId="73" priority="13" stopIfTrue="1" operator="greaterThan">
      <formula>$D$22*0.1</formula>
    </cfRule>
  </conditionalFormatting>
  <conditionalFormatting sqref="E37">
    <cfRule type="cellIs" dxfId="72" priority="14" stopIfTrue="1" operator="greaterThan">
      <formula>$E$34/0.95-$E$34</formula>
    </cfRule>
  </conditionalFormatting>
  <conditionalFormatting sqref="C76 C35">
    <cfRule type="cellIs" dxfId="71" priority="15" stopIfTrue="1" operator="lessThan">
      <formula>0</formula>
    </cfRule>
  </conditionalFormatting>
  <conditionalFormatting sqref="C75">
    <cfRule type="cellIs" dxfId="70" priority="16" stopIfTrue="1" operator="greaterThan">
      <formula>$C$77</formula>
    </cfRule>
  </conditionalFormatting>
  <conditionalFormatting sqref="D75">
    <cfRule type="cellIs" dxfId="69" priority="17" stopIfTrue="1" operator="greaterThan">
      <formula>$D$77</formula>
    </cfRule>
  </conditionalFormatting>
  <conditionalFormatting sqref="C34">
    <cfRule type="cellIs" dxfId="68" priority="18" stopIfTrue="1" operator="greaterThan">
      <formula>$C$36</formula>
    </cfRule>
  </conditionalFormatting>
  <conditionalFormatting sqref="D34">
    <cfRule type="cellIs" dxfId="67" priority="19" stopIfTrue="1" operator="greaterThan">
      <formula>$D$36</formula>
    </cfRule>
  </conditionalFormatting>
  <conditionalFormatting sqref="D35 D76">
    <cfRule type="cellIs" dxfId="66" priority="2" stopIfTrue="1" operator="lessThan">
      <formula>0</formula>
    </cfRule>
  </conditionalFormatting>
  <conditionalFormatting sqref="E20">
    <cfRule type="cellIs" dxfId="65" priority="31" stopIfTrue="1" operator="greaterThan">
      <formula>$E$22*0.1+$E$41</formula>
    </cfRule>
  </conditionalFormatting>
  <conditionalFormatting sqref="E61">
    <cfRule type="cellIs" dxfId="64" priority="32" stopIfTrue="1" operator="greaterThan">
      <formula>$E$63*0.1+$E$82</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rgb="FF00B0F0"/>
    <pageSetUpPr fitToPage="1"/>
  </sheetPr>
  <dimension ref="B1:K96"/>
  <sheetViews>
    <sheetView zoomScaleNormal="100" workbookViewId="0">
      <selection activeCell="E90" sqref="E90"/>
    </sheetView>
  </sheetViews>
  <sheetFormatPr defaultColWidth="8.796875" defaultRowHeight="15.75" x14ac:dyDescent="0.25"/>
  <cols>
    <col min="1" max="1" width="2.3984375" style="129" customWidth="1"/>
    <col min="2" max="2" width="31" style="129" customWidth="1"/>
    <col min="3" max="4" width="15.69921875" style="129" customWidth="1"/>
    <col min="5" max="5" width="12.69921875" style="129" customWidth="1"/>
    <col min="6" max="6" width="7.296875" style="129" customWidth="1"/>
    <col min="7" max="7" width="9.19921875" style="129" customWidth="1"/>
    <col min="8" max="8" width="8.796875" style="129"/>
    <col min="9" max="9" width="4.5" style="129" customWidth="1"/>
    <col min="10" max="10" width="9" style="129" customWidth="1"/>
    <col min="11" max="16384" width="8.796875" style="129"/>
  </cols>
  <sheetData>
    <row r="1" spans="2:11" x14ac:dyDescent="0.25">
      <c r="B1" s="182" t="str">
        <f>inputPrYr!D4</f>
        <v>Scott Township</v>
      </c>
      <c r="C1" s="43"/>
      <c r="D1" s="43"/>
      <c r="E1" s="183">
        <f>inputPrYr!D10</f>
        <v>2020</v>
      </c>
    </row>
    <row r="2" spans="2:11" x14ac:dyDescent="0.25">
      <c r="B2" s="470" t="s">
        <v>654</v>
      </c>
      <c r="C2" s="43"/>
      <c r="D2" s="167"/>
      <c r="E2" s="45"/>
    </row>
    <row r="3" spans="2:11" x14ac:dyDescent="0.25">
      <c r="B3" s="43"/>
      <c r="C3" s="48"/>
      <c r="D3" s="48"/>
      <c r="E3" s="48"/>
    </row>
    <row r="4" spans="2:11" x14ac:dyDescent="0.25">
      <c r="B4" s="50" t="s">
        <v>224</v>
      </c>
      <c r="C4" s="322" t="s">
        <v>225</v>
      </c>
      <c r="D4" s="325" t="s">
        <v>226</v>
      </c>
      <c r="E4" s="52" t="s">
        <v>227</v>
      </c>
    </row>
    <row r="5" spans="2:11" x14ac:dyDescent="0.25">
      <c r="B5" s="413">
        <f>inputPrYr!B33</f>
        <v>0</v>
      </c>
      <c r="C5" s="323" t="str">
        <f>gen!C5</f>
        <v>Actual for 2018</v>
      </c>
      <c r="D5" s="323" t="str">
        <f>gen!D5</f>
        <v>Estimate for 2019</v>
      </c>
      <c r="E5" s="57" t="str">
        <f>gen!E5</f>
        <v>Year for 2020</v>
      </c>
    </row>
    <row r="6" spans="2:11" x14ac:dyDescent="0.25">
      <c r="B6" s="58" t="s">
        <v>57</v>
      </c>
      <c r="C6" s="252"/>
      <c r="D6" s="324">
        <f>C35</f>
        <v>0</v>
      </c>
      <c r="E6" s="205">
        <f>D35</f>
        <v>0</v>
      </c>
    </row>
    <row r="7" spans="2:11" x14ac:dyDescent="0.25">
      <c r="B7" s="58" t="s">
        <v>59</v>
      </c>
      <c r="C7" s="324"/>
      <c r="D7" s="324"/>
      <c r="E7" s="254"/>
    </row>
    <row r="8" spans="2:11" x14ac:dyDescent="0.25">
      <c r="B8" s="58" t="s">
        <v>230</v>
      </c>
      <c r="C8" s="252"/>
      <c r="D8" s="324">
        <f>IF(inputPrYr!H22&gt;0,inputPrYr!G33,inputPrYr!E33)</f>
        <v>0</v>
      </c>
      <c r="E8" s="254" t="s">
        <v>213</v>
      </c>
    </row>
    <row r="9" spans="2:11" x14ac:dyDescent="0.25">
      <c r="B9" s="58" t="s">
        <v>231</v>
      </c>
      <c r="C9" s="252"/>
      <c r="D9" s="252"/>
      <c r="E9" s="137"/>
    </row>
    <row r="10" spans="2:11" x14ac:dyDescent="0.25">
      <c r="B10" s="58" t="s">
        <v>232</v>
      </c>
      <c r="C10" s="252"/>
      <c r="D10" s="252"/>
      <c r="E10" s="205">
        <f>mvalloc!D21+mvalloc!E21</f>
        <v>0</v>
      </c>
    </row>
    <row r="11" spans="2:11" x14ac:dyDescent="0.25">
      <c r="B11" s="58" t="s">
        <v>233</v>
      </c>
      <c r="C11" s="252"/>
      <c r="D11" s="252"/>
      <c r="E11" s="205">
        <f>mvalloc!F21+mvalloc!G21</f>
        <v>0</v>
      </c>
    </row>
    <row r="12" spans="2:11" x14ac:dyDescent="0.25">
      <c r="B12" s="58" t="s">
        <v>47</v>
      </c>
      <c r="C12" s="252"/>
      <c r="D12" s="252"/>
      <c r="E12" s="205">
        <f>mvalloc!H21+mvalloc!I21</f>
        <v>0</v>
      </c>
    </row>
    <row r="13" spans="2:11" x14ac:dyDescent="0.25">
      <c r="B13" s="742" t="s">
        <v>824</v>
      </c>
      <c r="C13" s="252"/>
      <c r="D13" s="252"/>
      <c r="E13" s="205">
        <f>mvalloc!J21+mvalloc!K21</f>
        <v>0</v>
      </c>
    </row>
    <row r="14" spans="2:11" x14ac:dyDescent="0.25">
      <c r="B14" s="742" t="s">
        <v>825</v>
      </c>
      <c r="C14" s="252"/>
      <c r="D14" s="252"/>
      <c r="E14" s="205">
        <f>mvalloc!L21+mvalloc!M21</f>
        <v>0</v>
      </c>
    </row>
    <row r="15" spans="2:11" x14ac:dyDescent="0.25">
      <c r="B15" s="256"/>
      <c r="C15" s="252"/>
      <c r="D15" s="252"/>
      <c r="E15" s="137"/>
      <c r="G15" s="928" t="str">
        <f>CONCATENATE("Desired Carryover Into ",E1+1,"")</f>
        <v>Desired Carryover Into 2021</v>
      </c>
      <c r="H15" s="929"/>
      <c r="I15" s="929"/>
      <c r="J15" s="930"/>
      <c r="K15" s="535"/>
    </row>
    <row r="16" spans="2:11" x14ac:dyDescent="0.25">
      <c r="B16" s="256"/>
      <c r="C16" s="252"/>
      <c r="D16" s="252"/>
      <c r="E16" s="137"/>
      <c r="G16" s="567"/>
      <c r="H16" s="568"/>
      <c r="I16" s="569"/>
      <c r="J16" s="570"/>
      <c r="K16" s="535"/>
    </row>
    <row r="17" spans="2:11" x14ac:dyDescent="0.25">
      <c r="B17" s="257"/>
      <c r="C17" s="252"/>
      <c r="D17" s="252"/>
      <c r="E17" s="137"/>
      <c r="G17" s="571" t="s">
        <v>640</v>
      </c>
      <c r="H17" s="569"/>
      <c r="I17" s="569"/>
      <c r="J17" s="572">
        <v>0</v>
      </c>
      <c r="K17" s="535"/>
    </row>
    <row r="18" spans="2:11" x14ac:dyDescent="0.25">
      <c r="B18" s="257" t="s">
        <v>236</v>
      </c>
      <c r="C18" s="252"/>
      <c r="D18" s="252"/>
      <c r="E18" s="137"/>
      <c r="G18" s="567" t="s">
        <v>641</v>
      </c>
      <c r="H18" s="568"/>
      <c r="I18" s="568"/>
      <c r="J18" s="573" t="str">
        <f>IF(J17=0,"",ROUND((J17+E41-G30)/inputOth!E11*1000,3)-G35)</f>
        <v/>
      </c>
      <c r="K18" s="535"/>
    </row>
    <row r="19" spans="2:11" x14ac:dyDescent="0.25">
      <c r="B19" s="255" t="s">
        <v>188</v>
      </c>
      <c r="C19" s="252"/>
      <c r="D19" s="252"/>
      <c r="E19" s="148">
        <f>nhood!E16*-1</f>
        <v>0</v>
      </c>
      <c r="G19" s="574" t="str">
        <f>CONCATENATE("",E1," Tot Exp/Non-Appr Must Be:")</f>
        <v>2020 Tot Exp/Non-Appr Must Be:</v>
      </c>
      <c r="H19" s="575"/>
      <c r="I19" s="576"/>
      <c r="J19" s="577">
        <f>IF(J17&gt;0,IF(E38&lt;E23,IF(J17=G30,E38,((J17-G30)*(1-D40))+E23),E38+(J17-G30)),0)</f>
        <v>0</v>
      </c>
      <c r="K19" s="535"/>
    </row>
    <row r="20" spans="2:11" x14ac:dyDescent="0.25">
      <c r="B20" s="258" t="s">
        <v>186</v>
      </c>
      <c r="C20" s="252"/>
      <c r="D20" s="252"/>
      <c r="E20" s="137"/>
      <c r="G20" s="578" t="s">
        <v>741</v>
      </c>
      <c r="H20" s="579"/>
      <c r="I20" s="579"/>
      <c r="J20" s="580">
        <f>IF(J17&gt;0,J19-E38,0)</f>
        <v>0</v>
      </c>
      <c r="K20" s="535"/>
    </row>
    <row r="21" spans="2:11" x14ac:dyDescent="0.25">
      <c r="B21" s="258" t="s">
        <v>187</v>
      </c>
      <c r="C21" s="326" t="str">
        <f>IF(C22*0.1&lt;C20,"Exceed 10% Rule","")</f>
        <v/>
      </c>
      <c r="D21" s="326" t="str">
        <f>IF(D22*0.1&lt;D20,"Exceed 10% Rule","")</f>
        <v/>
      </c>
      <c r="E21" s="262" t="str">
        <f>IF((E41+E22)*0.1&lt;E20,"Exceed 10% Rule","")</f>
        <v/>
      </c>
      <c r="G21" s="535"/>
      <c r="H21" s="535"/>
      <c r="I21" s="535"/>
      <c r="J21" s="535"/>
      <c r="K21" s="535"/>
    </row>
    <row r="22" spans="2:11" x14ac:dyDescent="0.25">
      <c r="B22" s="260" t="s">
        <v>237</v>
      </c>
      <c r="C22" s="327">
        <f>SUM(C8:C20)</f>
        <v>0</v>
      </c>
      <c r="D22" s="327">
        <f>SUM(D8:D20)</f>
        <v>0</v>
      </c>
      <c r="E22" s="261">
        <f>SUM(E8:E20)</f>
        <v>0</v>
      </c>
      <c r="G22" s="928" t="str">
        <f>CONCATENATE("Projected Carryover Into ",E1+1,"")</f>
        <v>Projected Carryover Into 2021</v>
      </c>
      <c r="H22" s="931"/>
      <c r="I22" s="931"/>
      <c r="J22" s="932"/>
      <c r="K22" s="535"/>
    </row>
    <row r="23" spans="2:11" x14ac:dyDescent="0.25">
      <c r="B23" s="76" t="s">
        <v>238</v>
      </c>
      <c r="C23" s="327">
        <f>C22+C6</f>
        <v>0</v>
      </c>
      <c r="D23" s="327">
        <f>D22+D6</f>
        <v>0</v>
      </c>
      <c r="E23" s="261">
        <f>E22+E6</f>
        <v>0</v>
      </c>
      <c r="G23" s="567"/>
      <c r="H23" s="569"/>
      <c r="I23" s="569"/>
      <c r="J23" s="582"/>
      <c r="K23" s="535"/>
    </row>
    <row r="24" spans="2:11" x14ac:dyDescent="0.25">
      <c r="B24" s="58" t="s">
        <v>239</v>
      </c>
      <c r="C24" s="324"/>
      <c r="D24" s="324"/>
      <c r="E24" s="205"/>
      <c r="G24" s="585">
        <f>D35</f>
        <v>0</v>
      </c>
      <c r="H24" s="586" t="str">
        <f>CONCATENATE("",E1-1," Ending Cash Balance (est.)")</f>
        <v>2019 Ending Cash Balance (est.)</v>
      </c>
      <c r="I24" s="587"/>
      <c r="J24" s="582"/>
      <c r="K24" s="535"/>
    </row>
    <row r="25" spans="2:11" x14ac:dyDescent="0.25">
      <c r="B25" s="257"/>
      <c r="C25" s="252"/>
      <c r="D25" s="252"/>
      <c r="E25" s="137"/>
      <c r="G25" s="585">
        <f>E22</f>
        <v>0</v>
      </c>
      <c r="H25" s="569" t="str">
        <f>CONCATENATE("",E1," Non-AV Receipts (est.)")</f>
        <v>2020 Non-AV Receipts (est.)</v>
      </c>
      <c r="I25" s="587"/>
      <c r="J25" s="582"/>
      <c r="K25" s="535"/>
    </row>
    <row r="26" spans="2:11" x14ac:dyDescent="0.2">
      <c r="B26" s="257"/>
      <c r="C26" s="252"/>
      <c r="D26" s="252"/>
      <c r="E26" s="137"/>
      <c r="G26" s="592">
        <f>IF(E40&gt;0,E39,E41)</f>
        <v>0</v>
      </c>
      <c r="H26" s="569" t="str">
        <f>CONCATENATE("",E1," Ad Valorem Tax (est.)")</f>
        <v>2020 Ad Valorem Tax (est.)</v>
      </c>
      <c r="I26" s="569"/>
      <c r="J26" s="582"/>
      <c r="K26" s="593" t="str">
        <f>IF(G26=E41,"","Note: Does not include Delinquent Taxes")</f>
        <v/>
      </c>
    </row>
    <row r="27" spans="2:11" x14ac:dyDescent="0.25">
      <c r="B27" s="257"/>
      <c r="C27" s="252"/>
      <c r="D27" s="252"/>
      <c r="E27" s="137"/>
      <c r="G27" s="585">
        <f>SUM(G24:G26)</f>
        <v>0</v>
      </c>
      <c r="H27" s="569" t="str">
        <f>CONCATENATE("Total ",E1," Resources Available")</f>
        <v>Total 2020 Resources Available</v>
      </c>
      <c r="I27" s="587"/>
      <c r="J27" s="582"/>
      <c r="K27" s="535"/>
    </row>
    <row r="28" spans="2:11" x14ac:dyDescent="0.25">
      <c r="B28" s="257"/>
      <c r="C28" s="252"/>
      <c r="D28" s="252"/>
      <c r="E28" s="137"/>
      <c r="G28" s="596"/>
      <c r="H28" s="569"/>
      <c r="I28" s="569"/>
      <c r="J28" s="582"/>
      <c r="K28" s="535"/>
    </row>
    <row r="29" spans="2:11" x14ac:dyDescent="0.25">
      <c r="B29" s="252"/>
      <c r="C29" s="252"/>
      <c r="D29" s="252"/>
      <c r="E29" s="137"/>
      <c r="G29" s="592">
        <f>ROUND(C34*0.05+C34,0)</f>
        <v>0</v>
      </c>
      <c r="H29" s="569" t="str">
        <f>CONCATENATE("Less ",E1-2," Expenditures + 5%")</f>
        <v>Less 2018 Expenditures + 5%</v>
      </c>
      <c r="I29" s="569"/>
      <c r="J29" s="582"/>
      <c r="K29" s="535"/>
    </row>
    <row r="30" spans="2:11" x14ac:dyDescent="0.25">
      <c r="B30" s="257"/>
      <c r="C30" s="252"/>
      <c r="D30" s="252"/>
      <c r="E30" s="137"/>
      <c r="G30" s="600">
        <f>G27-G29</f>
        <v>0</v>
      </c>
      <c r="H30" s="601" t="str">
        <f>CONCATENATE("Projected ",E1+1," carryover (est.)")</f>
        <v>Projected 2021 carryover (est.)</v>
      </c>
      <c r="I30" s="602"/>
      <c r="J30" s="603"/>
      <c r="K30" s="535"/>
    </row>
    <row r="31" spans="2:11" x14ac:dyDescent="0.25">
      <c r="B31" s="255" t="str">
        <f>CONCATENATE("Cash Forward (",E1," column)")</f>
        <v>Cash Forward (2020 column)</v>
      </c>
      <c r="C31" s="252"/>
      <c r="D31" s="252"/>
      <c r="E31" s="137"/>
      <c r="G31" s="535"/>
      <c r="H31" s="535"/>
      <c r="I31" s="535"/>
      <c r="J31" s="535"/>
      <c r="K31" s="535"/>
    </row>
    <row r="32" spans="2:11" x14ac:dyDescent="0.25">
      <c r="B32" s="255" t="s">
        <v>186</v>
      </c>
      <c r="C32" s="252"/>
      <c r="D32" s="252"/>
      <c r="E32" s="137"/>
      <c r="G32" s="925" t="s">
        <v>742</v>
      </c>
      <c r="H32" s="926"/>
      <c r="I32" s="926"/>
      <c r="J32" s="927"/>
      <c r="K32" s="535"/>
    </row>
    <row r="33" spans="2:11" x14ac:dyDescent="0.25">
      <c r="B33" s="255" t="s">
        <v>637</v>
      </c>
      <c r="C33" s="326" t="str">
        <f>IF(C34*0.1&lt;C32,"Exceed 10% Rule","")</f>
        <v/>
      </c>
      <c r="D33" s="326" t="str">
        <f>IF(D34*0.1&lt;D32,"Exceed 10% Rule","")</f>
        <v/>
      </c>
      <c r="E33" s="262" t="str">
        <f>IF(E34*0.1&lt;E32,"Exceed 10% Rule","")</f>
        <v/>
      </c>
      <c r="G33" s="607"/>
      <c r="H33" s="586"/>
      <c r="I33" s="608"/>
      <c r="J33" s="609"/>
      <c r="K33" s="535"/>
    </row>
    <row r="34" spans="2:11" x14ac:dyDescent="0.25">
      <c r="B34" s="76" t="s">
        <v>240</v>
      </c>
      <c r="C34" s="327">
        <f>SUM(C25:C32)</f>
        <v>0</v>
      </c>
      <c r="D34" s="327">
        <f>SUM(D25:D32)</f>
        <v>0</v>
      </c>
      <c r="E34" s="261">
        <f>SUM(E25:E32)</f>
        <v>0</v>
      </c>
      <c r="G34" s="610" t="str">
        <f>summ!H28</f>
        <v xml:space="preserve"> </v>
      </c>
      <c r="H34" s="586" t="str">
        <f>CONCATENATE("",E1," Fund Mill Rate")</f>
        <v>2020 Fund Mill Rate</v>
      </c>
      <c r="I34" s="608"/>
      <c r="J34" s="609"/>
      <c r="K34" s="535"/>
    </row>
    <row r="35" spans="2:11" x14ac:dyDescent="0.25">
      <c r="B35" s="58" t="s">
        <v>58</v>
      </c>
      <c r="C35" s="328">
        <f>C23-C34</f>
        <v>0</v>
      </c>
      <c r="D35" s="328">
        <f>D23-D34</f>
        <v>0</v>
      </c>
      <c r="E35" s="254" t="s">
        <v>213</v>
      </c>
      <c r="G35" s="611" t="str">
        <f>summ!E28</f>
        <v xml:space="preserve">  </v>
      </c>
      <c r="H35" s="586" t="str">
        <f>CONCATENATE("",E1-1," Fund Mill Rate")</f>
        <v>2019 Fund Mill Rate</v>
      </c>
      <c r="I35" s="608"/>
      <c r="J35" s="609"/>
      <c r="K35" s="535"/>
    </row>
    <row r="36" spans="2:11" x14ac:dyDescent="0.25">
      <c r="B36" s="92" t="str">
        <f>CONCATENATE("",E1-2,"/",E1-1,"/",E1," Budget Authority Amount:")</f>
        <v>2018/2019/2020 Budget Authority Amount:</v>
      </c>
      <c r="C36" s="673">
        <f>inputOth!$B99</f>
        <v>0</v>
      </c>
      <c r="D36" s="673">
        <f>inputPrYr!$D33</f>
        <v>0</v>
      </c>
      <c r="E36" s="205">
        <f>E34</f>
        <v>0</v>
      </c>
      <c r="F36" s="263"/>
      <c r="G36" s="613">
        <f>summ!H36</f>
        <v>1.8420000000000001</v>
      </c>
      <c r="H36" s="586" t="str">
        <f>CONCATENATE("Total ",E1," Mill Rate")</f>
        <v>Total 2020 Mill Rate</v>
      </c>
      <c r="I36" s="608"/>
      <c r="J36" s="609"/>
      <c r="K36" s="535"/>
    </row>
    <row r="37" spans="2:11" x14ac:dyDescent="0.25">
      <c r="B37" s="93"/>
      <c r="C37" s="911" t="s">
        <v>634</v>
      </c>
      <c r="D37" s="912"/>
      <c r="E37" s="137"/>
      <c r="F37" s="651" t="str">
        <f>IF(E34/0.95-E34&lt;E37,"Exceeds 5%","")</f>
        <v/>
      </c>
      <c r="G37" s="611">
        <f>summ!E36</f>
        <v>1.861</v>
      </c>
      <c r="H37" s="614" t="str">
        <f>CONCATENATE("Total ",E1-1," Mill Rate")</f>
        <v>Total 2019 Mill Rate</v>
      </c>
      <c r="I37" s="615"/>
      <c r="J37" s="616"/>
      <c r="K37" s="535"/>
    </row>
    <row r="38" spans="2:11" x14ac:dyDescent="0.25">
      <c r="B38" s="428" t="str">
        <f>CONCATENATE(C93,"     ",D93)</f>
        <v xml:space="preserve">     </v>
      </c>
      <c r="C38" s="913" t="s">
        <v>635</v>
      </c>
      <c r="D38" s="914"/>
      <c r="E38" s="205">
        <f>E34+E37</f>
        <v>0</v>
      </c>
      <c r="G38" s="535"/>
      <c r="H38" s="535"/>
      <c r="I38" s="535"/>
      <c r="J38" s="535"/>
      <c r="K38" s="535"/>
    </row>
    <row r="39" spans="2:11" x14ac:dyDescent="0.25">
      <c r="B39" s="428" t="str">
        <f>CONCATENATE(C94,"     ",D94)</f>
        <v xml:space="preserve">     </v>
      </c>
      <c r="C39" s="431"/>
      <c r="D39" s="430" t="s">
        <v>242</v>
      </c>
      <c r="E39" s="148">
        <f>IF(E38-E23&gt;0,E38-E23,0)</f>
        <v>0</v>
      </c>
      <c r="G39" s="781" t="s">
        <v>846</v>
      </c>
      <c r="H39" s="777"/>
      <c r="I39" s="776"/>
      <c r="J39" s="775" t="str">
        <f>cert!F41</f>
        <v>No</v>
      </c>
      <c r="K39" s="535"/>
    </row>
    <row r="40" spans="2:11" x14ac:dyDescent="0.25">
      <c r="B40" s="170"/>
      <c r="C40" s="429" t="s">
        <v>636</v>
      </c>
      <c r="D40" s="635">
        <f>inputOth!$E$83</f>
        <v>0</v>
      </c>
      <c r="E40" s="205">
        <f>ROUND(IF(D40&gt;0,(E39*D40),0),0)</f>
        <v>0</v>
      </c>
      <c r="G40" s="767" t="str">
        <f>CONCATENATE("Computed ",E1," tax levy limit amount")</f>
        <v>Computed 2020 tax levy limit amount</v>
      </c>
      <c r="H40" s="766"/>
      <c r="I40" s="766"/>
      <c r="J40" s="765">
        <f>computation!J41</f>
        <v>3075</v>
      </c>
      <c r="K40" s="535"/>
    </row>
    <row r="41" spans="2:11" x14ac:dyDescent="0.25">
      <c r="B41" s="43"/>
      <c r="C41" s="915" t="str">
        <f>CONCATENATE("Amount of  ",$E$1-1," Ad Valorem Tax")</f>
        <v>Amount of  2019 Ad Valorem Tax</v>
      </c>
      <c r="D41" s="916"/>
      <c r="E41" s="148">
        <f>E39+E40</f>
        <v>0</v>
      </c>
      <c r="G41" s="764" t="str">
        <f>CONCATENATE("Total ",E1," tax levy amount")</f>
        <v>Total 2020 tax levy amount</v>
      </c>
      <c r="H41" s="763"/>
      <c r="I41" s="763"/>
      <c r="J41" s="762">
        <f>summ!G36</f>
        <v>3000</v>
      </c>
      <c r="K41" s="535"/>
    </row>
    <row r="42" spans="2:11" x14ac:dyDescent="0.25">
      <c r="B42" s="43"/>
      <c r="C42" s="486"/>
      <c r="D42" s="43"/>
      <c r="E42" s="43"/>
      <c r="G42" s="535"/>
      <c r="H42" s="535"/>
      <c r="I42" s="535"/>
      <c r="J42" s="535"/>
      <c r="K42" s="535"/>
    </row>
    <row r="43" spans="2:11" x14ac:dyDescent="0.25">
      <c r="B43" s="43"/>
      <c r="C43" s="486"/>
      <c r="D43" s="43"/>
      <c r="E43" s="43"/>
      <c r="G43" s="535"/>
      <c r="H43" s="535"/>
      <c r="I43" s="535"/>
      <c r="J43" s="535"/>
      <c r="K43" s="535"/>
    </row>
    <row r="44" spans="2:11" x14ac:dyDescent="0.25">
      <c r="B44" s="50" t="s">
        <v>224</v>
      </c>
      <c r="C44" s="48"/>
      <c r="D44" s="48"/>
      <c r="E44" s="48"/>
      <c r="G44" s="535"/>
      <c r="H44" s="535"/>
      <c r="I44" s="535"/>
      <c r="J44" s="535"/>
      <c r="K44" s="535"/>
    </row>
    <row r="45" spans="2:11" x14ac:dyDescent="0.25">
      <c r="B45" s="43"/>
      <c r="C45" s="322" t="s">
        <v>225</v>
      </c>
      <c r="D45" s="325" t="s">
        <v>226</v>
      </c>
      <c r="E45" s="52" t="s">
        <v>227</v>
      </c>
      <c r="G45" s="535"/>
      <c r="H45" s="535"/>
      <c r="I45" s="535"/>
      <c r="J45" s="535"/>
      <c r="K45" s="535"/>
    </row>
    <row r="46" spans="2:11" x14ac:dyDescent="0.25">
      <c r="B46" s="414">
        <f>inputPrYr!B34</f>
        <v>0</v>
      </c>
      <c r="C46" s="323" t="str">
        <f>C5</f>
        <v>Actual for 2018</v>
      </c>
      <c r="D46" s="323" t="str">
        <f>D5</f>
        <v>Estimate for 2019</v>
      </c>
      <c r="E46" s="57" t="str">
        <f>E5</f>
        <v>Year for 2020</v>
      </c>
      <c r="G46" s="535"/>
      <c r="H46" s="535"/>
      <c r="I46" s="535"/>
      <c r="J46" s="535"/>
      <c r="K46" s="535"/>
    </row>
    <row r="47" spans="2:11" x14ac:dyDescent="0.25">
      <c r="B47" s="58" t="s">
        <v>57</v>
      </c>
      <c r="C47" s="252"/>
      <c r="D47" s="324">
        <f>C76</f>
        <v>0</v>
      </c>
      <c r="E47" s="205">
        <f>D76</f>
        <v>0</v>
      </c>
      <c r="G47" s="535"/>
      <c r="H47" s="535"/>
      <c r="I47" s="535"/>
      <c r="J47" s="535"/>
      <c r="K47" s="535"/>
    </row>
    <row r="48" spans="2:11" x14ac:dyDescent="0.25">
      <c r="B48" s="58" t="s">
        <v>59</v>
      </c>
      <c r="C48" s="324"/>
      <c r="D48" s="324"/>
      <c r="E48" s="254"/>
      <c r="G48" s="535"/>
      <c r="H48" s="535"/>
      <c r="I48" s="535"/>
      <c r="J48" s="535"/>
      <c r="K48" s="535"/>
    </row>
    <row r="49" spans="2:11" x14ac:dyDescent="0.25">
      <c r="B49" s="58" t="s">
        <v>230</v>
      </c>
      <c r="C49" s="252"/>
      <c r="D49" s="324">
        <f>IF(inputPrYr!H22&gt;0,inputPrYr!G34,inputPrYr!E34)</f>
        <v>0</v>
      </c>
      <c r="E49" s="254" t="s">
        <v>213</v>
      </c>
      <c r="G49" s="535"/>
      <c r="H49" s="535"/>
      <c r="I49" s="535"/>
      <c r="J49" s="535"/>
      <c r="K49" s="535"/>
    </row>
    <row r="50" spans="2:11" x14ac:dyDescent="0.25">
      <c r="B50" s="58" t="s">
        <v>231</v>
      </c>
      <c r="C50" s="252"/>
      <c r="D50" s="252"/>
      <c r="E50" s="137"/>
      <c r="G50" s="535"/>
      <c r="H50" s="535"/>
      <c r="I50" s="535"/>
      <c r="J50" s="535"/>
      <c r="K50" s="535"/>
    </row>
    <row r="51" spans="2:11" x14ac:dyDescent="0.25">
      <c r="B51" s="58" t="s">
        <v>232</v>
      </c>
      <c r="C51" s="252"/>
      <c r="D51" s="252"/>
      <c r="E51" s="205">
        <f>mvalloc!D22+mvalloc!E22</f>
        <v>0</v>
      </c>
      <c r="G51" s="535"/>
      <c r="H51" s="535"/>
      <c r="I51" s="535"/>
      <c r="J51" s="535"/>
      <c r="K51" s="535"/>
    </row>
    <row r="52" spans="2:11" x14ac:dyDescent="0.25">
      <c r="B52" s="58" t="s">
        <v>233</v>
      </c>
      <c r="C52" s="252"/>
      <c r="D52" s="252"/>
      <c r="E52" s="205">
        <f>mvalloc!F22+mvalloc!G22</f>
        <v>0</v>
      </c>
      <c r="G52" s="535"/>
      <c r="H52" s="535"/>
      <c r="I52" s="535"/>
      <c r="J52" s="535"/>
      <c r="K52" s="535"/>
    </row>
    <row r="53" spans="2:11" x14ac:dyDescent="0.25">
      <c r="B53" s="58" t="s">
        <v>47</v>
      </c>
      <c r="C53" s="252"/>
      <c r="D53" s="252"/>
      <c r="E53" s="205">
        <f>mvalloc!H22+mvalloc!I22</f>
        <v>0</v>
      </c>
      <c r="G53" s="535"/>
      <c r="H53" s="535"/>
      <c r="I53" s="535"/>
      <c r="J53" s="535"/>
      <c r="K53" s="535"/>
    </row>
    <row r="54" spans="2:11" x14ac:dyDescent="0.25">
      <c r="B54" s="742" t="s">
        <v>824</v>
      </c>
      <c r="C54" s="252"/>
      <c r="D54" s="252"/>
      <c r="E54" s="205">
        <f>mvalloc!J22+mvalloc!K22</f>
        <v>0</v>
      </c>
      <c r="G54" s="535"/>
      <c r="H54" s="535"/>
      <c r="I54" s="535"/>
      <c r="J54" s="535"/>
      <c r="K54" s="535"/>
    </row>
    <row r="55" spans="2:11" x14ac:dyDescent="0.25">
      <c r="B55" s="742" t="s">
        <v>825</v>
      </c>
      <c r="C55" s="252"/>
      <c r="D55" s="252"/>
      <c r="E55" s="205">
        <f>mvalloc!L22+mvalloc!M22</f>
        <v>0</v>
      </c>
      <c r="G55" s="535"/>
      <c r="H55" s="535"/>
      <c r="I55" s="535"/>
      <c r="J55" s="535"/>
      <c r="K55" s="535"/>
    </row>
    <row r="56" spans="2:11" x14ac:dyDescent="0.25">
      <c r="B56" s="256"/>
      <c r="C56" s="252"/>
      <c r="D56" s="252"/>
      <c r="E56" s="137"/>
      <c r="G56" s="928" t="str">
        <f>CONCATENATE("Desired Carryover Into ",E1+1,"")</f>
        <v>Desired Carryover Into 2021</v>
      </c>
      <c r="H56" s="929"/>
      <c r="I56" s="929"/>
      <c r="J56" s="930"/>
      <c r="K56" s="535"/>
    </row>
    <row r="57" spans="2:11" x14ac:dyDescent="0.25">
      <c r="B57" s="256"/>
      <c r="C57" s="252"/>
      <c r="D57" s="252"/>
      <c r="E57" s="137"/>
      <c r="G57" s="567"/>
      <c r="H57" s="568"/>
      <c r="I57" s="569"/>
      <c r="J57" s="570"/>
      <c r="K57" s="535"/>
    </row>
    <row r="58" spans="2:11" x14ac:dyDescent="0.25">
      <c r="B58" s="257"/>
      <c r="C58" s="252"/>
      <c r="D58" s="252"/>
      <c r="E58" s="137"/>
      <c r="G58" s="571" t="s">
        <v>640</v>
      </c>
      <c r="H58" s="569"/>
      <c r="I58" s="569"/>
      <c r="J58" s="572">
        <v>0</v>
      </c>
      <c r="K58" s="535"/>
    </row>
    <row r="59" spans="2:11" x14ac:dyDescent="0.25">
      <c r="B59" s="257" t="s">
        <v>236</v>
      </c>
      <c r="C59" s="252"/>
      <c r="D59" s="252"/>
      <c r="E59" s="137"/>
      <c r="G59" s="567" t="s">
        <v>641</v>
      </c>
      <c r="H59" s="568"/>
      <c r="I59" s="568"/>
      <c r="J59" s="573" t="str">
        <f>IF(J58=0,"",ROUND((J58+E82-G71)/inputOth!E11*1000,3)-G76)</f>
        <v/>
      </c>
      <c r="K59" s="535"/>
    </row>
    <row r="60" spans="2:11" x14ac:dyDescent="0.25">
      <c r="B60" s="255" t="s">
        <v>188</v>
      </c>
      <c r="C60" s="252"/>
      <c r="D60" s="252"/>
      <c r="E60" s="148">
        <f>nhood!E17*-1</f>
        <v>0</v>
      </c>
      <c r="G60" s="574" t="str">
        <f>CONCATENATE("",E1," Tot Exp/Non-Appr Must Be:")</f>
        <v>2020 Tot Exp/Non-Appr Must Be:</v>
      </c>
      <c r="H60" s="575"/>
      <c r="I60" s="576"/>
      <c r="J60" s="577">
        <f>IF(J58&gt;0,IF(E79&lt;E64,IF(J58=G71,E79,((J58-G71)*(1-D81))+E64),E79+(J58-G71)),0)</f>
        <v>0</v>
      </c>
      <c r="K60" s="535"/>
    </row>
    <row r="61" spans="2:11" x14ac:dyDescent="0.25">
      <c r="B61" s="258" t="s">
        <v>186</v>
      </c>
      <c r="C61" s="252"/>
      <c r="D61" s="252"/>
      <c r="E61" s="137"/>
      <c r="G61" s="578" t="s">
        <v>741</v>
      </c>
      <c r="H61" s="579"/>
      <c r="I61" s="579"/>
      <c r="J61" s="580">
        <f>IF(J58&gt;0,J60-E79,0)</f>
        <v>0</v>
      </c>
      <c r="K61" s="535"/>
    </row>
    <row r="62" spans="2:11" x14ac:dyDescent="0.25">
      <c r="B62" s="258" t="s">
        <v>187</v>
      </c>
      <c r="C62" s="326" t="str">
        <f>IF(C63*0.1&lt;C61,"Exceed 10% Rule","")</f>
        <v/>
      </c>
      <c r="D62" s="326" t="str">
        <f>IF(D63*0.1&lt;D61,"Exceed 10% Rule","")</f>
        <v/>
      </c>
      <c r="E62" s="262" t="str">
        <f>IF((E82+E63)*0.1&lt;E61,"Exceed 10% Rule","")</f>
        <v/>
      </c>
      <c r="G62" s="535"/>
      <c r="H62" s="535"/>
      <c r="I62" s="535"/>
      <c r="J62" s="535"/>
      <c r="K62" s="535"/>
    </row>
    <row r="63" spans="2:11" x14ac:dyDescent="0.25">
      <c r="B63" s="260" t="s">
        <v>237</v>
      </c>
      <c r="C63" s="327">
        <f>SUM(C49:C61)</f>
        <v>0</v>
      </c>
      <c r="D63" s="327">
        <f>SUM(D49:D61)</f>
        <v>0</v>
      </c>
      <c r="E63" s="261">
        <f>SUM(E49:E61)</f>
        <v>0</v>
      </c>
      <c r="G63" s="928" t="str">
        <f>CONCATENATE("Projected Carryover Into ",E1+1,"")</f>
        <v>Projected Carryover Into 2021</v>
      </c>
      <c r="H63" s="933"/>
      <c r="I63" s="933"/>
      <c r="J63" s="932"/>
      <c r="K63" s="535"/>
    </row>
    <row r="64" spans="2:11" x14ac:dyDescent="0.25">
      <c r="B64" s="76" t="s">
        <v>238</v>
      </c>
      <c r="C64" s="327">
        <f>C63+C47</f>
        <v>0</v>
      </c>
      <c r="D64" s="327">
        <f>D63+D47</f>
        <v>0</v>
      </c>
      <c r="E64" s="261">
        <f>E63+E47</f>
        <v>0</v>
      </c>
      <c r="G64" s="619"/>
      <c r="H64" s="568"/>
      <c r="I64" s="568"/>
      <c r="J64" s="620"/>
      <c r="K64" s="535"/>
    </row>
    <row r="65" spans="2:11" x14ac:dyDescent="0.25">
      <c r="B65" s="58" t="s">
        <v>239</v>
      </c>
      <c r="C65" s="324"/>
      <c r="D65" s="324"/>
      <c r="E65" s="205"/>
      <c r="G65" s="585">
        <f>D76</f>
        <v>0</v>
      </c>
      <c r="H65" s="586" t="str">
        <f>CONCATENATE("",E1-1," Ending Cash Balance (est.)")</f>
        <v>2019 Ending Cash Balance (est.)</v>
      </c>
      <c r="I65" s="587"/>
      <c r="J65" s="620"/>
      <c r="K65" s="535"/>
    </row>
    <row r="66" spans="2:11" x14ac:dyDescent="0.25">
      <c r="B66" s="257"/>
      <c r="C66" s="252"/>
      <c r="D66" s="252"/>
      <c r="E66" s="137"/>
      <c r="G66" s="585">
        <f>E63</f>
        <v>0</v>
      </c>
      <c r="H66" s="569" t="str">
        <f>CONCATENATE("",E1," Non-AV Receipts (est.)")</f>
        <v>2020 Non-AV Receipts (est.)</v>
      </c>
      <c r="I66" s="587"/>
      <c r="J66" s="620"/>
      <c r="K66" s="535"/>
    </row>
    <row r="67" spans="2:11" x14ac:dyDescent="0.25">
      <c r="B67" s="257"/>
      <c r="C67" s="252"/>
      <c r="D67" s="252"/>
      <c r="E67" s="137"/>
      <c r="G67" s="592">
        <f>IF(E81&gt;0,E80,E82)</f>
        <v>0</v>
      </c>
      <c r="H67" s="569" t="str">
        <f>CONCATENATE("",E1," Ad Valorem Tax (est.)")</f>
        <v>2020 Ad Valorem Tax (est.)</v>
      </c>
      <c r="I67" s="569"/>
      <c r="J67" s="620"/>
      <c r="K67" s="593" t="str">
        <f>IF(G67=E82,"","Note: Does not include Delinquent Taxes")</f>
        <v/>
      </c>
    </row>
    <row r="68" spans="2:11" x14ac:dyDescent="0.25">
      <c r="B68" s="257"/>
      <c r="C68" s="252"/>
      <c r="D68" s="252"/>
      <c r="E68" s="137"/>
      <c r="G68" s="622">
        <f>SUM(G65:G67)</f>
        <v>0</v>
      </c>
      <c r="H68" s="569" t="str">
        <f>CONCATENATE("Total ",E1," Resources Available")</f>
        <v>Total 2020 Resources Available</v>
      </c>
      <c r="I68" s="623"/>
      <c r="J68" s="620"/>
      <c r="K68" s="535"/>
    </row>
    <row r="69" spans="2:11" x14ac:dyDescent="0.25">
      <c r="B69" s="257"/>
      <c r="C69" s="252"/>
      <c r="D69" s="252"/>
      <c r="E69" s="137"/>
      <c r="G69" s="624"/>
      <c r="H69" s="625"/>
      <c r="I69" s="568"/>
      <c r="J69" s="620"/>
      <c r="K69" s="535"/>
    </row>
    <row r="70" spans="2:11" x14ac:dyDescent="0.25">
      <c r="B70" s="257"/>
      <c r="C70" s="252"/>
      <c r="D70" s="252"/>
      <c r="E70" s="137"/>
      <c r="G70" s="592">
        <f>ROUND(C75*0.05+C75,0)</f>
        <v>0</v>
      </c>
      <c r="H70" s="569" t="str">
        <f>CONCATENATE("Less ",E1-2," Expenditures + 5%")</f>
        <v>Less 2018 Expenditures + 5%</v>
      </c>
      <c r="I70" s="623"/>
      <c r="J70" s="620"/>
      <c r="K70" s="535"/>
    </row>
    <row r="71" spans="2:11" x14ac:dyDescent="0.25">
      <c r="B71" s="257"/>
      <c r="C71" s="252"/>
      <c r="D71" s="252"/>
      <c r="E71" s="137"/>
      <c r="G71" s="600">
        <f>G68-G70</f>
        <v>0</v>
      </c>
      <c r="H71" s="601" t="str">
        <f>CONCATENATE("Projected ",E1+1," carryover (est.)")</f>
        <v>Projected 2021 carryover (est.)</v>
      </c>
      <c r="I71" s="626"/>
      <c r="J71" s="627"/>
      <c r="K71" s="535"/>
    </row>
    <row r="72" spans="2:11" x14ac:dyDescent="0.25">
      <c r="B72" s="255" t="str">
        <f>CONCATENATE("Cash Forward (",E1," column)")</f>
        <v>Cash Forward (2020 column)</v>
      </c>
      <c r="C72" s="252"/>
      <c r="D72" s="252"/>
      <c r="E72" s="137"/>
      <c r="G72" s="535"/>
      <c r="H72" s="535"/>
      <c r="I72" s="535"/>
      <c r="J72" s="535"/>
      <c r="K72" s="535"/>
    </row>
    <row r="73" spans="2:11" x14ac:dyDescent="0.25">
      <c r="B73" s="255" t="s">
        <v>186</v>
      </c>
      <c r="C73" s="252"/>
      <c r="D73" s="252"/>
      <c r="E73" s="137"/>
      <c r="G73" s="925" t="s">
        <v>742</v>
      </c>
      <c r="H73" s="926"/>
      <c r="I73" s="926"/>
      <c r="J73" s="927"/>
      <c r="K73" s="535"/>
    </row>
    <row r="74" spans="2:11" x14ac:dyDescent="0.25">
      <c r="B74" s="255" t="s">
        <v>637</v>
      </c>
      <c r="C74" s="326" t="str">
        <f>IF(C75*0.1&lt;C73,"Exceed 10% Rule","")</f>
        <v/>
      </c>
      <c r="D74" s="326" t="str">
        <f>IF(D75*0.1&lt;D73,"Exceed 10% Rule","")</f>
        <v/>
      </c>
      <c r="E74" s="262" t="str">
        <f>IF(E75*0.1&lt;E73,"Exceed 10% Rule","")</f>
        <v/>
      </c>
      <c r="G74" s="607"/>
      <c r="H74" s="586"/>
      <c r="I74" s="608"/>
      <c r="J74" s="609"/>
      <c r="K74" s="535"/>
    </row>
    <row r="75" spans="2:11" x14ac:dyDescent="0.25">
      <c r="B75" s="76" t="s">
        <v>240</v>
      </c>
      <c r="C75" s="327">
        <f>SUM(C66:C73)</f>
        <v>0</v>
      </c>
      <c r="D75" s="327">
        <f>SUM(D66:D73)</f>
        <v>0</v>
      </c>
      <c r="E75" s="261">
        <f>SUM(E66:E73)</f>
        <v>0</v>
      </c>
      <c r="G75" s="610" t="str">
        <f>summ!H29</f>
        <v xml:space="preserve"> </v>
      </c>
      <c r="H75" s="586" t="str">
        <f>CONCATENATE("",E1," Fund Mill Rate")</f>
        <v>2020 Fund Mill Rate</v>
      </c>
      <c r="I75" s="608"/>
      <c r="J75" s="609"/>
      <c r="K75" s="535"/>
    </row>
    <row r="76" spans="2:11" x14ac:dyDescent="0.25">
      <c r="B76" s="58" t="s">
        <v>58</v>
      </c>
      <c r="C76" s="328">
        <f>C64-C75</f>
        <v>0</v>
      </c>
      <c r="D76" s="328">
        <f>D64-D75</f>
        <v>0</v>
      </c>
      <c r="E76" s="254" t="s">
        <v>213</v>
      </c>
      <c r="G76" s="611" t="str">
        <f>summ!E29</f>
        <v xml:space="preserve">  </v>
      </c>
      <c r="H76" s="586" t="str">
        <f>CONCATENATE("",E1-1," Fund Mill Rate")</f>
        <v>2019 Fund Mill Rate</v>
      </c>
      <c r="I76" s="608"/>
      <c r="J76" s="609"/>
      <c r="K76" s="535"/>
    </row>
    <row r="77" spans="2:11" x14ac:dyDescent="0.25">
      <c r="B77" s="92" t="str">
        <f>CONCATENATE("",E1-2,"/",E1-1,"/",E1," Budget Authority Amount:")</f>
        <v>2018/2019/2020 Budget Authority Amount:</v>
      </c>
      <c r="C77" s="673">
        <f>inputOth!$B100</f>
        <v>0</v>
      </c>
      <c r="D77" s="673">
        <f>inputPrYr!$D34</f>
        <v>0</v>
      </c>
      <c r="E77" s="205">
        <f>E75</f>
        <v>0</v>
      </c>
      <c r="F77" s="263"/>
      <c r="G77" s="613">
        <f>summ!H36</f>
        <v>1.8420000000000001</v>
      </c>
      <c r="H77" s="586" t="str">
        <f>CONCATENATE("Total ",E1," Mill Rate")</f>
        <v>Total 2020 Mill Rate</v>
      </c>
      <c r="I77" s="608"/>
      <c r="J77" s="609"/>
      <c r="K77" s="535"/>
    </row>
    <row r="78" spans="2:11" x14ac:dyDescent="0.25">
      <c r="B78" s="93"/>
      <c r="C78" s="911" t="s">
        <v>634</v>
      </c>
      <c r="D78" s="912"/>
      <c r="E78" s="137"/>
      <c r="F78" s="651" t="str">
        <f>IF(E75/0.95-E75&lt;E78,"Exceeds 5%","")</f>
        <v/>
      </c>
      <c r="G78" s="611">
        <f>summ!E36</f>
        <v>1.861</v>
      </c>
      <c r="H78" s="614" t="str">
        <f>CONCATENATE("Total ",E1-1," Mill Rate")</f>
        <v>Total 2019 Mill Rate</v>
      </c>
      <c r="I78" s="615"/>
      <c r="J78" s="616"/>
      <c r="K78" s="535"/>
    </row>
    <row r="79" spans="2:11" x14ac:dyDescent="0.25">
      <c r="B79" s="428" t="str">
        <f>CONCATENATE(C95,"     ",D95)</f>
        <v xml:space="preserve">     </v>
      </c>
      <c r="C79" s="913" t="s">
        <v>635</v>
      </c>
      <c r="D79" s="914"/>
      <c r="E79" s="205">
        <f>E75+E78</f>
        <v>0</v>
      </c>
    </row>
    <row r="80" spans="2:11" x14ac:dyDescent="0.25">
      <c r="B80" s="428" t="str">
        <f>CONCATENATE(C96,"     ",D96)</f>
        <v xml:space="preserve">     </v>
      </c>
      <c r="C80" s="431"/>
      <c r="D80" s="430" t="s">
        <v>242</v>
      </c>
      <c r="E80" s="148">
        <f>IF(E79-E64&gt;0,E79-E64,0)</f>
        <v>0</v>
      </c>
      <c r="G80" s="781" t="s">
        <v>846</v>
      </c>
      <c r="H80" s="777"/>
      <c r="I80" s="776"/>
      <c r="J80" s="775" t="str">
        <f>cert!F41</f>
        <v>No</v>
      </c>
    </row>
    <row r="81" spans="2:10" x14ac:dyDescent="0.25">
      <c r="B81" s="170"/>
      <c r="C81" s="429" t="s">
        <v>636</v>
      </c>
      <c r="D81" s="635">
        <f>inputOth!$E$83</f>
        <v>0</v>
      </c>
      <c r="E81" s="205">
        <f>ROUND(IF(D81&gt;0,(E80*D81),0),0)</f>
        <v>0</v>
      </c>
      <c r="G81" s="774" t="str">
        <f>CONCATENATE("Computed ",E1," tax levy limit amount")</f>
        <v>Computed 2020 tax levy limit amount</v>
      </c>
      <c r="H81" s="773"/>
      <c r="I81" s="773"/>
      <c r="J81" s="772">
        <f>computation!J41</f>
        <v>3075</v>
      </c>
    </row>
    <row r="82" spans="2:10" x14ac:dyDescent="0.25">
      <c r="B82" s="43"/>
      <c r="C82" s="915" t="str">
        <f>CONCATENATE("Amount of  ",$E$1-1," Ad Valorem Tax")</f>
        <v>Amount of  2019 Ad Valorem Tax</v>
      </c>
      <c r="D82" s="916"/>
      <c r="E82" s="148">
        <f>E80+E81</f>
        <v>0</v>
      </c>
      <c r="G82" s="771" t="str">
        <f>CONCATENATE("Total ",E1," tax levy amount")</f>
        <v>Total 2020 tax levy amount</v>
      </c>
      <c r="H82" s="770"/>
      <c r="I82" s="770"/>
      <c r="J82" s="769">
        <f>summ!G36</f>
        <v>3000</v>
      </c>
    </row>
    <row r="83" spans="2:10" x14ac:dyDescent="0.25">
      <c r="B83" s="43"/>
      <c r="C83" s="486"/>
      <c r="D83" s="486"/>
      <c r="E83" s="486"/>
      <c r="G83" s="809"/>
      <c r="H83" s="810"/>
      <c r="I83" s="810"/>
      <c r="J83" s="811"/>
    </row>
    <row r="84" spans="2:10" x14ac:dyDescent="0.25">
      <c r="B84" s="43"/>
      <c r="C84" s="486"/>
      <c r="D84" s="486"/>
      <c r="E84" s="486"/>
      <c r="G84" s="809"/>
      <c r="H84" s="810"/>
      <c r="I84" s="810"/>
      <c r="J84" s="811"/>
    </row>
    <row r="85" spans="2:10" x14ac:dyDescent="0.25">
      <c r="B85" s="790" t="s">
        <v>987</v>
      </c>
      <c r="C85" s="804"/>
      <c r="D85" s="804"/>
      <c r="E85" s="805"/>
      <c r="G85" s="809"/>
      <c r="H85" s="810"/>
      <c r="I85" s="810"/>
      <c r="J85" s="811"/>
    </row>
    <row r="86" spans="2:10" x14ac:dyDescent="0.25">
      <c r="B86" s="432"/>
      <c r="C86" s="486"/>
      <c r="D86" s="486"/>
      <c r="E86" s="806"/>
      <c r="G86" s="809"/>
      <c r="H86" s="810"/>
      <c r="I86" s="810"/>
      <c r="J86" s="811"/>
    </row>
    <row r="87" spans="2:10" x14ac:dyDescent="0.25">
      <c r="B87" s="793"/>
      <c r="C87" s="807"/>
      <c r="D87" s="807"/>
      <c r="E87" s="808"/>
      <c r="G87" s="809"/>
      <c r="H87" s="810"/>
      <c r="I87" s="810"/>
      <c r="J87" s="811"/>
    </row>
    <row r="88" spans="2:10" x14ac:dyDescent="0.25">
      <c r="B88" s="43"/>
      <c r="C88" s="486"/>
      <c r="D88" s="486"/>
      <c r="E88" s="486"/>
      <c r="G88" s="809"/>
      <c r="H88" s="810"/>
      <c r="I88" s="810"/>
      <c r="J88" s="811"/>
    </row>
    <row r="89" spans="2:10" x14ac:dyDescent="0.25">
      <c r="B89" s="170" t="s">
        <v>223</v>
      </c>
      <c r="C89" s="708"/>
      <c r="D89" s="43"/>
      <c r="E89" s="43"/>
    </row>
    <row r="90" spans="2:10" x14ac:dyDescent="0.25">
      <c r="B90" s="89"/>
    </row>
    <row r="93" spans="2:10" hidden="1" x14ac:dyDescent="0.25">
      <c r="C93" s="129" t="str">
        <f>IF(C34&gt;C36,"See Tab A","")</f>
        <v/>
      </c>
      <c r="D93" s="129" t="str">
        <f>IF(D34&gt;D36,"See Tab C","")</f>
        <v/>
      </c>
    </row>
    <row r="94" spans="2:10" hidden="1" x14ac:dyDescent="0.25">
      <c r="C94" s="129" t="str">
        <f>IF(C35&lt;0,"See Tab B","")</f>
        <v/>
      </c>
      <c r="D94" s="129" t="str">
        <f>IF(D35&lt;0,"See Tab D","")</f>
        <v/>
      </c>
    </row>
    <row r="95" spans="2:10" hidden="1" x14ac:dyDescent="0.25">
      <c r="C95" s="129" t="str">
        <f>IF(C75&gt;C77,"See Tab A","")</f>
        <v/>
      </c>
      <c r="D95" s="129" t="str">
        <f>IF(D75&gt;D77,"See Tab C","")</f>
        <v/>
      </c>
    </row>
    <row r="96" spans="2:10" hidden="1" x14ac:dyDescent="0.25">
      <c r="C96" s="129" t="str">
        <f>IF(C76&lt;0,"See Tab B","")</f>
        <v/>
      </c>
      <c r="D96" s="129" t="str">
        <f>IF(D76&lt;0,"See Tab D","")</f>
        <v/>
      </c>
    </row>
  </sheetData>
  <sheetProtection sheet="1"/>
  <mergeCells count="12">
    <mergeCell ref="C82:D82"/>
    <mergeCell ref="C41:D41"/>
    <mergeCell ref="G73:J73"/>
    <mergeCell ref="C37:D37"/>
    <mergeCell ref="C38:D38"/>
    <mergeCell ref="C78:D78"/>
    <mergeCell ref="C79:D79"/>
    <mergeCell ref="G15:J15"/>
    <mergeCell ref="G22:J22"/>
    <mergeCell ref="G32:J32"/>
    <mergeCell ref="G56:J56"/>
    <mergeCell ref="G63:J63"/>
  </mergeCells>
  <phoneticPr fontId="0" type="noConversion"/>
  <conditionalFormatting sqref="C73">
    <cfRule type="cellIs" dxfId="63" priority="3" stopIfTrue="1" operator="greaterThan">
      <formula>$C$75*0.1</formula>
    </cfRule>
  </conditionalFormatting>
  <conditionalFormatting sqref="D73">
    <cfRule type="cellIs" dxfId="62" priority="4" stopIfTrue="1" operator="greaterThan">
      <formula>$D$75*0.1</formula>
    </cfRule>
  </conditionalFormatting>
  <conditionalFormatting sqref="E73">
    <cfRule type="cellIs" dxfId="61" priority="5" stopIfTrue="1" operator="greaterThan">
      <formula>$E$75*0.1</formula>
    </cfRule>
  </conditionalFormatting>
  <conditionalFormatting sqref="C61">
    <cfRule type="cellIs" dxfId="60" priority="6" stopIfTrue="1" operator="greaterThan">
      <formula>$C$63*0.1</formula>
    </cfRule>
  </conditionalFormatting>
  <conditionalFormatting sqref="D61">
    <cfRule type="cellIs" dxfId="59" priority="7" stopIfTrue="1" operator="greaterThan">
      <formula>$D$63*0.1</formula>
    </cfRule>
  </conditionalFormatting>
  <conditionalFormatting sqref="E78">
    <cfRule type="cellIs" dxfId="58" priority="8" stopIfTrue="1" operator="greaterThan">
      <formula>$E$75/0.95-$E$75</formula>
    </cfRule>
  </conditionalFormatting>
  <conditionalFormatting sqref="C32">
    <cfRule type="cellIs" dxfId="57" priority="9" stopIfTrue="1" operator="greaterThan">
      <formula>$C$34*0.1</formula>
    </cfRule>
  </conditionalFormatting>
  <conditionalFormatting sqref="D32">
    <cfRule type="cellIs" dxfId="56" priority="10" stopIfTrue="1" operator="greaterThan">
      <formula>$D$34*0.1</formula>
    </cfRule>
  </conditionalFormatting>
  <conditionalFormatting sqref="E32">
    <cfRule type="cellIs" dxfId="55" priority="11" stopIfTrue="1" operator="greaterThan">
      <formula>$E$34*0.1</formula>
    </cfRule>
  </conditionalFormatting>
  <conditionalFormatting sqref="C20">
    <cfRule type="cellIs" dxfId="54" priority="12" stopIfTrue="1" operator="greaterThan">
      <formula>$C$22*0.1</formula>
    </cfRule>
  </conditionalFormatting>
  <conditionalFormatting sqref="D20">
    <cfRule type="cellIs" dxfId="53" priority="13" stopIfTrue="1" operator="greaterThan">
      <formula>$D$22*0.1</formula>
    </cfRule>
  </conditionalFormatting>
  <conditionalFormatting sqref="E37">
    <cfRule type="cellIs" dxfId="52" priority="14" stopIfTrue="1" operator="greaterThan">
      <formula>$E$34/0.95-$E$34</formula>
    </cfRule>
  </conditionalFormatting>
  <conditionalFormatting sqref="C76 C35">
    <cfRule type="cellIs" dxfId="51" priority="15" stopIfTrue="1" operator="lessThan">
      <formula>0</formula>
    </cfRule>
  </conditionalFormatting>
  <conditionalFormatting sqref="C75">
    <cfRule type="cellIs" dxfId="50" priority="16" stopIfTrue="1" operator="greaterThan">
      <formula>$C$77</formula>
    </cfRule>
  </conditionalFormatting>
  <conditionalFormatting sqref="D75">
    <cfRule type="cellIs" dxfId="49" priority="17" stopIfTrue="1" operator="greaterThan">
      <formula>$D$77</formula>
    </cfRule>
  </conditionalFormatting>
  <conditionalFormatting sqref="C34">
    <cfRule type="cellIs" dxfId="48" priority="18" stopIfTrue="1" operator="greaterThan">
      <formula>$C$36</formula>
    </cfRule>
  </conditionalFormatting>
  <conditionalFormatting sqref="D34">
    <cfRule type="cellIs" dxfId="47" priority="19" stopIfTrue="1" operator="greaterThan">
      <formula>$D$36</formula>
    </cfRule>
  </conditionalFormatting>
  <conditionalFormatting sqref="D35 D76">
    <cfRule type="cellIs" dxfId="46" priority="2" stopIfTrue="1" operator="lessThan">
      <formula>0</formula>
    </cfRule>
  </conditionalFormatting>
  <conditionalFormatting sqref="E20">
    <cfRule type="cellIs" dxfId="45" priority="33" stopIfTrue="1" operator="greaterThan">
      <formula>$E$22*0.1+$E$41</formula>
    </cfRule>
  </conditionalFormatting>
  <conditionalFormatting sqref="E61">
    <cfRule type="cellIs" dxfId="44" priority="34" stopIfTrue="1" operator="greaterThan">
      <formula>$E$63*0.1+$E$82</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96"/>
  <sheetViews>
    <sheetView workbookViewId="0">
      <selection activeCell="D4" sqref="D4"/>
    </sheetView>
  </sheetViews>
  <sheetFormatPr defaultColWidth="8.796875" defaultRowHeight="15.75" x14ac:dyDescent="0.25"/>
  <cols>
    <col min="1" max="1" width="10.69921875" style="129" customWidth="1"/>
    <col min="2" max="2" width="21.19921875" style="129" customWidth="1"/>
    <col min="3" max="3" width="11.69921875" style="129" customWidth="1"/>
    <col min="4" max="4" width="15" style="129" customWidth="1"/>
    <col min="5" max="5" width="14.09765625" style="129" customWidth="1"/>
    <col min="6" max="6" width="2.69921875" style="129" customWidth="1"/>
    <col min="7" max="7" width="18.59765625" style="129" customWidth="1"/>
    <col min="8" max="16384" width="8.796875" style="129"/>
  </cols>
  <sheetData>
    <row r="1" spans="1:8" x14ac:dyDescent="0.25">
      <c r="A1" s="841" t="s">
        <v>818</v>
      </c>
      <c r="B1" s="842"/>
      <c r="C1" s="842"/>
      <c r="D1" s="842"/>
      <c r="E1" s="842"/>
    </row>
    <row r="2" spans="1:8" x14ac:dyDescent="0.25">
      <c r="A2" s="43"/>
      <c r="B2" s="43"/>
      <c r="C2" s="43"/>
      <c r="D2" s="43"/>
      <c r="E2" s="43"/>
    </row>
    <row r="3" spans="1:8" x14ac:dyDescent="0.25">
      <c r="A3" s="130" t="s">
        <v>807</v>
      </c>
      <c r="B3" s="43"/>
      <c r="C3" s="43"/>
      <c r="D3" s="43"/>
      <c r="E3" s="43"/>
    </row>
    <row r="4" spans="1:8" x14ac:dyDescent="0.25">
      <c r="A4" s="130" t="s">
        <v>808</v>
      </c>
      <c r="B4" s="43"/>
      <c r="C4" s="43"/>
      <c r="D4" s="662" t="s">
        <v>1001</v>
      </c>
      <c r="E4" s="49"/>
    </row>
    <row r="5" spans="1:8" x14ac:dyDescent="0.25">
      <c r="A5" s="130" t="s">
        <v>809</v>
      </c>
      <c r="B5" s="43"/>
      <c r="C5" s="43"/>
      <c r="D5" s="662" t="s">
        <v>1002</v>
      </c>
      <c r="E5" s="49"/>
    </row>
    <row r="6" spans="1:8" x14ac:dyDescent="0.25">
      <c r="A6" s="43"/>
      <c r="B6" s="43"/>
      <c r="C6" s="43"/>
      <c r="D6" s="43"/>
      <c r="E6" s="43"/>
    </row>
    <row r="7" spans="1:8" x14ac:dyDescent="0.25">
      <c r="A7" s="131" t="s">
        <v>810</v>
      </c>
      <c r="B7" s="43"/>
      <c r="C7" s="43"/>
      <c r="D7" s="146" t="s">
        <v>1003</v>
      </c>
      <c r="E7" s="43"/>
    </row>
    <row r="8" spans="1:8" x14ac:dyDescent="0.25">
      <c r="A8" s="131" t="s">
        <v>811</v>
      </c>
      <c r="B8" s="43"/>
      <c r="C8" s="43"/>
      <c r="D8" s="146"/>
      <c r="E8" s="43"/>
    </row>
    <row r="9" spans="1:8" x14ac:dyDescent="0.25">
      <c r="A9" s="43"/>
      <c r="B9" s="43"/>
      <c r="C9" s="43"/>
      <c r="D9" s="43"/>
      <c r="E9" s="43"/>
    </row>
    <row r="10" spans="1:8" x14ac:dyDescent="0.25">
      <c r="A10" s="131" t="s">
        <v>812</v>
      </c>
      <c r="B10" s="43"/>
      <c r="C10" s="43"/>
      <c r="D10" s="132">
        <v>2020</v>
      </c>
      <c r="E10" s="43"/>
    </row>
    <row r="11" spans="1:8" x14ac:dyDescent="0.25">
      <c r="A11" s="131"/>
      <c r="B11" s="43"/>
      <c r="C11" s="43"/>
      <c r="D11" s="43"/>
      <c r="E11" s="43"/>
    </row>
    <row r="12" spans="1:8" x14ac:dyDescent="0.25">
      <c r="A12" s="131" t="s">
        <v>985</v>
      </c>
      <c r="B12" s="43"/>
      <c r="C12" s="43"/>
      <c r="D12" s="789">
        <v>2.5000000000000001E-2</v>
      </c>
      <c r="E12" s="43"/>
    </row>
    <row r="13" spans="1:8" x14ac:dyDescent="0.25">
      <c r="A13" s="43"/>
      <c r="B13" s="43"/>
      <c r="C13" s="43"/>
      <c r="D13" s="43"/>
      <c r="E13" s="43"/>
    </row>
    <row r="14" spans="1:8" ht="15.75" customHeight="1" x14ac:dyDescent="0.25">
      <c r="A14" s="843" t="s">
        <v>813</v>
      </c>
      <c r="B14" s="843"/>
      <c r="C14" s="843"/>
      <c r="D14" s="843"/>
      <c r="E14" s="843"/>
      <c r="F14" s="43"/>
      <c r="G14" s="844" t="s">
        <v>815</v>
      </c>
      <c r="H14" s="845"/>
    </row>
    <row r="15" spans="1:8" x14ac:dyDescent="0.25">
      <c r="A15" s="843"/>
      <c r="B15" s="843"/>
      <c r="C15" s="843"/>
      <c r="D15" s="843"/>
      <c r="E15" s="843"/>
      <c r="F15" s="43"/>
      <c r="G15" s="846"/>
      <c r="H15" s="847"/>
    </row>
    <row r="16" spans="1:8" x14ac:dyDescent="0.25">
      <c r="A16" s="843"/>
      <c r="B16" s="843"/>
      <c r="C16" s="843"/>
      <c r="D16" s="843"/>
      <c r="E16" s="843"/>
      <c r="F16" s="43"/>
      <c r="G16" s="846"/>
      <c r="H16" s="847"/>
    </row>
    <row r="17" spans="1:8" x14ac:dyDescent="0.25">
      <c r="A17" s="839" t="s">
        <v>814</v>
      </c>
      <c r="B17" s="840"/>
      <c r="C17" s="840"/>
      <c r="D17" s="840"/>
      <c r="E17" s="840"/>
      <c r="F17" s="43"/>
      <c r="G17" s="846"/>
      <c r="H17" s="847"/>
    </row>
    <row r="18" spans="1:8" x14ac:dyDescent="0.25">
      <c r="A18" s="130"/>
      <c r="B18" s="43"/>
      <c r="C18" s="43"/>
      <c r="D18" s="43"/>
      <c r="E18" s="43"/>
      <c r="F18" s="43"/>
      <c r="G18" s="846"/>
      <c r="H18" s="847"/>
    </row>
    <row r="19" spans="1:8" x14ac:dyDescent="0.25">
      <c r="A19" s="728" t="s">
        <v>72</v>
      </c>
      <c r="B19" s="727"/>
      <c r="C19" s="43"/>
      <c r="D19" s="46"/>
      <c r="E19" s="133"/>
      <c r="F19" s="43"/>
      <c r="G19" s="846"/>
      <c r="H19" s="847"/>
    </row>
    <row r="20" spans="1:8" x14ac:dyDescent="0.25">
      <c r="A20" s="726" t="str">
        <f>CONCATENATE("the ",D10-1," Budget, Certificate Page:")</f>
        <v>the 2019 Budget, Certificate Page:</v>
      </c>
      <c r="B20" s="725"/>
      <c r="C20" s="46"/>
      <c r="D20" s="43"/>
      <c r="E20" s="43"/>
      <c r="F20" s="43"/>
      <c r="G20" s="848"/>
      <c r="H20" s="849"/>
    </row>
    <row r="21" spans="1:8" x14ac:dyDescent="0.25">
      <c r="A21" s="724" t="s">
        <v>267</v>
      </c>
      <c r="B21" s="722"/>
      <c r="C21" s="46"/>
      <c r="D21" s="134">
        <f>D10-1</f>
        <v>2019</v>
      </c>
      <c r="E21" s="134">
        <f>D10-2</f>
        <v>2018</v>
      </c>
      <c r="F21" s="694"/>
      <c r="G21" s="187" t="s">
        <v>684</v>
      </c>
      <c r="H21" s="66" t="s">
        <v>243</v>
      </c>
    </row>
    <row r="22" spans="1:8" x14ac:dyDescent="0.25">
      <c r="A22" s="50" t="s">
        <v>195</v>
      </c>
      <c r="B22" s="43"/>
      <c r="C22" s="135" t="s">
        <v>194</v>
      </c>
      <c r="D22" s="136" t="s">
        <v>283</v>
      </c>
      <c r="E22" s="136" t="s">
        <v>230</v>
      </c>
      <c r="F22" s="694"/>
      <c r="G22" s="189" t="str">
        <f>CONCATENATE("",E21," Ad Valorem Tax")</f>
        <v>2018 Ad Valorem Tax</v>
      </c>
      <c r="H22" s="506">
        <v>0</v>
      </c>
    </row>
    <row r="23" spans="1:8" x14ac:dyDescent="0.25">
      <c r="A23" s="43"/>
      <c r="B23" s="81" t="s">
        <v>196</v>
      </c>
      <c r="C23" s="61" t="s">
        <v>197</v>
      </c>
      <c r="D23" s="137">
        <v>3959</v>
      </c>
      <c r="E23" s="736">
        <v>3000</v>
      </c>
      <c r="F23" s="694"/>
      <c r="G23" s="205">
        <f>IF(H22&gt;0,ROUND(E23-(E23*H22),0),0)</f>
        <v>0</v>
      </c>
    </row>
    <row r="24" spans="1:8" x14ac:dyDescent="0.25">
      <c r="A24" s="43"/>
      <c r="B24" s="81" t="s">
        <v>263</v>
      </c>
      <c r="C24" s="61" t="s">
        <v>77</v>
      </c>
      <c r="D24" s="137"/>
      <c r="E24" s="736"/>
      <c r="F24" s="694"/>
      <c r="G24" s="205">
        <f>IF(H22&gt;0,ROUND(E24-(E24*H22),0),0)</f>
        <v>0</v>
      </c>
    </row>
    <row r="25" spans="1:8" x14ac:dyDescent="0.25">
      <c r="A25" s="43"/>
      <c r="B25" s="81" t="s">
        <v>659</v>
      </c>
      <c r="C25" s="61" t="s">
        <v>660</v>
      </c>
      <c r="D25" s="137"/>
      <c r="E25" s="736"/>
      <c r="F25" s="694"/>
      <c r="G25" s="205">
        <f>IF(H22&gt;0,ROUND(E25-(E25*H22),0),0)</f>
        <v>0</v>
      </c>
    </row>
    <row r="26" spans="1:8" x14ac:dyDescent="0.25">
      <c r="A26" s="43"/>
      <c r="B26" s="81" t="s">
        <v>198</v>
      </c>
      <c r="C26" s="138" t="s">
        <v>184</v>
      </c>
      <c r="D26" s="137"/>
      <c r="E26" s="736"/>
      <c r="F26" s="694"/>
      <c r="G26" s="205">
        <f>IF(H22&gt;0,ROUND(E26-(E26*H22),0),0)</f>
        <v>0</v>
      </c>
    </row>
    <row r="27" spans="1:8" x14ac:dyDescent="0.25">
      <c r="A27" s="43"/>
      <c r="B27" s="81" t="s">
        <v>265</v>
      </c>
      <c r="C27" s="66" t="s">
        <v>266</v>
      </c>
      <c r="D27" s="137"/>
      <c r="E27" s="736"/>
      <c r="F27" s="694"/>
      <c r="G27" s="205">
        <f>IF(H22&gt;0,ROUND(E27-(E27*H22),0),0)</f>
        <v>0</v>
      </c>
    </row>
    <row r="28" spans="1:8" x14ac:dyDescent="0.25">
      <c r="A28" s="43"/>
      <c r="B28" s="81" t="s">
        <v>143</v>
      </c>
      <c r="C28" s="66" t="s">
        <v>144</v>
      </c>
      <c r="D28" s="137"/>
      <c r="E28" s="736"/>
      <c r="F28" s="694"/>
      <c r="G28" s="205">
        <f>IF(H22&gt;0,ROUND(E28-(E28*H22),0),0)</f>
        <v>0</v>
      </c>
    </row>
    <row r="29" spans="1:8" x14ac:dyDescent="0.25">
      <c r="A29" s="43"/>
      <c r="B29" s="166" t="s">
        <v>307</v>
      </c>
      <c r="C29" s="66" t="s">
        <v>308</v>
      </c>
      <c r="D29" s="137"/>
      <c r="E29" s="736"/>
      <c r="F29" s="694"/>
      <c r="G29" s="205">
        <f>IF(H22&gt;0,ROUND(E29-(E29*H22),0),0)</f>
        <v>0</v>
      </c>
    </row>
    <row r="30" spans="1:8" x14ac:dyDescent="0.25">
      <c r="A30" s="43"/>
      <c r="B30" s="738"/>
      <c r="C30" s="412"/>
      <c r="D30" s="137"/>
      <c r="E30" s="736"/>
      <c r="F30" s="694"/>
      <c r="G30" s="205">
        <f>IF(H22&gt;0,ROUND(E30-(E30*H22),0),0)</f>
        <v>0</v>
      </c>
    </row>
    <row r="31" spans="1:8" x14ac:dyDescent="0.25">
      <c r="A31" s="43"/>
      <c r="B31" s="736"/>
      <c r="C31" s="412"/>
      <c r="D31" s="137"/>
      <c r="E31" s="736"/>
      <c r="F31" s="694"/>
      <c r="G31" s="205">
        <f>IF(H22&gt;0,ROUND(E31-(E31*H22),0),0)</f>
        <v>0</v>
      </c>
    </row>
    <row r="32" spans="1:8" x14ac:dyDescent="0.25">
      <c r="A32" s="43"/>
      <c r="B32" s="737"/>
      <c r="C32" s="412"/>
      <c r="D32" s="137"/>
      <c r="E32" s="736"/>
      <c r="F32" s="694"/>
      <c r="G32" s="205">
        <f>IF(H22&gt;0,ROUND(E32-(E32*H22),0),0)</f>
        <v>0</v>
      </c>
    </row>
    <row r="33" spans="1:8" x14ac:dyDescent="0.25">
      <c r="A33" s="43"/>
      <c r="B33" s="737"/>
      <c r="C33" s="412"/>
      <c r="D33" s="137"/>
      <c r="E33" s="137"/>
      <c r="F33" s="694"/>
      <c r="G33" s="205">
        <f>IF(H22&gt;0,ROUND(E33-(E33*H22),0),0)</f>
        <v>0</v>
      </c>
      <c r="H33" s="507"/>
    </row>
    <row r="34" spans="1:8" x14ac:dyDescent="0.25">
      <c r="A34" s="43"/>
      <c r="B34" s="737"/>
      <c r="C34" s="412"/>
      <c r="D34" s="137"/>
      <c r="E34" s="137"/>
      <c r="F34" s="694"/>
      <c r="G34" s="205">
        <f>IF(H22&gt;0,ROUND(E34-(E34*H22),0),0)</f>
        <v>0</v>
      </c>
      <c r="H34" s="507"/>
    </row>
    <row r="35" spans="1:8" x14ac:dyDescent="0.25">
      <c r="A35" s="140" t="str">
        <f>CONCATENATE("Total Ad Valorem Tax for ",D10-1,"")</f>
        <v>Total Ad Valorem Tax for 2019</v>
      </c>
      <c r="B35" s="56"/>
      <c r="C35" s="141"/>
      <c r="D35" s="142"/>
      <c r="E35" s="143">
        <f>SUM(E23:E34)</f>
        <v>3000</v>
      </c>
    </row>
    <row r="36" spans="1:8" x14ac:dyDescent="0.25">
      <c r="A36" s="49"/>
      <c r="B36" s="49"/>
      <c r="C36" s="49"/>
      <c r="D36" s="144"/>
      <c r="E36" s="145"/>
    </row>
    <row r="37" spans="1:8" x14ac:dyDescent="0.25">
      <c r="A37" s="43" t="s">
        <v>68</v>
      </c>
      <c r="B37" s="43"/>
      <c r="C37" s="43"/>
      <c r="D37" s="43"/>
      <c r="E37" s="43"/>
    </row>
    <row r="38" spans="1:8" x14ac:dyDescent="0.25">
      <c r="A38" s="43"/>
      <c r="B38" s="146"/>
      <c r="C38" s="43"/>
      <c r="D38" s="147"/>
      <c r="E38" s="49"/>
    </row>
    <row r="39" spans="1:8" x14ac:dyDescent="0.25">
      <c r="A39" s="43"/>
      <c r="B39" s="146"/>
      <c r="C39" s="43"/>
      <c r="D39" s="147"/>
      <c r="E39" s="49"/>
    </row>
    <row r="40" spans="1:8" x14ac:dyDescent="0.25">
      <c r="A40" s="43"/>
      <c r="B40" s="146"/>
      <c r="C40" s="43"/>
      <c r="D40" s="147"/>
      <c r="E40" s="43"/>
    </row>
    <row r="41" spans="1:8" x14ac:dyDescent="0.25">
      <c r="A41" s="43"/>
      <c r="B41" s="146"/>
      <c r="C41" s="43"/>
      <c r="D41" s="147"/>
      <c r="E41" s="43"/>
    </row>
    <row r="42" spans="1:8" x14ac:dyDescent="0.25">
      <c r="A42" s="56" t="str">
        <f>CONCATENATE("Total Expenditures for ",D10-1,"")</f>
        <v>Total Expenditures for 2019</v>
      </c>
      <c r="B42" s="56"/>
      <c r="C42" s="56"/>
      <c r="D42" s="148">
        <f>SUM(D23:D34,D38:D41)</f>
        <v>3959</v>
      </c>
      <c r="E42" s="43"/>
    </row>
    <row r="43" spans="1:8" x14ac:dyDescent="0.25">
      <c r="A43" s="84" t="s">
        <v>282</v>
      </c>
      <c r="B43" s="49"/>
      <c r="C43" s="49"/>
      <c r="D43" s="43"/>
      <c r="E43" s="43"/>
    </row>
    <row r="44" spans="1:8" x14ac:dyDescent="0.25">
      <c r="A44" s="291">
        <v>1</v>
      </c>
      <c r="B44" s="146"/>
      <c r="C44" s="49"/>
      <c r="D44" s="43"/>
      <c r="E44" s="43"/>
    </row>
    <row r="45" spans="1:8" x14ac:dyDescent="0.25">
      <c r="A45" s="291">
        <v>2</v>
      </c>
      <c r="B45" s="146"/>
      <c r="C45" s="49"/>
      <c r="D45" s="43"/>
      <c r="E45" s="43"/>
    </row>
    <row r="46" spans="1:8" x14ac:dyDescent="0.25">
      <c r="A46" s="291">
        <v>3</v>
      </c>
      <c r="B46" s="146"/>
      <c r="C46" s="49"/>
      <c r="D46" s="43"/>
      <c r="E46" s="43"/>
    </row>
    <row r="47" spans="1:8" x14ac:dyDescent="0.25">
      <c r="A47" s="291">
        <v>4</v>
      </c>
      <c r="B47" s="146"/>
      <c r="C47" s="49"/>
      <c r="D47" s="43"/>
      <c r="E47" s="43"/>
    </row>
    <row r="48" spans="1:8" x14ac:dyDescent="0.25">
      <c r="A48" s="291">
        <v>5</v>
      </c>
      <c r="B48" s="146"/>
      <c r="C48" s="49"/>
      <c r="D48" s="43"/>
      <c r="E48" s="43"/>
    </row>
    <row r="49" spans="1:5" x14ac:dyDescent="0.25">
      <c r="A49" s="43"/>
      <c r="B49" s="43"/>
      <c r="C49" s="43"/>
      <c r="D49" s="43"/>
      <c r="E49" s="43"/>
    </row>
    <row r="50" spans="1:5" ht="15.75" customHeight="1" x14ac:dyDescent="0.25">
      <c r="A50" s="728" t="s">
        <v>72</v>
      </c>
      <c r="B50" s="727"/>
      <c r="C50" s="43"/>
      <c r="D50" s="837" t="str">
        <f>CONCATENATE("",D10-3," Tax Rate         (",D10-2," Column)")</f>
        <v>2017 Tax Rate         (2018 Column)</v>
      </c>
      <c r="E50" s="43"/>
    </row>
    <row r="51" spans="1:5" x14ac:dyDescent="0.25">
      <c r="A51" s="724" t="str">
        <f>CONCATENATE("the ",D10-1," Budget, Budget Summary Page:")</f>
        <v>the 2019 Budget, Budget Summary Page:</v>
      </c>
      <c r="B51" s="721"/>
      <c r="C51" s="43"/>
      <c r="D51" s="838"/>
      <c r="E51" s="43"/>
    </row>
    <row r="52" spans="1:5" x14ac:dyDescent="0.25">
      <c r="A52" s="43"/>
      <c r="B52" s="188" t="str">
        <f>B23</f>
        <v>General</v>
      </c>
      <c r="C52" s="43"/>
      <c r="D52" s="666">
        <v>1.631</v>
      </c>
      <c r="E52" s="43"/>
    </row>
    <row r="53" spans="1:5" x14ac:dyDescent="0.25">
      <c r="A53" s="43"/>
      <c r="B53" s="68" t="str">
        <f>B24</f>
        <v>Debt Service</v>
      </c>
      <c r="C53" s="43"/>
      <c r="D53" s="666"/>
      <c r="E53" s="43"/>
    </row>
    <row r="54" spans="1:5" x14ac:dyDescent="0.25">
      <c r="A54" s="43"/>
      <c r="B54" s="68" t="str">
        <f>B25</f>
        <v>Library</v>
      </c>
      <c r="C54" s="43"/>
      <c r="D54" s="666"/>
      <c r="E54" s="43"/>
    </row>
    <row r="55" spans="1:5" x14ac:dyDescent="0.25">
      <c r="A55" s="43"/>
      <c r="B55" s="68" t="str">
        <f t="shared" ref="B55:B62" si="0">B26</f>
        <v>Road</v>
      </c>
      <c r="C55" s="43"/>
      <c r="D55" s="666"/>
      <c r="E55" s="43"/>
    </row>
    <row r="56" spans="1:5" x14ac:dyDescent="0.25">
      <c r="A56" s="43"/>
      <c r="B56" s="81" t="str">
        <f t="shared" si="0"/>
        <v>Special Road</v>
      </c>
      <c r="C56" s="43"/>
      <c r="D56" s="666"/>
      <c r="E56" s="43"/>
    </row>
    <row r="57" spans="1:5" x14ac:dyDescent="0.25">
      <c r="A57" s="43"/>
      <c r="B57" s="81" t="str">
        <f t="shared" si="0"/>
        <v>Noxious Weed</v>
      </c>
      <c r="C57" s="43"/>
      <c r="D57" s="666"/>
      <c r="E57" s="43"/>
    </row>
    <row r="58" spans="1:5" x14ac:dyDescent="0.25">
      <c r="A58" s="43"/>
      <c r="B58" s="81" t="str">
        <f t="shared" si="0"/>
        <v>Fire Protection</v>
      </c>
      <c r="C58" s="43"/>
      <c r="D58" s="667"/>
      <c r="E58" s="43"/>
    </row>
    <row r="59" spans="1:5" x14ac:dyDescent="0.25">
      <c r="A59" s="43"/>
      <c r="B59" s="81">
        <f t="shared" si="0"/>
        <v>0</v>
      </c>
      <c r="C59" s="43"/>
      <c r="D59" s="667"/>
      <c r="E59" s="43"/>
    </row>
    <row r="60" spans="1:5" x14ac:dyDescent="0.25">
      <c r="A60" s="43"/>
      <c r="B60" s="81">
        <f t="shared" si="0"/>
        <v>0</v>
      </c>
      <c r="C60" s="43"/>
      <c r="D60" s="667"/>
      <c r="E60" s="43"/>
    </row>
    <row r="61" spans="1:5" x14ac:dyDescent="0.25">
      <c r="A61" s="43"/>
      <c r="B61" s="81">
        <f t="shared" si="0"/>
        <v>0</v>
      </c>
      <c r="C61" s="43"/>
      <c r="D61" s="667"/>
      <c r="E61" s="43"/>
    </row>
    <row r="62" spans="1:5" x14ac:dyDescent="0.25">
      <c r="A62" s="43"/>
      <c r="B62" s="81">
        <f t="shared" si="0"/>
        <v>0</v>
      </c>
      <c r="C62" s="43"/>
      <c r="D62" s="667"/>
      <c r="E62" s="43"/>
    </row>
    <row r="63" spans="1:5" x14ac:dyDescent="0.25">
      <c r="A63" s="43"/>
      <c r="B63" s="81">
        <f>B34</f>
        <v>0</v>
      </c>
      <c r="C63" s="43"/>
      <c r="D63" s="666"/>
      <c r="E63" s="43"/>
    </row>
    <row r="64" spans="1:5" ht="16.5" thickBot="1" x14ac:dyDescent="0.3">
      <c r="A64" s="55" t="str">
        <f>CONCATENATE("Total ",D10-3," Tax Levy Rate")</f>
        <v>Total 2017 Tax Levy Rate</v>
      </c>
      <c r="B64" s="149"/>
      <c r="C64" s="67"/>
      <c r="D64" s="150">
        <f>SUM(D52:D63)</f>
        <v>1.631</v>
      </c>
      <c r="E64" s="43"/>
    </row>
    <row r="65" spans="1:5" ht="16.5" thickTop="1" x14ac:dyDescent="0.25">
      <c r="A65" s="43"/>
      <c r="B65" s="43"/>
      <c r="C65" s="43"/>
      <c r="D65" s="43"/>
      <c r="E65" s="43"/>
    </row>
    <row r="66" spans="1:5" x14ac:dyDescent="0.25">
      <c r="A66" s="720" t="str">
        <f>CONCATENATE("Total Tax Levy (",D10-2," budget column)")</f>
        <v>Total Tax Levy (2018 budget column)</v>
      </c>
      <c r="B66" s="727"/>
      <c r="C66" s="49"/>
      <c r="D66" s="49"/>
      <c r="E66" s="228">
        <v>2500</v>
      </c>
    </row>
    <row r="67" spans="1:5" x14ac:dyDescent="0.25">
      <c r="A67" s="719" t="str">
        <f>CONCATENATE("Assessed Valuation (",D10-2," budget column):")</f>
        <v>Assessed Valuation (2018 budget column):</v>
      </c>
      <c r="B67" s="718"/>
      <c r="C67" s="43"/>
      <c r="D67" s="43"/>
      <c r="E67" s="663">
        <v>1533145</v>
      </c>
    </row>
    <row r="68" spans="1:5" x14ac:dyDescent="0.25">
      <c r="A68" s="43"/>
      <c r="B68" s="43"/>
      <c r="C68" s="43"/>
      <c r="D68" s="43"/>
      <c r="E68" s="151"/>
    </row>
    <row r="69" spans="1:5" x14ac:dyDescent="0.25">
      <c r="A69" s="717" t="s">
        <v>129</v>
      </c>
      <c r="B69" s="716"/>
      <c r="C69" s="152"/>
      <c r="D69" s="153">
        <f>D10-3</f>
        <v>2017</v>
      </c>
      <c r="E69" s="153">
        <f>D10-2</f>
        <v>2018</v>
      </c>
    </row>
    <row r="70" spans="1:5" x14ac:dyDescent="0.25">
      <c r="A70" s="715" t="s">
        <v>84</v>
      </c>
      <c r="B70" s="718"/>
      <c r="C70" s="154"/>
      <c r="D70" s="147"/>
      <c r="E70" s="147"/>
    </row>
    <row r="71" spans="1:5" x14ac:dyDescent="0.25">
      <c r="A71" s="717" t="s">
        <v>126</v>
      </c>
      <c r="B71" s="716"/>
      <c r="C71" s="155"/>
      <c r="D71" s="147"/>
      <c r="E71" s="147"/>
    </row>
    <row r="72" spans="1:5" x14ac:dyDescent="0.25">
      <c r="A72" s="717" t="s">
        <v>85</v>
      </c>
      <c r="B72" s="716"/>
      <c r="C72" s="155"/>
      <c r="D72" s="147"/>
      <c r="E72" s="147"/>
    </row>
    <row r="73" spans="1:5" x14ac:dyDescent="0.25">
      <c r="A73" s="717"/>
      <c r="B73" s="716"/>
      <c r="C73" s="156"/>
      <c r="D73" s="147"/>
      <c r="E73" s="147"/>
    </row>
    <row r="74" spans="1:5" x14ac:dyDescent="0.25">
      <c r="A74" s="85"/>
      <c r="B74" s="85"/>
      <c r="C74" s="85"/>
      <c r="D74" s="85"/>
      <c r="E74" s="85"/>
    </row>
    <row r="75" spans="1:5" x14ac:dyDescent="0.25">
      <c r="A75" s="85"/>
      <c r="B75" s="85"/>
      <c r="C75" s="85"/>
      <c r="D75" s="85"/>
      <c r="E75" s="85"/>
    </row>
    <row r="76" spans="1:5" x14ac:dyDescent="0.25">
      <c r="A76" s="85"/>
      <c r="B76" s="85"/>
      <c r="C76" s="85"/>
      <c r="D76" s="85"/>
      <c r="E76" s="85"/>
    </row>
    <row r="77" spans="1:5" x14ac:dyDescent="0.25">
      <c r="A77" s="85"/>
      <c r="B77" s="85"/>
      <c r="C77" s="85"/>
      <c r="D77" s="85"/>
      <c r="E77" s="85"/>
    </row>
    <row r="78" spans="1:5" x14ac:dyDescent="0.25">
      <c r="A78" s="85"/>
      <c r="B78" s="85"/>
      <c r="C78" s="85"/>
      <c r="D78" s="85"/>
      <c r="E78" s="85"/>
    </row>
    <row r="79" spans="1:5" x14ac:dyDescent="0.25">
      <c r="A79" s="85"/>
      <c r="B79" s="85"/>
      <c r="C79" s="85"/>
      <c r="D79" s="85"/>
      <c r="E79" s="85"/>
    </row>
    <row r="80" spans="1:5" x14ac:dyDescent="0.25">
      <c r="A80" s="85"/>
      <c r="B80" s="85"/>
      <c r="C80" s="85"/>
      <c r="D80" s="85"/>
      <c r="E80" s="85"/>
    </row>
    <row r="81" spans="1:7" x14ac:dyDescent="0.25">
      <c r="A81" s="85"/>
      <c r="B81" s="85"/>
      <c r="C81" s="85"/>
      <c r="D81" s="85"/>
      <c r="E81" s="85"/>
    </row>
    <row r="82" spans="1:7" x14ac:dyDescent="0.25">
      <c r="A82" s="85"/>
      <c r="B82" s="85"/>
      <c r="C82" s="85"/>
      <c r="D82" s="85"/>
      <c r="E82" s="85"/>
    </row>
    <row r="83" spans="1:7" x14ac:dyDescent="0.25">
      <c r="A83" s="85"/>
      <c r="B83" s="85"/>
      <c r="C83" s="85"/>
      <c r="D83" s="85"/>
      <c r="E83" s="85"/>
    </row>
    <row r="84" spans="1:7" s="157" customFormat="1" x14ac:dyDescent="0.25">
      <c r="A84" s="85"/>
      <c r="B84" s="85"/>
      <c r="C84" s="85"/>
      <c r="D84" s="85"/>
      <c r="E84" s="85"/>
    </row>
    <row r="85" spans="1:7" x14ac:dyDescent="0.25">
      <c r="A85" s="85"/>
      <c r="B85" s="85"/>
      <c r="C85" s="85"/>
      <c r="D85" s="85"/>
      <c r="E85" s="85"/>
    </row>
    <row r="86" spans="1:7" x14ac:dyDescent="0.25">
      <c r="A86" s="85"/>
      <c r="B86" s="85"/>
      <c r="C86" s="85"/>
      <c r="D86" s="85"/>
      <c r="E86" s="85"/>
    </row>
    <row r="87" spans="1:7" x14ac:dyDescent="0.25">
      <c r="A87" s="85"/>
      <c r="B87" s="85"/>
      <c r="C87" s="85"/>
      <c r="D87" s="85"/>
      <c r="E87" s="85"/>
    </row>
    <row r="88" spans="1:7" x14ac:dyDescent="0.25">
      <c r="A88" s="85"/>
      <c r="B88" s="85"/>
      <c r="C88" s="85"/>
      <c r="D88" s="85"/>
      <c r="E88" s="85"/>
    </row>
    <row r="89" spans="1:7" x14ac:dyDescent="0.25">
      <c r="A89" s="85"/>
      <c r="B89" s="85"/>
      <c r="C89" s="85"/>
      <c r="D89" s="85"/>
      <c r="E89" s="85"/>
    </row>
    <row r="90" spans="1:7" x14ac:dyDescent="0.25">
      <c r="A90" s="85"/>
      <c r="B90" s="85"/>
      <c r="C90" s="85"/>
      <c r="D90" s="85"/>
      <c r="E90" s="85"/>
    </row>
    <row r="91" spans="1:7" x14ac:dyDescent="0.25">
      <c r="A91" s="85"/>
      <c r="B91" s="85"/>
      <c r="C91" s="85"/>
      <c r="D91" s="85"/>
      <c r="E91" s="85"/>
    </row>
    <row r="92" spans="1:7" x14ac:dyDescent="0.25">
      <c r="A92" s="85"/>
      <c r="B92" s="85"/>
      <c r="C92" s="85"/>
      <c r="D92" s="85"/>
      <c r="E92" s="85"/>
    </row>
    <row r="93" spans="1:7" x14ac:dyDescent="0.25">
      <c r="A93" s="85"/>
      <c r="B93" s="85"/>
      <c r="C93" s="85"/>
      <c r="D93" s="85"/>
      <c r="E93" s="85"/>
    </row>
    <row r="94" spans="1:7" s="89" customFormat="1" x14ac:dyDescent="0.25">
      <c r="A94" s="85"/>
      <c r="B94" s="85"/>
      <c r="C94" s="85"/>
      <c r="D94" s="85"/>
      <c r="E94" s="85"/>
      <c r="G94" s="129"/>
    </row>
    <row r="95" spans="1:7" s="89" customFormat="1" x14ac:dyDescent="0.25">
      <c r="A95" s="85"/>
      <c r="B95" s="85"/>
      <c r="C95" s="85"/>
      <c r="D95" s="85"/>
      <c r="E95" s="85"/>
      <c r="G95" s="129"/>
    </row>
    <row r="96" spans="1:7" x14ac:dyDescent="0.25">
      <c r="A96" s="85"/>
      <c r="B96" s="85"/>
      <c r="C96" s="85"/>
      <c r="D96" s="85"/>
      <c r="E96" s="85"/>
    </row>
  </sheetData>
  <sheetProtection sheet="1"/>
  <mergeCells count="5">
    <mergeCell ref="D50:D51"/>
    <mergeCell ref="A17:E17"/>
    <mergeCell ref="A1:E1"/>
    <mergeCell ref="A14:E16"/>
    <mergeCell ref="G14:H20"/>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00B0F0"/>
    <pageSetUpPr fitToPage="1"/>
  </sheetPr>
  <dimension ref="B1:E65"/>
  <sheetViews>
    <sheetView workbookViewId="0">
      <selection activeCell="E90" sqref="E90"/>
    </sheetView>
  </sheetViews>
  <sheetFormatPr defaultColWidth="8.796875" defaultRowHeight="15.75" x14ac:dyDescent="0.25"/>
  <cols>
    <col min="1" max="1" width="2.3984375" style="89" customWidth="1"/>
    <col min="2" max="2" width="31" style="89" customWidth="1"/>
    <col min="3" max="5" width="14.19921875" style="89" customWidth="1"/>
    <col min="6" max="16384" width="8.796875" style="89"/>
  </cols>
  <sheetData>
    <row r="1" spans="2:5" x14ac:dyDescent="0.25">
      <c r="B1" s="182" t="str">
        <f>inputPrYr!D4</f>
        <v>Scott Township</v>
      </c>
      <c r="C1" s="43"/>
      <c r="D1" s="43"/>
      <c r="E1" s="183">
        <f>inputPrYr!D10</f>
        <v>2020</v>
      </c>
    </row>
    <row r="2" spans="2:5" x14ac:dyDescent="0.25">
      <c r="B2" s="43"/>
      <c r="C2" s="43"/>
      <c r="D2" s="43"/>
      <c r="E2" s="170"/>
    </row>
    <row r="3" spans="2:5" x14ac:dyDescent="0.25">
      <c r="B3" s="131" t="s">
        <v>69</v>
      </c>
      <c r="C3" s="48"/>
      <c r="D3" s="48"/>
      <c r="E3" s="48"/>
    </row>
    <row r="4" spans="2:5" x14ac:dyDescent="0.25">
      <c r="B4" s="50" t="s">
        <v>224</v>
      </c>
      <c r="C4" s="164" t="s">
        <v>225</v>
      </c>
      <c r="D4" s="52" t="s">
        <v>226</v>
      </c>
      <c r="E4" s="52" t="s">
        <v>227</v>
      </c>
    </row>
    <row r="5" spans="2:5" x14ac:dyDescent="0.25">
      <c r="B5" s="413">
        <f>inputPrYr!B38</f>
        <v>0</v>
      </c>
      <c r="C5" s="57" t="str">
        <f>gen!C5</f>
        <v>Actual for 2018</v>
      </c>
      <c r="D5" s="57" t="str">
        <f>gen!D5</f>
        <v>Estimate for 2019</v>
      </c>
      <c r="E5" s="57" t="str">
        <f>gen!E5</f>
        <v>Year for 2020</v>
      </c>
    </row>
    <row r="6" spans="2:5" x14ac:dyDescent="0.25">
      <c r="B6" s="272" t="s">
        <v>70</v>
      </c>
      <c r="C6" s="137"/>
      <c r="D6" s="205">
        <f>C28</f>
        <v>0</v>
      </c>
      <c r="E6" s="205">
        <f>D28</f>
        <v>0</v>
      </c>
    </row>
    <row r="7" spans="2:5" s="129" customFormat="1" x14ac:dyDescent="0.25">
      <c r="B7" s="273" t="s">
        <v>59</v>
      </c>
      <c r="C7" s="68"/>
      <c r="D7" s="68"/>
      <c r="E7" s="68"/>
    </row>
    <row r="8" spans="2:5" x14ac:dyDescent="0.25">
      <c r="B8" s="256"/>
      <c r="C8" s="137"/>
      <c r="D8" s="137"/>
      <c r="E8" s="137"/>
    </row>
    <row r="9" spans="2:5" x14ac:dyDescent="0.25">
      <c r="B9" s="256"/>
      <c r="C9" s="137"/>
      <c r="D9" s="137"/>
      <c r="E9" s="137"/>
    </row>
    <row r="10" spans="2:5" x14ac:dyDescent="0.25">
      <c r="B10" s="256"/>
      <c r="C10" s="137"/>
      <c r="D10" s="137"/>
      <c r="E10" s="137"/>
    </row>
    <row r="11" spans="2:5" x14ac:dyDescent="0.25">
      <c r="B11" s="256"/>
      <c r="C11" s="137"/>
      <c r="D11" s="137"/>
      <c r="E11" s="137"/>
    </row>
    <row r="12" spans="2:5" x14ac:dyDescent="0.25">
      <c r="B12" s="274" t="s">
        <v>236</v>
      </c>
      <c r="C12" s="137"/>
      <c r="D12" s="137"/>
      <c r="E12" s="137"/>
    </row>
    <row r="13" spans="2:5" x14ac:dyDescent="0.25">
      <c r="B13" s="258" t="s">
        <v>186</v>
      </c>
      <c r="C13" s="137"/>
      <c r="D13" s="253"/>
      <c r="E13" s="253"/>
    </row>
    <row r="14" spans="2:5" x14ac:dyDescent="0.25">
      <c r="B14" s="258" t="s">
        <v>187</v>
      </c>
      <c r="C14" s="262" t="str">
        <f>IF(C15*0.1&lt;C13,"Exceed 10% Rule","")</f>
        <v/>
      </c>
      <c r="D14" s="259" t="str">
        <f>IF(D15*0.1&lt;D13,"Exceed 10% Rule","")</f>
        <v/>
      </c>
      <c r="E14" s="259" t="str">
        <f>IF(E15*0.1&lt;E13,"Exceed 10% Rule","")</f>
        <v/>
      </c>
    </row>
    <row r="15" spans="2:5" x14ac:dyDescent="0.25">
      <c r="B15" s="76" t="s">
        <v>237</v>
      </c>
      <c r="C15" s="261">
        <f>SUM(C8:C13)</f>
        <v>0</v>
      </c>
      <c r="D15" s="261">
        <f>SUM(D8:D13)</f>
        <v>0</v>
      </c>
      <c r="E15" s="261">
        <f>SUM(E8:E13)</f>
        <v>0</v>
      </c>
    </row>
    <row r="16" spans="2:5" x14ac:dyDescent="0.25">
      <c r="B16" s="76" t="s">
        <v>238</v>
      </c>
      <c r="C16" s="269">
        <f>C6+C15</f>
        <v>0</v>
      </c>
      <c r="D16" s="269">
        <f>D6+D15</f>
        <v>0</v>
      </c>
      <c r="E16" s="269">
        <f>E6+E15</f>
        <v>0</v>
      </c>
    </row>
    <row r="17" spans="2:5" x14ac:dyDescent="0.25">
      <c r="B17" s="58" t="s">
        <v>239</v>
      </c>
      <c r="C17" s="205"/>
      <c r="D17" s="205"/>
      <c r="E17" s="205"/>
    </row>
    <row r="18" spans="2:5" x14ac:dyDescent="0.25">
      <c r="B18" s="256"/>
      <c r="C18" s="137"/>
      <c r="D18" s="137"/>
      <c r="E18" s="137"/>
    </row>
    <row r="19" spans="2:5" x14ac:dyDescent="0.25">
      <c r="B19" s="256"/>
      <c r="C19" s="137"/>
      <c r="D19" s="137"/>
      <c r="E19" s="137"/>
    </row>
    <row r="20" spans="2:5" x14ac:dyDescent="0.25">
      <c r="B20" s="256"/>
      <c r="C20" s="137"/>
      <c r="D20" s="137"/>
      <c r="E20" s="137"/>
    </row>
    <row r="21" spans="2:5" x14ac:dyDescent="0.25">
      <c r="B21" s="256"/>
      <c r="C21" s="137"/>
      <c r="D21" s="137"/>
      <c r="E21" s="137"/>
    </row>
    <row r="22" spans="2:5" x14ac:dyDescent="0.25">
      <c r="B22" s="256"/>
      <c r="C22" s="137"/>
      <c r="D22" s="137"/>
      <c r="E22" s="137"/>
    </row>
    <row r="23" spans="2:5" x14ac:dyDescent="0.25">
      <c r="B23" s="256"/>
      <c r="C23" s="137"/>
      <c r="D23" s="137"/>
      <c r="E23" s="137"/>
    </row>
    <row r="24" spans="2:5" x14ac:dyDescent="0.25">
      <c r="B24" s="255" t="str">
        <f>CONCATENATE("Cash Forward (",E1," column)")</f>
        <v>Cash Forward (2020 column)</v>
      </c>
      <c r="C24" s="137"/>
      <c r="D24" s="137"/>
      <c r="E24" s="137"/>
    </row>
    <row r="25" spans="2:5" x14ac:dyDescent="0.25">
      <c r="B25" s="255" t="s">
        <v>186</v>
      </c>
      <c r="C25" s="137"/>
      <c r="D25" s="253"/>
      <c r="E25" s="253"/>
    </row>
    <row r="26" spans="2:5" x14ac:dyDescent="0.25">
      <c r="B26" s="255" t="s">
        <v>637</v>
      </c>
      <c r="C26" s="262" t="str">
        <f>IF(C27*0.1&lt;C25,"Exceed 10% Rule","")</f>
        <v/>
      </c>
      <c r="D26" s="259" t="str">
        <f>IF(D27*0.1&lt;D25,"Exceed 10% Rule","")</f>
        <v/>
      </c>
      <c r="E26" s="259" t="str">
        <f>IF(E27*0.1&lt;E25,"Exceed 10% Rule","")</f>
        <v/>
      </c>
    </row>
    <row r="27" spans="2:5" x14ac:dyDescent="0.25">
      <c r="B27" s="76" t="s">
        <v>240</v>
      </c>
      <c r="C27" s="261">
        <f>SUM(C18:C25)</f>
        <v>0</v>
      </c>
      <c r="D27" s="261">
        <f>SUM(D18:D25)</f>
        <v>0</v>
      </c>
      <c r="E27" s="261">
        <f>SUM(E18:E25)</f>
        <v>0</v>
      </c>
    </row>
    <row r="28" spans="2:5" x14ac:dyDescent="0.25">
      <c r="B28" s="58" t="s">
        <v>58</v>
      </c>
      <c r="C28" s="148">
        <f>C16-C27</f>
        <v>0</v>
      </c>
      <c r="D28" s="148">
        <f>D16-D27</f>
        <v>0</v>
      </c>
      <c r="E28" s="148">
        <f>E16-E27</f>
        <v>0</v>
      </c>
    </row>
    <row r="29" spans="2:5" x14ac:dyDescent="0.25">
      <c r="B29" s="92" t="str">
        <f>CONCATENATE("",E1-2,"/",E1-1,"/",E1," Budget Authority Amount:")</f>
        <v>2018/2019/2020 Budget Authority Amount:</v>
      </c>
      <c r="C29" s="673">
        <f>inputOth!B101</f>
        <v>0</v>
      </c>
      <c r="D29" s="673">
        <f>inputPrYr!D38</f>
        <v>0</v>
      </c>
      <c r="E29" s="677">
        <f>E27</f>
        <v>0</v>
      </c>
    </row>
    <row r="30" spans="2:5" x14ac:dyDescent="0.25">
      <c r="B30" s="93"/>
      <c r="C30" s="264" t="str">
        <f>IF(C27&gt;C29,"See Tab A","")</f>
        <v/>
      </c>
      <c r="D30" s="264" t="str">
        <f>IF(D27&gt;D29,"See Tab C","")</f>
        <v/>
      </c>
      <c r="E30" s="678" t="str">
        <f>IF(E28&lt;0,"See Tab E","")</f>
        <v/>
      </c>
    </row>
    <row r="31" spans="2:5" x14ac:dyDescent="0.25">
      <c r="B31" s="93"/>
      <c r="C31" s="264" t="str">
        <f>IF(C28&lt;0,"See Tab B","")</f>
        <v/>
      </c>
      <c r="D31" s="151"/>
      <c r="E31" s="151"/>
    </row>
    <row r="32" spans="2:5" x14ac:dyDescent="0.25">
      <c r="B32" s="43"/>
      <c r="C32" s="151"/>
      <c r="D32" s="151"/>
      <c r="E32" s="151"/>
    </row>
    <row r="33" spans="2:5" x14ac:dyDescent="0.25">
      <c r="B33" s="50" t="s">
        <v>224</v>
      </c>
      <c r="C33" s="48"/>
      <c r="D33" s="48"/>
      <c r="E33" s="48"/>
    </row>
    <row r="34" spans="2:5" x14ac:dyDescent="0.25">
      <c r="B34" s="43"/>
      <c r="C34" s="164" t="s">
        <v>225</v>
      </c>
      <c r="D34" s="52" t="s">
        <v>226</v>
      </c>
      <c r="E34" s="52" t="s">
        <v>227</v>
      </c>
    </row>
    <row r="35" spans="2:5" x14ac:dyDescent="0.25">
      <c r="B35" s="414">
        <f>inputPrYr!B39</f>
        <v>0</v>
      </c>
      <c r="C35" s="57" t="str">
        <f>C5</f>
        <v>Actual for 2018</v>
      </c>
      <c r="D35" s="57" t="str">
        <f>D5</f>
        <v>Estimate for 2019</v>
      </c>
      <c r="E35" s="57" t="str">
        <f>E5</f>
        <v>Year for 2020</v>
      </c>
    </row>
    <row r="36" spans="2:5" x14ac:dyDescent="0.25">
      <c r="B36" s="272" t="s">
        <v>70</v>
      </c>
      <c r="C36" s="137"/>
      <c r="D36" s="205">
        <f>C58</f>
        <v>0</v>
      </c>
      <c r="E36" s="205">
        <f>D58</f>
        <v>0</v>
      </c>
    </row>
    <row r="37" spans="2:5" s="129" customFormat="1" x14ac:dyDescent="0.25">
      <c r="B37" s="272" t="s">
        <v>59</v>
      </c>
      <c r="C37" s="68"/>
      <c r="D37" s="68"/>
      <c r="E37" s="68"/>
    </row>
    <row r="38" spans="2:5" x14ac:dyDescent="0.25">
      <c r="B38" s="256"/>
      <c r="C38" s="137"/>
      <c r="D38" s="137"/>
      <c r="E38" s="137"/>
    </row>
    <row r="39" spans="2:5" x14ac:dyDescent="0.25">
      <c r="B39" s="256"/>
      <c r="C39" s="137"/>
      <c r="D39" s="137"/>
      <c r="E39" s="137"/>
    </row>
    <row r="40" spans="2:5" x14ac:dyDescent="0.25">
      <c r="B40" s="256"/>
      <c r="C40" s="137"/>
      <c r="D40" s="137"/>
      <c r="E40" s="137"/>
    </row>
    <row r="41" spans="2:5" x14ac:dyDescent="0.25">
      <c r="B41" s="256"/>
      <c r="C41" s="137"/>
      <c r="D41" s="137"/>
      <c r="E41" s="137"/>
    </row>
    <row r="42" spans="2:5" x14ac:dyDescent="0.25">
      <c r="B42" s="274" t="s">
        <v>236</v>
      </c>
      <c r="C42" s="137"/>
      <c r="D42" s="137"/>
      <c r="E42" s="137"/>
    </row>
    <row r="43" spans="2:5" x14ac:dyDescent="0.25">
      <c r="B43" s="258" t="s">
        <v>186</v>
      </c>
      <c r="C43" s="137"/>
      <c r="D43" s="253"/>
      <c r="E43" s="253"/>
    </row>
    <row r="44" spans="2:5" x14ac:dyDescent="0.25">
      <c r="B44" s="258" t="s">
        <v>187</v>
      </c>
      <c r="C44" s="262" t="str">
        <f>IF(C45*0.1&lt;C43,"Exceed 10% Rule","")</f>
        <v/>
      </c>
      <c r="D44" s="259" t="str">
        <f>IF(D45*0.1&lt;D43,"Exceed 10% Rule","")</f>
        <v/>
      </c>
      <c r="E44" s="259" t="str">
        <f>IF(E45*0.1&lt;E43,"Exceed 10% Rule","")</f>
        <v/>
      </c>
    </row>
    <row r="45" spans="2:5" x14ac:dyDescent="0.25">
      <c r="B45" s="76" t="s">
        <v>237</v>
      </c>
      <c r="C45" s="261">
        <f>SUM(C38:C43)</f>
        <v>0</v>
      </c>
      <c r="D45" s="261">
        <f>SUM(D38:D43)</f>
        <v>0</v>
      </c>
      <c r="E45" s="261">
        <f>SUM(E38:E43)</f>
        <v>0</v>
      </c>
    </row>
    <row r="46" spans="2:5" x14ac:dyDescent="0.25">
      <c r="B46" s="76" t="s">
        <v>238</v>
      </c>
      <c r="C46" s="261">
        <f>C36+C45</f>
        <v>0</v>
      </c>
      <c r="D46" s="261">
        <f>D36+D45</f>
        <v>0</v>
      </c>
      <c r="E46" s="261">
        <f>E36+E45</f>
        <v>0</v>
      </c>
    </row>
    <row r="47" spans="2:5" x14ac:dyDescent="0.25">
      <c r="B47" s="58" t="s">
        <v>239</v>
      </c>
      <c r="C47" s="205"/>
      <c r="D47" s="205"/>
      <c r="E47" s="205"/>
    </row>
    <row r="48" spans="2:5" x14ac:dyDescent="0.25">
      <c r="B48" s="256"/>
      <c r="C48" s="137"/>
      <c r="D48" s="137"/>
      <c r="E48" s="137"/>
    </row>
    <row r="49" spans="2:5" x14ac:dyDescent="0.25">
      <c r="B49" s="256"/>
      <c r="C49" s="137"/>
      <c r="D49" s="137"/>
      <c r="E49" s="137"/>
    </row>
    <row r="50" spans="2:5" x14ac:dyDescent="0.25">
      <c r="B50" s="256"/>
      <c r="C50" s="137"/>
      <c r="D50" s="137"/>
      <c r="E50" s="137"/>
    </row>
    <row r="51" spans="2:5" x14ac:dyDescent="0.25">
      <c r="B51" s="256"/>
      <c r="C51" s="137"/>
      <c r="D51" s="137"/>
      <c r="E51" s="137"/>
    </row>
    <row r="52" spans="2:5" x14ac:dyDescent="0.25">
      <c r="B52" s="256"/>
      <c r="C52" s="137"/>
      <c r="D52" s="137"/>
      <c r="E52" s="137"/>
    </row>
    <row r="53" spans="2:5" x14ac:dyDescent="0.25">
      <c r="B53" s="256"/>
      <c r="C53" s="137"/>
      <c r="D53" s="137"/>
      <c r="E53" s="137"/>
    </row>
    <row r="54" spans="2:5" x14ac:dyDescent="0.25">
      <c r="B54" s="255" t="str">
        <f>CONCATENATE("Cash Forward (",E1," column)")</f>
        <v>Cash Forward (2020 column)</v>
      </c>
      <c r="C54" s="137"/>
      <c r="D54" s="137"/>
      <c r="E54" s="137"/>
    </row>
    <row r="55" spans="2:5" x14ac:dyDescent="0.25">
      <c r="B55" s="255" t="s">
        <v>186</v>
      </c>
      <c r="C55" s="137"/>
      <c r="D55" s="253"/>
      <c r="E55" s="253"/>
    </row>
    <row r="56" spans="2:5" x14ac:dyDescent="0.25">
      <c r="B56" s="255" t="s">
        <v>637</v>
      </c>
      <c r="C56" s="262" t="str">
        <f>IF(C57*0.1&lt;C55,"Exceed 10% Rule","")</f>
        <v/>
      </c>
      <c r="D56" s="259" t="str">
        <f>IF(D57*0.1&lt;D55,"Exceed 10% Rule","")</f>
        <v/>
      </c>
      <c r="E56" s="259" t="str">
        <f>IF(E57*0.1&lt;E55,"Exceed 10% Rule","")</f>
        <v/>
      </c>
    </row>
    <row r="57" spans="2:5" x14ac:dyDescent="0.25">
      <c r="B57" s="76" t="s">
        <v>240</v>
      </c>
      <c r="C57" s="261">
        <f>SUM(C48:C55)</f>
        <v>0</v>
      </c>
      <c r="D57" s="261">
        <f>SUM(D48:D55)</f>
        <v>0</v>
      </c>
      <c r="E57" s="261">
        <f>SUM(E48:E55)</f>
        <v>0</v>
      </c>
    </row>
    <row r="58" spans="2:5" x14ac:dyDescent="0.25">
      <c r="B58" s="58" t="s">
        <v>58</v>
      </c>
      <c r="C58" s="148">
        <f>C46-C57</f>
        <v>0</v>
      </c>
      <c r="D58" s="148">
        <f>D46-D57</f>
        <v>0</v>
      </c>
      <c r="E58" s="148">
        <f>E46-E57</f>
        <v>0</v>
      </c>
    </row>
    <row r="59" spans="2:5" x14ac:dyDescent="0.25">
      <c r="B59" s="92" t="str">
        <f>CONCATENATE("",E1-2,"/",E1-1,"/",E1," Budget Authority Amount:")</f>
        <v>2018/2019/2020 Budget Authority Amount:</v>
      </c>
      <c r="C59" s="673">
        <f>inputOth!B102</f>
        <v>0</v>
      </c>
      <c r="D59" s="673">
        <f>inputPrYr!D39</f>
        <v>0</v>
      </c>
      <c r="E59" s="677">
        <f>E57</f>
        <v>0</v>
      </c>
    </row>
    <row r="60" spans="2:5" x14ac:dyDescent="0.25">
      <c r="B60" s="93"/>
      <c r="C60" s="264" t="str">
        <f>IF(C57&gt;C59,"See Tab A","")</f>
        <v/>
      </c>
      <c r="D60" s="264" t="str">
        <f>IF(D57&gt;D59,"See Tab C","")</f>
        <v/>
      </c>
      <c r="E60" s="679" t="str">
        <f>IF(E58&lt;0,"See Tab E","")</f>
        <v/>
      </c>
    </row>
    <row r="61" spans="2:5" x14ac:dyDescent="0.25">
      <c r="B61" s="819" t="s">
        <v>987</v>
      </c>
      <c r="C61" s="679"/>
      <c r="D61" s="679"/>
      <c r="E61" s="813"/>
    </row>
    <row r="62" spans="2:5" x14ac:dyDescent="0.25">
      <c r="B62" s="814"/>
      <c r="C62" s="812"/>
      <c r="D62" s="812"/>
      <c r="E62" s="815"/>
    </row>
    <row r="63" spans="2:5" x14ac:dyDescent="0.25">
      <c r="B63" s="816"/>
      <c r="C63" s="817" t="str">
        <f>IF(C58&lt;0,"See Tab B","")</f>
        <v/>
      </c>
      <c r="D63" s="818" t="str">
        <f>IF(D58&lt;0,"See Tab D","")</f>
        <v/>
      </c>
      <c r="E63" s="67"/>
    </row>
    <row r="64" spans="2:5" x14ac:dyDescent="0.25">
      <c r="B64" s="43"/>
      <c r="C64" s="43"/>
      <c r="D64" s="43"/>
      <c r="E64" s="43"/>
    </row>
    <row r="65" spans="2:5" x14ac:dyDescent="0.25">
      <c r="B65" s="170" t="s">
        <v>223</v>
      </c>
      <c r="C65" s="710"/>
      <c r="D65" s="43"/>
      <c r="E65" s="43"/>
    </row>
  </sheetData>
  <sheetProtection sheet="1"/>
  <phoneticPr fontId="11"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5">
    <cfRule type="cellIs" dxfId="40" priority="14" stopIfTrue="1" operator="greaterThan">
      <formula>$C$27*0.1</formula>
    </cfRule>
  </conditionalFormatting>
  <conditionalFormatting sqref="D25">
    <cfRule type="cellIs" dxfId="39" priority="15" stopIfTrue="1" operator="greaterThan">
      <formula>$D$27*0.1</formula>
    </cfRule>
  </conditionalFormatting>
  <conditionalFormatting sqref="E25">
    <cfRule type="cellIs" dxfId="38" priority="16" stopIfTrue="1" operator="greaterThan">
      <formula>$E$27*0.1</formula>
    </cfRule>
  </conditionalFormatting>
  <conditionalFormatting sqref="C55">
    <cfRule type="cellIs" dxfId="37" priority="17" stopIfTrue="1" operator="greaterThan">
      <formula>$C$57*0.1</formula>
    </cfRule>
  </conditionalFormatting>
  <conditionalFormatting sqref="D55">
    <cfRule type="cellIs" dxfId="36" priority="18" stopIfTrue="1" operator="greaterThan">
      <formula>$D$57*0.1</formula>
    </cfRule>
  </conditionalFormatting>
  <conditionalFormatting sqref="E55">
    <cfRule type="cellIs" dxfId="35" priority="19" stopIfTrue="1" operator="greaterThan">
      <formula>$E$57*0.1</formula>
    </cfRule>
  </conditionalFormatting>
  <conditionalFormatting sqref="C43">
    <cfRule type="cellIs" dxfId="34" priority="20" stopIfTrue="1" operator="greaterThan">
      <formula>$C$45*0.1</formula>
    </cfRule>
  </conditionalFormatting>
  <conditionalFormatting sqref="D43">
    <cfRule type="cellIs" dxfId="33" priority="21" stopIfTrue="1" operator="greaterThan">
      <formula>$D$45*0.1</formula>
    </cfRule>
  </conditionalFormatting>
  <conditionalFormatting sqref="E43">
    <cfRule type="cellIs" dxfId="32" priority="22" stopIfTrue="1" operator="greaterThan">
      <formula>$E$45*0.1</formula>
    </cfRule>
  </conditionalFormatting>
  <conditionalFormatting sqref="C57">
    <cfRule type="cellIs" dxfId="31" priority="10" stopIfTrue="1" operator="greaterThan">
      <formula>$C$59</formula>
    </cfRule>
  </conditionalFormatting>
  <conditionalFormatting sqref="C58">
    <cfRule type="cellIs" dxfId="30" priority="9" stopIfTrue="1" operator="lessThan">
      <formula>0</formula>
    </cfRule>
  </conditionalFormatting>
  <conditionalFormatting sqref="D57">
    <cfRule type="cellIs" dxfId="29" priority="8" stopIfTrue="1" operator="greaterThan">
      <formula>$D$59</formula>
    </cfRule>
  </conditionalFormatting>
  <conditionalFormatting sqref="E58">
    <cfRule type="cellIs" dxfId="28" priority="7" stopIfTrue="1" operator="lessThan">
      <formula>0</formula>
    </cfRule>
  </conditionalFormatting>
  <conditionalFormatting sqref="D28">
    <cfRule type="cellIs" dxfId="27" priority="6" stopIfTrue="1" operator="lessThan">
      <formula>0</formula>
    </cfRule>
  </conditionalFormatting>
  <conditionalFormatting sqref="E28">
    <cfRule type="cellIs" dxfId="26" priority="5" stopIfTrue="1" operator="lessThan">
      <formula>0</formula>
    </cfRule>
  </conditionalFormatting>
  <conditionalFormatting sqref="D27">
    <cfRule type="cellIs" dxfId="25" priority="4" stopIfTrue="1" operator="greaterThan">
      <formula>$D$29</formula>
    </cfRule>
  </conditionalFormatting>
  <conditionalFormatting sqref="C28">
    <cfRule type="cellIs" dxfId="24" priority="3" stopIfTrue="1" operator="lessThan">
      <formula>0</formula>
    </cfRule>
  </conditionalFormatting>
  <conditionalFormatting sqref="C27">
    <cfRule type="cellIs" dxfId="23" priority="2" stopIfTrue="1" operator="greaterThan">
      <formula>$C$29</formula>
    </cfRule>
  </conditionalFormatting>
  <conditionalFormatting sqref="D58">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00B0F0"/>
    <pageSetUpPr fitToPage="1"/>
  </sheetPr>
  <dimension ref="B1:E65"/>
  <sheetViews>
    <sheetView workbookViewId="0">
      <selection activeCell="E90" sqref="E90"/>
    </sheetView>
  </sheetViews>
  <sheetFormatPr defaultColWidth="8.796875" defaultRowHeight="15.75" x14ac:dyDescent="0.25"/>
  <cols>
    <col min="1" max="1" width="2.3984375" style="89" customWidth="1"/>
    <col min="2" max="2" width="31" style="89" customWidth="1"/>
    <col min="3" max="5" width="14.19921875" style="89" customWidth="1"/>
    <col min="6" max="16384" width="8.796875" style="89"/>
  </cols>
  <sheetData>
    <row r="1" spans="2:5" x14ac:dyDescent="0.25">
      <c r="B1" s="182" t="str">
        <f>inputPrYr!D4</f>
        <v>Scott Township</v>
      </c>
      <c r="C1" s="43"/>
      <c r="D1" s="43"/>
      <c r="E1" s="183">
        <f>inputPrYr!D10</f>
        <v>2020</v>
      </c>
    </row>
    <row r="2" spans="2:5" x14ac:dyDescent="0.25">
      <c r="B2" s="43"/>
      <c r="C2" s="43"/>
      <c r="D2" s="43"/>
      <c r="E2" s="170"/>
    </row>
    <row r="3" spans="2:5" x14ac:dyDescent="0.25">
      <c r="B3" s="131" t="s">
        <v>69</v>
      </c>
      <c r="C3" s="48"/>
      <c r="D3" s="48"/>
      <c r="E3" s="48"/>
    </row>
    <row r="4" spans="2:5" x14ac:dyDescent="0.25">
      <c r="B4" s="50" t="s">
        <v>224</v>
      </c>
      <c r="C4" s="164" t="s">
        <v>225</v>
      </c>
      <c r="D4" s="52" t="s">
        <v>226</v>
      </c>
      <c r="E4" s="52" t="s">
        <v>227</v>
      </c>
    </row>
    <row r="5" spans="2:5" x14ac:dyDescent="0.25">
      <c r="B5" s="144">
        <f>inputPrYr!B40</f>
        <v>0</v>
      </c>
      <c r="C5" s="57" t="str">
        <f>gen!C5</f>
        <v>Actual for 2018</v>
      </c>
      <c r="D5" s="57" t="str">
        <f>gen!D5</f>
        <v>Estimate for 2019</v>
      </c>
      <c r="E5" s="57" t="str">
        <f>gen!E5</f>
        <v>Year for 2020</v>
      </c>
    </row>
    <row r="6" spans="2:5" x14ac:dyDescent="0.25">
      <c r="B6" s="272" t="s">
        <v>70</v>
      </c>
      <c r="C6" s="137"/>
      <c r="D6" s="205">
        <f>C28</f>
        <v>0</v>
      </c>
      <c r="E6" s="205">
        <f>D28</f>
        <v>0</v>
      </c>
    </row>
    <row r="7" spans="2:5" s="129" customFormat="1" x14ac:dyDescent="0.25">
      <c r="B7" s="273" t="s">
        <v>59</v>
      </c>
      <c r="C7" s="68"/>
      <c r="D7" s="68"/>
      <c r="E7" s="68"/>
    </row>
    <row r="8" spans="2:5" x14ac:dyDescent="0.25">
      <c r="B8" s="256"/>
      <c r="C8" s="137"/>
      <c r="D8" s="137"/>
      <c r="E8" s="137"/>
    </row>
    <row r="9" spans="2:5" x14ac:dyDescent="0.25">
      <c r="B9" s="256"/>
      <c r="C9" s="137"/>
      <c r="D9" s="137"/>
      <c r="E9" s="137"/>
    </row>
    <row r="10" spans="2:5" x14ac:dyDescent="0.25">
      <c r="B10" s="256"/>
      <c r="C10" s="137"/>
      <c r="D10" s="137"/>
      <c r="E10" s="137"/>
    </row>
    <row r="11" spans="2:5" x14ac:dyDescent="0.25">
      <c r="B11" s="256"/>
      <c r="C11" s="137"/>
      <c r="D11" s="137"/>
      <c r="E11" s="137"/>
    </row>
    <row r="12" spans="2:5" x14ac:dyDescent="0.25">
      <c r="B12" s="274" t="s">
        <v>236</v>
      </c>
      <c r="C12" s="137"/>
      <c r="D12" s="137"/>
      <c r="E12" s="137"/>
    </row>
    <row r="13" spans="2:5" x14ac:dyDescent="0.25">
      <c r="B13" s="258" t="s">
        <v>186</v>
      </c>
      <c r="C13" s="137"/>
      <c r="D13" s="253"/>
      <c r="E13" s="253"/>
    </row>
    <row r="14" spans="2:5" x14ac:dyDescent="0.25">
      <c r="B14" s="258" t="s">
        <v>187</v>
      </c>
      <c r="C14" s="262" t="str">
        <f>IF(C15*0.1&lt;C13,"Exceed 10% Rule","")</f>
        <v/>
      </c>
      <c r="D14" s="259" t="str">
        <f>IF(D15*0.1&lt;D13,"Exceed 10% Rule","")</f>
        <v/>
      </c>
      <c r="E14" s="259" t="str">
        <f>IF(E15*0.1&lt;E13,"Exceed 10% Rule","")</f>
        <v/>
      </c>
    </row>
    <row r="15" spans="2:5" x14ac:dyDescent="0.25">
      <c r="B15" s="76" t="s">
        <v>237</v>
      </c>
      <c r="C15" s="261">
        <f>SUM(C8:C13)</f>
        <v>0</v>
      </c>
      <c r="D15" s="261">
        <f>SUM(D8:D13)</f>
        <v>0</v>
      </c>
      <c r="E15" s="261">
        <f>SUM(E8:E13)</f>
        <v>0</v>
      </c>
    </row>
    <row r="16" spans="2:5" x14ac:dyDescent="0.25">
      <c r="B16" s="76" t="s">
        <v>238</v>
      </c>
      <c r="C16" s="261">
        <f>C6+C15</f>
        <v>0</v>
      </c>
      <c r="D16" s="261">
        <f>D6+D15</f>
        <v>0</v>
      </c>
      <c r="E16" s="261">
        <f>E6+E15</f>
        <v>0</v>
      </c>
    </row>
    <row r="17" spans="2:5" x14ac:dyDescent="0.25">
      <c r="B17" s="58" t="s">
        <v>239</v>
      </c>
      <c r="C17" s="205"/>
      <c r="D17" s="205"/>
      <c r="E17" s="205"/>
    </row>
    <row r="18" spans="2:5" x14ac:dyDescent="0.25">
      <c r="B18" s="256"/>
      <c r="C18" s="137"/>
      <c r="D18" s="137"/>
      <c r="E18" s="137"/>
    </row>
    <row r="19" spans="2:5" x14ac:dyDescent="0.25">
      <c r="B19" s="256"/>
      <c r="C19" s="137"/>
      <c r="D19" s="137"/>
      <c r="E19" s="137"/>
    </row>
    <row r="20" spans="2:5" x14ac:dyDescent="0.25">
      <c r="B20" s="256"/>
      <c r="C20" s="137"/>
      <c r="D20" s="137"/>
      <c r="E20" s="137"/>
    </row>
    <row r="21" spans="2:5" x14ac:dyDescent="0.25">
      <c r="B21" s="256"/>
      <c r="C21" s="137"/>
      <c r="D21" s="137"/>
      <c r="E21" s="137"/>
    </row>
    <row r="22" spans="2:5" x14ac:dyDescent="0.25">
      <c r="B22" s="256"/>
      <c r="C22" s="137"/>
      <c r="D22" s="137"/>
      <c r="E22" s="137"/>
    </row>
    <row r="23" spans="2:5" x14ac:dyDescent="0.25">
      <c r="B23" s="256"/>
      <c r="C23" s="137"/>
      <c r="D23" s="137"/>
      <c r="E23" s="137"/>
    </row>
    <row r="24" spans="2:5" x14ac:dyDescent="0.25">
      <c r="B24" s="255" t="str">
        <f>CONCATENATE("Cash Forward (",E1," column)")</f>
        <v>Cash Forward (2020 column)</v>
      </c>
      <c r="C24" s="137"/>
      <c r="D24" s="137"/>
      <c r="E24" s="137"/>
    </row>
    <row r="25" spans="2:5" x14ac:dyDescent="0.25">
      <c r="B25" s="255" t="s">
        <v>186</v>
      </c>
      <c r="C25" s="137"/>
      <c r="D25" s="253"/>
      <c r="E25" s="253"/>
    </row>
    <row r="26" spans="2:5" x14ac:dyDescent="0.25">
      <c r="B26" s="255" t="s">
        <v>637</v>
      </c>
      <c r="C26" s="262" t="str">
        <f>IF(C27*0.1&lt;C25,"Exceed 10% Rule","")</f>
        <v/>
      </c>
      <c r="D26" s="259" t="str">
        <f>IF(D27*0.1&lt;D25,"Exceed 10% Rule","")</f>
        <v/>
      </c>
      <c r="E26" s="259" t="str">
        <f>IF(E27*0.1&lt;E25,"Exceed 10% Rule","")</f>
        <v/>
      </c>
    </row>
    <row r="27" spans="2:5" x14ac:dyDescent="0.25">
      <c r="B27" s="76" t="s">
        <v>240</v>
      </c>
      <c r="C27" s="261">
        <f>SUM(C18:C25)</f>
        <v>0</v>
      </c>
      <c r="D27" s="261">
        <f>SUM(D18:D25)</f>
        <v>0</v>
      </c>
      <c r="E27" s="261">
        <f>SUM(E18:E25)</f>
        <v>0</v>
      </c>
    </row>
    <row r="28" spans="2:5" x14ac:dyDescent="0.25">
      <c r="B28" s="58" t="s">
        <v>58</v>
      </c>
      <c r="C28" s="148">
        <f>C16-C27</f>
        <v>0</v>
      </c>
      <c r="D28" s="148">
        <f>D16-D27</f>
        <v>0</v>
      </c>
      <c r="E28" s="148">
        <f>E16-E27</f>
        <v>0</v>
      </c>
    </row>
    <row r="29" spans="2:5" x14ac:dyDescent="0.25">
      <c r="B29" s="92" t="str">
        <f>CONCATENATE("",E1-2,"/",E1-1,"/",E1," Budget Authority Amount:")</f>
        <v>2018/2019/2020 Budget Authority Amount:</v>
      </c>
      <c r="C29" s="673">
        <f>inputOth!B103</f>
        <v>0</v>
      </c>
      <c r="D29" s="673">
        <f>inputPrYr!D40</f>
        <v>0</v>
      </c>
      <c r="E29" s="677">
        <f>E27</f>
        <v>0</v>
      </c>
    </row>
    <row r="30" spans="2:5" x14ac:dyDescent="0.25">
      <c r="B30" s="93"/>
      <c r="C30" s="264" t="str">
        <f>IF(C27&gt;C29,"See Tab A","")</f>
        <v/>
      </c>
      <c r="D30" s="264" t="str">
        <f>IF(D27&gt;D29,"See Tab C","")</f>
        <v/>
      </c>
      <c r="E30" s="678" t="str">
        <f>IF(E28&lt;0,"See Tab E","")</f>
        <v/>
      </c>
    </row>
    <row r="31" spans="2:5" x14ac:dyDescent="0.25">
      <c r="B31" s="93"/>
      <c r="C31" s="264" t="str">
        <f>IF(C28&lt;0,"See Tab B","")</f>
        <v/>
      </c>
      <c r="D31" s="151"/>
      <c r="E31" s="151"/>
    </row>
    <row r="32" spans="2:5" x14ac:dyDescent="0.25">
      <c r="B32" s="43"/>
      <c r="C32" s="151"/>
      <c r="D32" s="151"/>
      <c r="E32" s="151"/>
    </row>
    <row r="33" spans="2:5" x14ac:dyDescent="0.25">
      <c r="B33" s="50" t="s">
        <v>224</v>
      </c>
      <c r="C33" s="48"/>
      <c r="D33" s="48"/>
      <c r="E33" s="48"/>
    </row>
    <row r="34" spans="2:5" x14ac:dyDescent="0.25">
      <c r="B34" s="43"/>
      <c r="C34" s="164" t="s">
        <v>225</v>
      </c>
      <c r="D34" s="52" t="s">
        <v>226</v>
      </c>
      <c r="E34" s="52" t="s">
        <v>227</v>
      </c>
    </row>
    <row r="35" spans="2:5" x14ac:dyDescent="0.25">
      <c r="B35" s="190">
        <f>inputPrYr!B41</f>
        <v>0</v>
      </c>
      <c r="C35" s="57" t="str">
        <f>C5</f>
        <v>Actual for 2018</v>
      </c>
      <c r="D35" s="57" t="str">
        <f>D5</f>
        <v>Estimate for 2019</v>
      </c>
      <c r="E35" s="57" t="str">
        <f>E5</f>
        <v>Year for 2020</v>
      </c>
    </row>
    <row r="36" spans="2:5" x14ac:dyDescent="0.25">
      <c r="B36" s="272" t="s">
        <v>70</v>
      </c>
      <c r="C36" s="137"/>
      <c r="D36" s="205">
        <f>C58</f>
        <v>0</v>
      </c>
      <c r="E36" s="205">
        <f>D58</f>
        <v>0</v>
      </c>
    </row>
    <row r="37" spans="2:5" s="129" customFormat="1" x14ac:dyDescent="0.25">
      <c r="B37" s="272" t="s">
        <v>59</v>
      </c>
      <c r="C37" s="68"/>
      <c r="D37" s="68"/>
      <c r="E37" s="68"/>
    </row>
    <row r="38" spans="2:5" x14ac:dyDescent="0.25">
      <c r="B38" s="256"/>
      <c r="C38" s="137"/>
      <c r="D38" s="137"/>
      <c r="E38" s="137"/>
    </row>
    <row r="39" spans="2:5" x14ac:dyDescent="0.25">
      <c r="B39" s="256"/>
      <c r="C39" s="137"/>
      <c r="D39" s="137"/>
      <c r="E39" s="137"/>
    </row>
    <row r="40" spans="2:5" x14ac:dyDescent="0.25">
      <c r="B40" s="256"/>
      <c r="C40" s="137"/>
      <c r="D40" s="137"/>
      <c r="E40" s="137"/>
    </row>
    <row r="41" spans="2:5" x14ac:dyDescent="0.25">
      <c r="B41" s="256"/>
      <c r="C41" s="137"/>
      <c r="D41" s="137"/>
      <c r="E41" s="137"/>
    </row>
    <row r="42" spans="2:5" x14ac:dyDescent="0.25">
      <c r="B42" s="274" t="s">
        <v>236</v>
      </c>
      <c r="C42" s="137"/>
      <c r="D42" s="137"/>
      <c r="E42" s="137"/>
    </row>
    <row r="43" spans="2:5" x14ac:dyDescent="0.25">
      <c r="B43" s="258" t="s">
        <v>186</v>
      </c>
      <c r="C43" s="137"/>
      <c r="D43" s="253"/>
      <c r="E43" s="253"/>
    </row>
    <row r="44" spans="2:5" x14ac:dyDescent="0.25">
      <c r="B44" s="258" t="s">
        <v>187</v>
      </c>
      <c r="C44" s="262" t="str">
        <f>IF(C45*0.1&lt;C43,"Exceed 10% Rule","")</f>
        <v/>
      </c>
      <c r="D44" s="259" t="str">
        <f>IF(D45*0.1&lt;D43,"Exceed 10% Rule","")</f>
        <v/>
      </c>
      <c r="E44" s="259" t="str">
        <f>IF(E45*0.1&lt;E43,"Exceed 10% Rule","")</f>
        <v/>
      </c>
    </row>
    <row r="45" spans="2:5" x14ac:dyDescent="0.25">
      <c r="B45" s="76" t="s">
        <v>237</v>
      </c>
      <c r="C45" s="261">
        <f>SUM(C38:C43)</f>
        <v>0</v>
      </c>
      <c r="D45" s="261">
        <f>SUM(D38:D43)</f>
        <v>0</v>
      </c>
      <c r="E45" s="261">
        <f>SUM(E38:E43)</f>
        <v>0</v>
      </c>
    </row>
    <row r="46" spans="2:5" x14ac:dyDescent="0.25">
      <c r="B46" s="76" t="s">
        <v>238</v>
      </c>
      <c r="C46" s="261">
        <f>C36+C45</f>
        <v>0</v>
      </c>
      <c r="D46" s="261">
        <f>D36+D45</f>
        <v>0</v>
      </c>
      <c r="E46" s="261">
        <f>E36+E45</f>
        <v>0</v>
      </c>
    </row>
    <row r="47" spans="2:5" x14ac:dyDescent="0.25">
      <c r="B47" s="58" t="s">
        <v>239</v>
      </c>
      <c r="C47" s="205"/>
      <c r="D47" s="205"/>
      <c r="E47" s="205"/>
    </row>
    <row r="48" spans="2:5" x14ac:dyDescent="0.25">
      <c r="B48" s="256"/>
      <c r="C48" s="137"/>
      <c r="D48" s="137"/>
      <c r="E48" s="137"/>
    </row>
    <row r="49" spans="2:5" x14ac:dyDescent="0.25">
      <c r="B49" s="256"/>
      <c r="C49" s="137"/>
      <c r="D49" s="137"/>
      <c r="E49" s="137"/>
    </row>
    <row r="50" spans="2:5" x14ac:dyDescent="0.25">
      <c r="B50" s="256"/>
      <c r="C50" s="137"/>
      <c r="D50" s="137"/>
      <c r="E50" s="137"/>
    </row>
    <row r="51" spans="2:5" x14ac:dyDescent="0.25">
      <c r="B51" s="256"/>
      <c r="C51" s="137"/>
      <c r="D51" s="137"/>
      <c r="E51" s="137"/>
    </row>
    <row r="52" spans="2:5" x14ac:dyDescent="0.25">
      <c r="B52" s="256"/>
      <c r="C52" s="137"/>
      <c r="D52" s="137"/>
      <c r="E52" s="137"/>
    </row>
    <row r="53" spans="2:5" x14ac:dyDescent="0.25">
      <c r="B53" s="256"/>
      <c r="C53" s="137"/>
      <c r="D53" s="137"/>
      <c r="E53" s="137"/>
    </row>
    <row r="54" spans="2:5" x14ac:dyDescent="0.25">
      <c r="B54" s="255" t="str">
        <f>CONCATENATE("Cash Forward (",E1," column)")</f>
        <v>Cash Forward (2020 column)</v>
      </c>
      <c r="C54" s="137"/>
      <c r="D54" s="137"/>
      <c r="E54" s="137"/>
    </row>
    <row r="55" spans="2:5" x14ac:dyDescent="0.25">
      <c r="B55" s="255" t="s">
        <v>186</v>
      </c>
      <c r="C55" s="137"/>
      <c r="D55" s="253"/>
      <c r="E55" s="253"/>
    </row>
    <row r="56" spans="2:5" x14ac:dyDescent="0.25">
      <c r="B56" s="255" t="s">
        <v>637</v>
      </c>
      <c r="C56" s="262" t="str">
        <f>IF(C57*0.1&lt;C55,"Exceed 10% Rule","")</f>
        <v/>
      </c>
      <c r="D56" s="259" t="str">
        <f>IF(D57*0.1&lt;D55,"Exceed 10% Rule","")</f>
        <v/>
      </c>
      <c r="E56" s="259" t="str">
        <f>IF(E57*0.1&lt;E55,"Exceed 10% Rule","")</f>
        <v/>
      </c>
    </row>
    <row r="57" spans="2:5" x14ac:dyDescent="0.25">
      <c r="B57" s="76" t="s">
        <v>240</v>
      </c>
      <c r="C57" s="261">
        <f>SUM(C48:C55)</f>
        <v>0</v>
      </c>
      <c r="D57" s="261">
        <f>SUM(D48:D55)</f>
        <v>0</v>
      </c>
      <c r="E57" s="261">
        <f>SUM(E48:E55)</f>
        <v>0</v>
      </c>
    </row>
    <row r="58" spans="2:5" x14ac:dyDescent="0.25">
      <c r="B58" s="58" t="s">
        <v>58</v>
      </c>
      <c r="C58" s="148">
        <f>C46-C57</f>
        <v>0</v>
      </c>
      <c r="D58" s="148">
        <f>D46-D57</f>
        <v>0</v>
      </c>
      <c r="E58" s="148">
        <f>E46-E57</f>
        <v>0</v>
      </c>
    </row>
    <row r="59" spans="2:5" x14ac:dyDescent="0.25">
      <c r="B59" s="92" t="str">
        <f>CONCATENATE("",E1-2,"/",E1-1,"/",E1," Budget Authority Amount:")</f>
        <v>2018/2019/2020 Budget Authority Amount:</v>
      </c>
      <c r="C59" s="673">
        <f>inputOth!B104</f>
        <v>0</v>
      </c>
      <c r="D59" s="673">
        <f>inputPrYr!D41</f>
        <v>0</v>
      </c>
      <c r="E59" s="677">
        <f>E57</f>
        <v>0</v>
      </c>
    </row>
    <row r="60" spans="2:5" x14ac:dyDescent="0.25">
      <c r="B60" s="93"/>
      <c r="C60" s="264" t="str">
        <f>IF(C57&gt;C59,"See Tab A","")</f>
        <v/>
      </c>
      <c r="D60" s="264" t="str">
        <f>IF(D57&gt;D59,"See Tab C","")</f>
        <v/>
      </c>
      <c r="E60" s="679" t="str">
        <f>IF(E58&lt;0,"See Tab E","")</f>
        <v/>
      </c>
    </row>
    <row r="61" spans="2:5" x14ac:dyDescent="0.25">
      <c r="B61" s="819" t="s">
        <v>987</v>
      </c>
      <c r="C61" s="679"/>
      <c r="D61" s="679"/>
      <c r="E61" s="813"/>
    </row>
    <row r="62" spans="2:5" x14ac:dyDescent="0.25">
      <c r="B62" s="814"/>
      <c r="C62" s="812"/>
      <c r="D62" s="812"/>
      <c r="E62" s="815"/>
    </row>
    <row r="63" spans="2:5" x14ac:dyDescent="0.25">
      <c r="B63" s="816"/>
      <c r="C63" s="817" t="str">
        <f>IF(C58&lt;0,"See Tab B","")</f>
        <v/>
      </c>
      <c r="D63" s="818" t="str">
        <f>IF(D58&lt;0,"See Tab D","")</f>
        <v/>
      </c>
      <c r="E63" s="67"/>
    </row>
    <row r="64" spans="2:5" x14ac:dyDescent="0.25">
      <c r="B64" s="43"/>
      <c r="C64" s="43"/>
      <c r="D64" s="43"/>
      <c r="E64" s="43"/>
    </row>
    <row r="65" spans="2:5" x14ac:dyDescent="0.25">
      <c r="B65" s="170" t="s">
        <v>638</v>
      </c>
      <c r="C65" s="710"/>
      <c r="D65" s="43"/>
      <c r="E65" s="43"/>
    </row>
  </sheetData>
  <sheetProtection sheet="1"/>
  <phoneticPr fontId="11" type="noConversion"/>
  <conditionalFormatting sqref="C25">
    <cfRule type="cellIs" dxfId="21" priority="11" stopIfTrue="1" operator="greaterThan">
      <formula>$C$27*0.1</formula>
    </cfRule>
  </conditionalFormatting>
  <conditionalFormatting sqref="D25">
    <cfRule type="cellIs" dxfId="20" priority="12" stopIfTrue="1" operator="greaterThan">
      <formula>$D$27*0.1</formula>
    </cfRule>
  </conditionalFormatting>
  <conditionalFormatting sqref="E25">
    <cfRule type="cellIs" dxfId="19" priority="13" stopIfTrue="1" operator="greaterThan">
      <formula>$E$27*0.1</formula>
    </cfRule>
  </conditionalFormatting>
  <conditionalFormatting sqref="C55">
    <cfRule type="cellIs" dxfId="18" priority="14" stopIfTrue="1" operator="greaterThan">
      <formula>$C$57*0.1</formula>
    </cfRule>
  </conditionalFormatting>
  <conditionalFormatting sqref="D55">
    <cfRule type="cellIs" dxfId="17" priority="15" stopIfTrue="1" operator="greaterThan">
      <formula>$D$57*0.1</formula>
    </cfRule>
  </conditionalFormatting>
  <conditionalFormatting sqref="E55">
    <cfRule type="cellIs" dxfId="16" priority="16" stopIfTrue="1" operator="greaterThan">
      <formula>$E$57*0.1</formula>
    </cfRule>
  </conditionalFormatting>
  <conditionalFormatting sqref="C43">
    <cfRule type="cellIs" dxfId="15" priority="17" stopIfTrue="1" operator="greaterThan">
      <formula>$C$45*0.1</formula>
    </cfRule>
  </conditionalFormatting>
  <conditionalFormatting sqref="D43">
    <cfRule type="cellIs" dxfId="14" priority="18" stopIfTrue="1" operator="greaterThan">
      <formula>$D$45*0.1</formula>
    </cfRule>
  </conditionalFormatting>
  <conditionalFormatting sqref="E43">
    <cfRule type="cellIs" dxfId="13" priority="19" stopIfTrue="1" operator="greaterThan">
      <formula>$E$45*0.1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7">
    <cfRule type="cellIs" dxfId="9" priority="10" stopIfTrue="1" operator="greaterThan">
      <formula>$C$29</formula>
    </cfRule>
  </conditionalFormatting>
  <conditionalFormatting sqref="C28">
    <cfRule type="cellIs" dxfId="8" priority="9" stopIfTrue="1" operator="lessThan">
      <formula>0</formula>
    </cfRule>
  </conditionalFormatting>
  <conditionalFormatting sqref="D27">
    <cfRule type="cellIs" dxfId="7" priority="8" stopIfTrue="1" operator="greaterThan">
      <formula>$D$29</formula>
    </cfRule>
  </conditionalFormatting>
  <conditionalFormatting sqref="E28">
    <cfRule type="cellIs" dxfId="6" priority="7" stopIfTrue="1" operator="lessThan">
      <formula>0</formula>
    </cfRule>
  </conditionalFormatting>
  <conditionalFormatting sqref="C57">
    <cfRule type="cellIs" dxfId="5" priority="6" stopIfTrue="1" operator="greaterThan">
      <formula>$C$59</formula>
    </cfRule>
  </conditionalFormatting>
  <conditionalFormatting sqref="C58">
    <cfRule type="cellIs" dxfId="4" priority="5" stopIfTrue="1" operator="lessThan">
      <formula>0</formula>
    </cfRule>
  </conditionalFormatting>
  <conditionalFormatting sqref="D57">
    <cfRule type="cellIs" dxfId="3" priority="4" stopIfTrue="1" operator="greaterThan">
      <formula>$D$59</formula>
    </cfRule>
  </conditionalFormatting>
  <conditionalFormatting sqref="E58">
    <cfRule type="cellIs" dxfId="2" priority="3" stopIfTrue="1" operator="lessThan">
      <formula>0</formula>
    </cfRule>
  </conditionalFormatting>
  <conditionalFormatting sqref="D28">
    <cfRule type="cellIs" dxfId="1" priority="2" stopIfTrue="1" operator="lessThan">
      <formula>0</formula>
    </cfRule>
  </conditionalFormatting>
  <conditionalFormatting sqref="D58">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A1:L45"/>
  <sheetViews>
    <sheetView workbookViewId="0">
      <selection activeCell="E90" sqref="E90"/>
    </sheetView>
  </sheetViews>
  <sheetFormatPr defaultColWidth="8.796875" defaultRowHeight="15.75" x14ac:dyDescent="0.25"/>
  <cols>
    <col min="1" max="1" width="10.3984375" style="89" customWidth="1"/>
    <col min="2" max="2" width="6.69921875" style="89" customWidth="1"/>
    <col min="3" max="3" width="10.3984375" style="89" customWidth="1"/>
    <col min="4" max="4" width="6.69921875" style="89" customWidth="1"/>
    <col min="5" max="5" width="10.3984375" style="89" customWidth="1"/>
    <col min="6" max="6" width="6.69921875" style="89" customWidth="1"/>
    <col min="7" max="7" width="10.3984375" style="89" customWidth="1"/>
    <col min="8" max="8" width="6.69921875" style="89" customWidth="1"/>
    <col min="9" max="9" width="10.3984375" style="89" customWidth="1"/>
    <col min="10" max="16384" width="8.796875" style="89"/>
  </cols>
  <sheetData>
    <row r="1" spans="1:11" x14ac:dyDescent="0.25">
      <c r="A1" s="97" t="str">
        <f>inputPrYr!$D$4</f>
        <v>Scott Township</v>
      </c>
      <c r="B1" s="94"/>
      <c r="C1" s="88"/>
      <c r="D1" s="88"/>
      <c r="E1" s="88"/>
      <c r="F1" s="95" t="s">
        <v>270</v>
      </c>
      <c r="G1" s="88"/>
      <c r="H1" s="88"/>
      <c r="I1" s="88"/>
      <c r="J1" s="88"/>
      <c r="K1" s="88">
        <f>inputPrYr!$D$10</f>
        <v>2020</v>
      </c>
    </row>
    <row r="2" spans="1:11" x14ac:dyDescent="0.25">
      <c r="A2" s="88"/>
      <c r="B2" s="88"/>
      <c r="C2" s="88"/>
      <c r="D2" s="88"/>
      <c r="E2" s="88"/>
      <c r="F2" s="96" t="str">
        <f>CONCATENATE("(Only the actual budget year for ",K1-2," is to be shown)")</f>
        <v>(Only the actual budget year for 2018 is to be shown)</v>
      </c>
      <c r="G2" s="88"/>
      <c r="H2" s="88"/>
      <c r="I2" s="88"/>
      <c r="J2" s="88"/>
      <c r="K2" s="88"/>
    </row>
    <row r="3" spans="1:11" x14ac:dyDescent="0.25">
      <c r="A3" s="88" t="s">
        <v>271</v>
      </c>
      <c r="B3" s="88"/>
      <c r="C3" s="88"/>
      <c r="D3" s="88"/>
      <c r="E3" s="88"/>
      <c r="F3" s="94"/>
      <c r="G3" s="88"/>
      <c r="H3" s="88"/>
      <c r="I3" s="88"/>
      <c r="J3" s="88"/>
      <c r="K3" s="88"/>
    </row>
    <row r="4" spans="1:11" x14ac:dyDescent="0.25">
      <c r="A4" s="88" t="s">
        <v>272</v>
      </c>
      <c r="B4" s="88"/>
      <c r="C4" s="88" t="s">
        <v>273</v>
      </c>
      <c r="D4" s="88"/>
      <c r="E4" s="88" t="s">
        <v>274</v>
      </c>
      <c r="F4" s="94"/>
      <c r="G4" s="88" t="s">
        <v>275</v>
      </c>
      <c r="H4" s="88"/>
      <c r="I4" s="88" t="s">
        <v>276</v>
      </c>
      <c r="J4" s="88"/>
      <c r="K4" s="88"/>
    </row>
    <row r="5" spans="1:11" x14ac:dyDescent="0.25">
      <c r="A5" s="936">
        <f>inputPrYr!B44</f>
        <v>0</v>
      </c>
      <c r="B5" s="937"/>
      <c r="C5" s="936">
        <f>inputPrYr!B45</f>
        <v>0</v>
      </c>
      <c r="D5" s="937"/>
      <c r="E5" s="936">
        <f>inputPrYr!B46</f>
        <v>0</v>
      </c>
      <c r="F5" s="937"/>
      <c r="G5" s="938">
        <f>inputPrYr!B47</f>
        <v>0</v>
      </c>
      <c r="H5" s="937"/>
      <c r="I5" s="938">
        <f>inputPrYr!B48</f>
        <v>0</v>
      </c>
      <c r="J5" s="937"/>
      <c r="K5" s="99"/>
    </row>
    <row r="6" spans="1:11" x14ac:dyDescent="0.25">
      <c r="A6" s="100" t="s">
        <v>277</v>
      </c>
      <c r="B6" s="101"/>
      <c r="C6" s="102" t="s">
        <v>277</v>
      </c>
      <c r="D6" s="103"/>
      <c r="E6" s="102" t="s">
        <v>277</v>
      </c>
      <c r="F6" s="104"/>
      <c r="G6" s="102" t="s">
        <v>277</v>
      </c>
      <c r="H6" s="98"/>
      <c r="I6" s="102" t="s">
        <v>277</v>
      </c>
      <c r="J6" s="88"/>
      <c r="K6" s="105" t="s">
        <v>199</v>
      </c>
    </row>
    <row r="7" spans="1:11" x14ac:dyDescent="0.25">
      <c r="A7" s="106" t="s">
        <v>278</v>
      </c>
      <c r="B7" s="107"/>
      <c r="C7" s="108" t="s">
        <v>278</v>
      </c>
      <c r="D7" s="107"/>
      <c r="E7" s="108" t="s">
        <v>278</v>
      </c>
      <c r="F7" s="107"/>
      <c r="G7" s="108" t="s">
        <v>278</v>
      </c>
      <c r="H7" s="107"/>
      <c r="I7" s="108" t="s">
        <v>278</v>
      </c>
      <c r="J7" s="107"/>
      <c r="K7" s="109">
        <f>SUM(B7+D7+F7+H7+J7)</f>
        <v>0</v>
      </c>
    </row>
    <row r="8" spans="1:11" x14ac:dyDescent="0.25">
      <c r="A8" s="110" t="s">
        <v>59</v>
      </c>
      <c r="B8" s="111"/>
      <c r="C8" s="110" t="s">
        <v>59</v>
      </c>
      <c r="D8" s="112"/>
      <c r="E8" s="110" t="s">
        <v>59</v>
      </c>
      <c r="F8" s="94"/>
      <c r="G8" s="110" t="s">
        <v>59</v>
      </c>
      <c r="H8" s="88"/>
      <c r="I8" s="110" t="s">
        <v>59</v>
      </c>
      <c r="J8" s="88"/>
      <c r="K8" s="94"/>
    </row>
    <row r="9" spans="1:11" x14ac:dyDescent="0.25">
      <c r="A9" s="113"/>
      <c r="B9" s="107"/>
      <c r="C9" s="113"/>
      <c r="D9" s="107"/>
      <c r="E9" s="113"/>
      <c r="F9" s="107"/>
      <c r="G9" s="113"/>
      <c r="H9" s="107"/>
      <c r="I9" s="113"/>
      <c r="J9" s="107"/>
      <c r="K9" s="94"/>
    </row>
    <row r="10" spans="1:11" x14ac:dyDescent="0.25">
      <c r="A10" s="113"/>
      <c r="B10" s="107"/>
      <c r="C10" s="113"/>
      <c r="D10" s="107"/>
      <c r="E10" s="113"/>
      <c r="F10" s="107"/>
      <c r="G10" s="113"/>
      <c r="H10" s="107"/>
      <c r="I10" s="113"/>
      <c r="J10" s="107"/>
      <c r="K10" s="94"/>
    </row>
    <row r="11" spans="1:11" x14ac:dyDescent="0.25">
      <c r="A11" s="113"/>
      <c r="B11" s="107"/>
      <c r="C11" s="114"/>
      <c r="D11" s="115"/>
      <c r="E11" s="114"/>
      <c r="F11" s="107"/>
      <c r="G11" s="114"/>
      <c r="H11" s="107"/>
      <c r="I11" s="116"/>
      <c r="J11" s="107"/>
      <c r="K11" s="94"/>
    </row>
    <row r="12" spans="1:11" x14ac:dyDescent="0.25">
      <c r="A12" s="113"/>
      <c r="B12" s="117"/>
      <c r="C12" s="113"/>
      <c r="D12" s="118"/>
      <c r="E12" s="119"/>
      <c r="F12" s="107"/>
      <c r="G12" s="119"/>
      <c r="H12" s="107"/>
      <c r="I12" s="119"/>
      <c r="J12" s="107"/>
      <c r="K12" s="94"/>
    </row>
    <row r="13" spans="1:11" x14ac:dyDescent="0.25">
      <c r="A13" s="120"/>
      <c r="B13" s="121"/>
      <c r="C13" s="122"/>
      <c r="D13" s="118"/>
      <c r="E13" s="122"/>
      <c r="F13" s="107"/>
      <c r="G13" s="122"/>
      <c r="H13" s="107"/>
      <c r="I13" s="116"/>
      <c r="J13" s="107"/>
      <c r="K13" s="94"/>
    </row>
    <row r="14" spans="1:11" x14ac:dyDescent="0.25">
      <c r="A14" s="113"/>
      <c r="B14" s="107"/>
      <c r="C14" s="119"/>
      <c r="D14" s="118"/>
      <c r="E14" s="119"/>
      <c r="F14" s="107"/>
      <c r="G14" s="119"/>
      <c r="H14" s="107"/>
      <c r="I14" s="119"/>
      <c r="J14" s="107"/>
      <c r="K14" s="94"/>
    </row>
    <row r="15" spans="1:11" x14ac:dyDescent="0.25">
      <c r="A15" s="113"/>
      <c r="B15" s="107"/>
      <c r="C15" s="119"/>
      <c r="D15" s="118"/>
      <c r="E15" s="119"/>
      <c r="F15" s="107"/>
      <c r="G15" s="119"/>
      <c r="H15" s="107"/>
      <c r="I15" s="119"/>
      <c r="J15" s="107"/>
      <c r="K15" s="94"/>
    </row>
    <row r="16" spans="1:11" x14ac:dyDescent="0.25">
      <c r="A16" s="113"/>
      <c r="B16" s="121"/>
      <c r="C16" s="113"/>
      <c r="D16" s="118"/>
      <c r="E16" s="113"/>
      <c r="F16" s="107"/>
      <c r="G16" s="119"/>
      <c r="H16" s="107"/>
      <c r="I16" s="113"/>
      <c r="J16" s="107"/>
      <c r="K16" s="94"/>
    </row>
    <row r="17" spans="1:12" x14ac:dyDescent="0.25">
      <c r="A17" s="110" t="s">
        <v>237</v>
      </c>
      <c r="B17" s="109">
        <f>SUM(B9:B16)</f>
        <v>0</v>
      </c>
      <c r="C17" s="110" t="s">
        <v>237</v>
      </c>
      <c r="D17" s="109">
        <f>SUM(D9:D16)</f>
        <v>0</v>
      </c>
      <c r="E17" s="110" t="s">
        <v>237</v>
      </c>
      <c r="F17" s="123">
        <f>SUM(F9:F16)</f>
        <v>0</v>
      </c>
      <c r="G17" s="110" t="s">
        <v>237</v>
      </c>
      <c r="H17" s="109">
        <f>SUM(H9:H16)</f>
        <v>0</v>
      </c>
      <c r="I17" s="110" t="s">
        <v>237</v>
      </c>
      <c r="J17" s="109">
        <f>SUM(J9:J16)</f>
        <v>0</v>
      </c>
      <c r="K17" s="109">
        <f>SUM(B17+D17+F17+H17+J17)</f>
        <v>0</v>
      </c>
    </row>
    <row r="18" spans="1:12" x14ac:dyDescent="0.25">
      <c r="A18" s="110" t="s">
        <v>238</v>
      </c>
      <c r="B18" s="109">
        <f>SUM(B7+B17)</f>
        <v>0</v>
      </c>
      <c r="C18" s="110" t="s">
        <v>238</v>
      </c>
      <c r="D18" s="109">
        <f>SUM(D7+D17)</f>
        <v>0</v>
      </c>
      <c r="E18" s="110" t="s">
        <v>238</v>
      </c>
      <c r="F18" s="109">
        <f>SUM(F7+F17)</f>
        <v>0</v>
      </c>
      <c r="G18" s="110" t="s">
        <v>238</v>
      </c>
      <c r="H18" s="109">
        <f>SUM(H7+H17)</f>
        <v>0</v>
      </c>
      <c r="I18" s="110" t="s">
        <v>238</v>
      </c>
      <c r="J18" s="109">
        <f>SUM(J7+J17)</f>
        <v>0</v>
      </c>
      <c r="K18" s="109">
        <f>SUM(B18+D18+F18+H18+J18)</f>
        <v>0</v>
      </c>
    </row>
    <row r="19" spans="1:12" x14ac:dyDescent="0.25">
      <c r="A19" s="110" t="s">
        <v>239</v>
      </c>
      <c r="B19" s="111"/>
      <c r="C19" s="110" t="s">
        <v>239</v>
      </c>
      <c r="D19" s="112"/>
      <c r="E19" s="110" t="s">
        <v>239</v>
      </c>
      <c r="F19" s="94"/>
      <c r="G19" s="110" t="s">
        <v>239</v>
      </c>
      <c r="H19" s="88"/>
      <c r="I19" s="110" t="s">
        <v>239</v>
      </c>
      <c r="J19" s="88"/>
      <c r="K19" s="94"/>
    </row>
    <row r="20" spans="1:12" x14ac:dyDescent="0.25">
      <c r="A20" s="113"/>
      <c r="B20" s="107"/>
      <c r="C20" s="119"/>
      <c r="D20" s="107"/>
      <c r="E20" s="119"/>
      <c r="F20" s="107"/>
      <c r="G20" s="119"/>
      <c r="H20" s="107"/>
      <c r="I20" s="119"/>
      <c r="J20" s="107"/>
      <c r="K20" s="94"/>
    </row>
    <row r="21" spans="1:12" x14ac:dyDescent="0.25">
      <c r="A21" s="113"/>
      <c r="B21" s="107"/>
      <c r="C21" s="119"/>
      <c r="D21" s="107"/>
      <c r="E21" s="119"/>
      <c r="F21" s="107"/>
      <c r="G21" s="119"/>
      <c r="H21" s="107"/>
      <c r="I21" s="119"/>
      <c r="J21" s="107"/>
      <c r="K21" s="94"/>
    </row>
    <row r="22" spans="1:12" x14ac:dyDescent="0.25">
      <c r="A22" s="113"/>
      <c r="B22" s="107"/>
      <c r="C22" s="122"/>
      <c r="D22" s="107"/>
      <c r="E22" s="122"/>
      <c r="F22" s="107"/>
      <c r="G22" s="122"/>
      <c r="H22" s="107"/>
      <c r="I22" s="116"/>
      <c r="J22" s="107"/>
      <c r="K22" s="94"/>
    </row>
    <row r="23" spans="1:12" x14ac:dyDescent="0.25">
      <c r="A23" s="113"/>
      <c r="B23" s="107"/>
      <c r="C23" s="119"/>
      <c r="D23" s="107"/>
      <c r="E23" s="119"/>
      <c r="F23" s="107"/>
      <c r="G23" s="119"/>
      <c r="H23" s="107"/>
      <c r="I23" s="119"/>
      <c r="J23" s="107"/>
      <c r="K23" s="94"/>
    </row>
    <row r="24" spans="1:12" x14ac:dyDescent="0.25">
      <c r="A24" s="113"/>
      <c r="B24" s="107"/>
      <c r="C24" s="122"/>
      <c r="D24" s="107"/>
      <c r="E24" s="122"/>
      <c r="F24" s="107"/>
      <c r="G24" s="122"/>
      <c r="H24" s="107"/>
      <c r="I24" s="116"/>
      <c r="J24" s="107"/>
      <c r="K24" s="94"/>
    </row>
    <row r="25" spans="1:12" x14ac:dyDescent="0.25">
      <c r="A25" s="113"/>
      <c r="B25" s="107"/>
      <c r="C25" s="119"/>
      <c r="D25" s="107"/>
      <c r="E25" s="119"/>
      <c r="F25" s="107"/>
      <c r="G25" s="119"/>
      <c r="H25" s="107"/>
      <c r="I25" s="119"/>
      <c r="J25" s="107"/>
      <c r="K25" s="94"/>
    </row>
    <row r="26" spans="1:12" x14ac:dyDescent="0.25">
      <c r="A26" s="113"/>
      <c r="B26" s="107"/>
      <c r="C26" s="119"/>
      <c r="D26" s="107"/>
      <c r="E26" s="119"/>
      <c r="F26" s="107"/>
      <c r="G26" s="119"/>
      <c r="H26" s="107"/>
      <c r="I26" s="119"/>
      <c r="J26" s="107"/>
      <c r="K26" s="94"/>
    </row>
    <row r="27" spans="1:12" x14ac:dyDescent="0.25">
      <c r="A27" s="113"/>
      <c r="B27" s="107"/>
      <c r="C27" s="113"/>
      <c r="D27" s="107"/>
      <c r="E27" s="113"/>
      <c r="F27" s="107"/>
      <c r="G27" s="119"/>
      <c r="H27" s="107"/>
      <c r="I27" s="119"/>
      <c r="J27" s="107"/>
      <c r="K27" s="94"/>
    </row>
    <row r="28" spans="1:12" x14ac:dyDescent="0.25">
      <c r="A28" s="110" t="s">
        <v>240</v>
      </c>
      <c r="B28" s="109">
        <f>SUM(B20:B27)</f>
        <v>0</v>
      </c>
      <c r="C28" s="110" t="s">
        <v>240</v>
      </c>
      <c r="D28" s="109">
        <f>SUM(D20:D27)</f>
        <v>0</v>
      </c>
      <c r="E28" s="110" t="s">
        <v>240</v>
      </c>
      <c r="F28" s="123">
        <f>SUM(F20:F27)</f>
        <v>0</v>
      </c>
      <c r="G28" s="110" t="s">
        <v>240</v>
      </c>
      <c r="H28" s="123">
        <f>SUM(H20:H27)</f>
        <v>0</v>
      </c>
      <c r="I28" s="110" t="s">
        <v>240</v>
      </c>
      <c r="J28" s="109">
        <f>SUM(J20:J27)</f>
        <v>0</v>
      </c>
      <c r="K28" s="109">
        <f>SUM(B28+D28+F28+H28+J28)</f>
        <v>0</v>
      </c>
    </row>
    <row r="29" spans="1:12" x14ac:dyDescent="0.25">
      <c r="A29" s="110" t="s">
        <v>279</v>
      </c>
      <c r="B29" s="109">
        <f>SUM(B18-B28)</f>
        <v>0</v>
      </c>
      <c r="C29" s="110" t="s">
        <v>279</v>
      </c>
      <c r="D29" s="109">
        <f>SUM(D18-D28)</f>
        <v>0</v>
      </c>
      <c r="E29" s="110" t="s">
        <v>279</v>
      </c>
      <c r="F29" s="109">
        <f>SUM(F18-F28)</f>
        <v>0</v>
      </c>
      <c r="G29" s="110" t="s">
        <v>279</v>
      </c>
      <c r="H29" s="109">
        <f>SUM(H18-H28)</f>
        <v>0</v>
      </c>
      <c r="I29" s="110" t="s">
        <v>279</v>
      </c>
      <c r="J29" s="109">
        <f>SUM(J18-J28)</f>
        <v>0</v>
      </c>
      <c r="K29" s="124">
        <f>SUM(B29+D29+F29+H29+J29)</f>
        <v>0</v>
      </c>
      <c r="L29" s="89" t="s">
        <v>280</v>
      </c>
    </row>
    <row r="30" spans="1:12" x14ac:dyDescent="0.25">
      <c r="A30" s="110"/>
      <c r="B30" s="292" t="str">
        <f>IF(B29&lt;0,"See Tab B","")</f>
        <v/>
      </c>
      <c r="C30" s="110"/>
      <c r="D30" s="292" t="str">
        <f>IF(D29&lt;0,"See Tab B","")</f>
        <v/>
      </c>
      <c r="E30" s="110"/>
      <c r="F30" s="292" t="str">
        <f>IF(F29&lt;0,"See Tab B","")</f>
        <v/>
      </c>
      <c r="G30" s="88"/>
      <c r="H30" s="292" t="str">
        <f>IF(H29&lt;0,"See Tab B","")</f>
        <v/>
      </c>
      <c r="I30" s="88"/>
      <c r="J30" s="292" t="str">
        <f>IF(J29&lt;0,"See Tab B","")</f>
        <v/>
      </c>
      <c r="K30" s="124">
        <f>SUM(K7+K17-K28)</f>
        <v>0</v>
      </c>
      <c r="L30" s="89" t="s">
        <v>280</v>
      </c>
    </row>
    <row r="31" spans="1:12" x14ac:dyDescent="0.25">
      <c r="A31" s="88"/>
      <c r="B31" s="125"/>
      <c r="C31" s="88"/>
      <c r="D31" s="94"/>
      <c r="E31" s="88"/>
      <c r="F31" s="88"/>
      <c r="G31" s="126" t="s">
        <v>281</v>
      </c>
      <c r="H31" s="126"/>
      <c r="I31" s="126"/>
      <c r="J31" s="126"/>
      <c r="K31" s="88"/>
    </row>
    <row r="32" spans="1:12" x14ac:dyDescent="0.25">
      <c r="A32" s="88"/>
      <c r="B32" s="125"/>
      <c r="C32" s="88"/>
      <c r="D32" s="88"/>
      <c r="E32" s="88"/>
      <c r="F32" s="88"/>
      <c r="G32" s="88"/>
      <c r="H32" s="88"/>
      <c r="I32" s="88"/>
      <c r="J32" s="88"/>
      <c r="K32" s="88"/>
    </row>
    <row r="33" spans="1:11" x14ac:dyDescent="0.25">
      <c r="A33" s="820" t="s">
        <v>987</v>
      </c>
      <c r="B33" s="821"/>
      <c r="C33" s="822"/>
      <c r="D33" s="822"/>
      <c r="E33" s="822"/>
      <c r="F33" s="822"/>
      <c r="G33" s="822"/>
      <c r="H33" s="822"/>
      <c r="I33" s="822"/>
      <c r="J33" s="822"/>
      <c r="K33" s="791"/>
    </row>
    <row r="34" spans="1:11" x14ac:dyDescent="0.25">
      <c r="A34" s="823"/>
      <c r="B34" s="824"/>
      <c r="C34" s="825"/>
      <c r="D34" s="825"/>
      <c r="E34" s="825"/>
      <c r="F34" s="825"/>
      <c r="G34" s="825"/>
      <c r="H34" s="825"/>
      <c r="I34" s="825"/>
      <c r="J34" s="825"/>
      <c r="K34" s="792"/>
    </row>
    <row r="35" spans="1:11" x14ac:dyDescent="0.25">
      <c r="A35" s="826"/>
      <c r="B35" s="827"/>
      <c r="C35" s="99"/>
      <c r="D35" s="99"/>
      <c r="E35" s="99"/>
      <c r="F35" s="99"/>
      <c r="G35" s="99"/>
      <c r="H35" s="99"/>
      <c r="I35" s="99"/>
      <c r="J35" s="99"/>
      <c r="K35" s="794"/>
    </row>
    <row r="36" spans="1:11" x14ac:dyDescent="0.25">
      <c r="A36" s="88"/>
      <c r="B36" s="125"/>
      <c r="C36" s="88"/>
      <c r="D36" s="88"/>
      <c r="E36" s="88"/>
      <c r="F36" s="88"/>
      <c r="G36" s="88"/>
      <c r="H36" s="88"/>
      <c r="I36" s="88"/>
      <c r="J36" s="88"/>
      <c r="K36" s="88"/>
    </row>
    <row r="37" spans="1:11" x14ac:dyDescent="0.25">
      <c r="A37" s="88"/>
      <c r="B37" s="125"/>
      <c r="C37" s="88"/>
      <c r="D37" s="88"/>
      <c r="E37" s="127" t="s">
        <v>223</v>
      </c>
      <c r="F37" s="710"/>
      <c r="G37" s="88"/>
      <c r="H37" s="88"/>
      <c r="I37" s="88"/>
      <c r="J37" s="88"/>
      <c r="K37" s="88"/>
    </row>
    <row r="38" spans="1:11" x14ac:dyDescent="0.25">
      <c r="B38" s="128"/>
    </row>
    <row r="39" spans="1:11" x14ac:dyDescent="0.25">
      <c r="B39" s="128"/>
    </row>
    <row r="40" spans="1:11" x14ac:dyDescent="0.25">
      <c r="B40" s="128"/>
    </row>
    <row r="41" spans="1:11" x14ac:dyDescent="0.25">
      <c r="B41" s="128"/>
    </row>
    <row r="42" spans="1:11" x14ac:dyDescent="0.25">
      <c r="B42" s="128"/>
    </row>
    <row r="43" spans="1:11" x14ac:dyDescent="0.25">
      <c r="B43" s="128"/>
    </row>
    <row r="44" spans="1:11" x14ac:dyDescent="0.25">
      <c r="B44" s="128"/>
    </row>
    <row r="45" spans="1:11" x14ac:dyDescent="0.25">
      <c r="B45" s="128"/>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2"/>
  <sheetViews>
    <sheetView workbookViewId="0">
      <selection activeCell="E90" sqref="E90"/>
    </sheetView>
  </sheetViews>
  <sheetFormatPr defaultColWidth="8.796875" defaultRowHeight="15.75" x14ac:dyDescent="0.25"/>
  <cols>
    <col min="1" max="1" width="62.3984375" style="85" customWidth="1"/>
    <col min="2" max="16384" width="8.796875" style="85"/>
  </cols>
  <sheetData>
    <row r="1" spans="1:1" ht="20.25" x14ac:dyDescent="0.25">
      <c r="A1" s="293" t="s">
        <v>284</v>
      </c>
    </row>
    <row r="2" spans="1:1" ht="53.25" customHeight="1" x14ac:dyDescent="0.25">
      <c r="A2" s="175" t="s">
        <v>285</v>
      </c>
    </row>
    <row r="3" spans="1:1" x14ac:dyDescent="0.25">
      <c r="A3" s="294"/>
    </row>
    <row r="4" spans="1:1" ht="58.5" customHeight="1" x14ac:dyDescent="0.25">
      <c r="A4" s="175" t="s">
        <v>286</v>
      </c>
    </row>
    <row r="5" spans="1:1" x14ac:dyDescent="0.25">
      <c r="A5" s="89"/>
    </row>
    <row r="6" spans="1:1" ht="55.5" customHeight="1" x14ac:dyDescent="0.25">
      <c r="A6" s="175" t="s">
        <v>287</v>
      </c>
    </row>
    <row r="7" spans="1:1" x14ac:dyDescent="0.25">
      <c r="A7" s="294"/>
    </row>
    <row r="8" spans="1:1" ht="42.75" customHeight="1" x14ac:dyDescent="0.25">
      <c r="A8" s="175" t="s">
        <v>288</v>
      </c>
    </row>
    <row r="9" spans="1:1" x14ac:dyDescent="0.25">
      <c r="A9" s="89"/>
    </row>
    <row r="10" spans="1:1" ht="31.5" x14ac:dyDescent="0.25">
      <c r="A10" s="175" t="s">
        <v>289</v>
      </c>
    </row>
    <row r="11" spans="1:1" x14ac:dyDescent="0.25">
      <c r="A11" s="294"/>
    </row>
    <row r="12" spans="1:1" ht="69.75" customHeight="1" x14ac:dyDescent="0.25">
      <c r="A12" s="175" t="s">
        <v>290</v>
      </c>
    </row>
    <row r="13" spans="1:1" x14ac:dyDescent="0.25">
      <c r="A13" s="294"/>
    </row>
    <row r="14" spans="1:1" ht="40.5" customHeight="1" x14ac:dyDescent="0.25">
      <c r="A14" s="175" t="s">
        <v>291</v>
      </c>
    </row>
    <row r="15" spans="1:1" x14ac:dyDescent="0.25">
      <c r="A15" s="89"/>
    </row>
    <row r="16" spans="1:1" ht="56.25" customHeight="1" x14ac:dyDescent="0.25">
      <c r="A16" s="175" t="s">
        <v>292</v>
      </c>
    </row>
    <row r="17" spans="1:1" x14ac:dyDescent="0.25">
      <c r="A17" s="294"/>
    </row>
    <row r="18" spans="1:1" ht="54.75" customHeight="1" x14ac:dyDescent="0.25">
      <c r="A18" s="175" t="s">
        <v>293</v>
      </c>
    </row>
    <row r="19" spans="1:1" x14ac:dyDescent="0.25">
      <c r="A19" s="294"/>
    </row>
    <row r="20" spans="1:1" ht="55.5" customHeight="1" x14ac:dyDescent="0.25">
      <c r="A20" s="175" t="s">
        <v>294</v>
      </c>
    </row>
    <row r="21" spans="1:1" x14ac:dyDescent="0.25">
      <c r="A21" s="294"/>
    </row>
    <row r="22" spans="1:1" ht="76.5" customHeight="1" x14ac:dyDescent="0.25">
      <c r="A22" s="175" t="s">
        <v>295</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00B0F0"/>
    <pageSetUpPr fitToPage="1"/>
  </sheetPr>
  <dimension ref="A1:O113"/>
  <sheetViews>
    <sheetView zoomScaleNormal="100" workbookViewId="0">
      <selection activeCell="A25" sqref="A25:XFD34"/>
    </sheetView>
  </sheetViews>
  <sheetFormatPr defaultColWidth="8.796875" defaultRowHeight="15.75" x14ac:dyDescent="0.25"/>
  <cols>
    <col min="1" max="1" width="20.69921875" style="129" customWidth="1"/>
    <col min="2" max="2" width="12.69921875" style="129" customWidth="1"/>
    <col min="3" max="3" width="9.69921875" style="129" customWidth="1"/>
    <col min="4" max="4" width="12.69921875" style="129" customWidth="1"/>
    <col min="5" max="5" width="9.69921875" style="129" customWidth="1"/>
    <col min="6" max="6" width="12.69921875" style="129" customWidth="1"/>
    <col min="7" max="7" width="10.69921875" style="129" customWidth="1"/>
    <col min="8" max="8" width="9.69921875" style="129" customWidth="1"/>
    <col min="9" max="11" width="8.796875" style="129"/>
    <col min="12" max="12" width="10.69921875" style="129" customWidth="1"/>
    <col min="13" max="13" width="8.5" style="129" customWidth="1"/>
    <col min="14" max="16384" width="8.796875" style="129"/>
  </cols>
  <sheetData>
    <row r="1" spans="1:9" x14ac:dyDescent="0.25">
      <c r="A1" s="43"/>
      <c r="B1" s="43"/>
      <c r="C1" s="43"/>
      <c r="D1" s="43"/>
      <c r="E1" s="43"/>
      <c r="F1" s="43"/>
      <c r="G1" s="43"/>
      <c r="H1" s="44">
        <f>inputPrYr!D10</f>
        <v>2020</v>
      </c>
    </row>
    <row r="2" spans="1:9" x14ac:dyDescent="0.25">
      <c r="A2" s="893" t="s">
        <v>23</v>
      </c>
      <c r="B2" s="879"/>
      <c r="C2" s="879"/>
      <c r="D2" s="879"/>
      <c r="E2" s="879"/>
      <c r="F2" s="879"/>
      <c r="G2" s="879"/>
      <c r="H2" s="879"/>
    </row>
    <row r="3" spans="1:9" x14ac:dyDescent="0.25">
      <c r="A3" s="43"/>
      <c r="B3" s="43"/>
      <c r="C3" s="43"/>
      <c r="D3" s="43"/>
      <c r="E3" s="43"/>
      <c r="F3" s="50" t="s">
        <v>251</v>
      </c>
      <c r="G3" s="50" t="s">
        <v>252</v>
      </c>
      <c r="H3" s="43"/>
    </row>
    <row r="4" spans="1:9" x14ac:dyDescent="0.25">
      <c r="A4" s="877" t="s">
        <v>253</v>
      </c>
      <c r="B4" s="877"/>
      <c r="C4" s="877"/>
      <c r="D4" s="877"/>
      <c r="E4" s="877"/>
      <c r="F4" s="877"/>
      <c r="G4" s="877"/>
      <c r="H4" s="877"/>
    </row>
    <row r="5" spans="1:9" x14ac:dyDescent="0.25">
      <c r="A5" s="841" t="str">
        <f>inputPrYr!D4</f>
        <v>Scott Township</v>
      </c>
      <c r="B5" s="841"/>
      <c r="C5" s="841"/>
      <c r="D5" s="841"/>
      <c r="E5" s="841"/>
      <c r="F5" s="841"/>
      <c r="G5" s="841"/>
      <c r="H5" s="841"/>
    </row>
    <row r="6" spans="1:9" x14ac:dyDescent="0.25">
      <c r="A6" s="841" t="str">
        <f>inputPrYr!D5</f>
        <v>Lincoln County</v>
      </c>
      <c r="B6" s="841"/>
      <c r="C6" s="841"/>
      <c r="D6" s="841"/>
      <c r="E6" s="841"/>
      <c r="F6" s="841"/>
      <c r="G6" s="841"/>
      <c r="H6" s="841"/>
    </row>
    <row r="7" spans="1:9" x14ac:dyDescent="0.25">
      <c r="A7" s="943" t="str">
        <f>CONCATENATE("will meet on ",inputBudSum!B8," at ",inputBudSum!B10," at ",inputBudSum!B12," for the purpose of hearing and")</f>
        <v>will meet on August ___, 2019 at _____ at __________________________________________________ for the purpose of hearing and</v>
      </c>
      <c r="B7" s="943"/>
      <c r="C7" s="943"/>
      <c r="D7" s="943"/>
      <c r="E7" s="943"/>
      <c r="F7" s="943"/>
      <c r="G7" s="943"/>
      <c r="H7" s="943"/>
    </row>
    <row r="8" spans="1:9" x14ac:dyDescent="0.25">
      <c r="A8" s="877" t="s">
        <v>326</v>
      </c>
      <c r="B8" s="842"/>
      <c r="C8" s="842"/>
      <c r="D8" s="842"/>
      <c r="E8" s="842"/>
      <c r="F8" s="842"/>
      <c r="G8" s="842"/>
      <c r="H8" s="842"/>
    </row>
    <row r="9" spans="1:9" x14ac:dyDescent="0.25">
      <c r="A9" s="875" t="str">
        <f>CONCATENATE("Detailed budget information is available at ",inputBudSum!B15," and will be available at this hearing.")</f>
        <v>Detailed budget information is available at __________________________________________________ and will be available at this hearing.</v>
      </c>
      <c r="B9" s="879"/>
      <c r="C9" s="879"/>
      <c r="D9" s="879"/>
      <c r="E9" s="879"/>
      <c r="F9" s="879"/>
      <c r="G9" s="879"/>
      <c r="H9" s="879"/>
    </row>
    <row r="10" spans="1:9" x14ac:dyDescent="0.25">
      <c r="A10" s="893" t="s">
        <v>24</v>
      </c>
      <c r="B10" s="842"/>
      <c r="C10" s="842"/>
      <c r="D10" s="842"/>
      <c r="E10" s="842"/>
      <c r="F10" s="842"/>
      <c r="G10" s="842"/>
      <c r="H10" s="842"/>
    </row>
    <row r="11" spans="1:9" x14ac:dyDescent="0.25">
      <c r="A11" s="877" t="str">
        <f>CONCATENATE("Proposed Budget ",H1," Expenditures and Amount of ",H1-1," Ad Valorem Tax establish the maximum limits")</f>
        <v>Proposed Budget 2020 Expenditures and Amount of 2019 Ad Valorem Tax establish the maximum limits</v>
      </c>
      <c r="B11" s="842"/>
      <c r="C11" s="842"/>
      <c r="D11" s="842"/>
      <c r="E11" s="842"/>
      <c r="F11" s="842"/>
      <c r="G11" s="842"/>
      <c r="H11" s="842"/>
    </row>
    <row r="12" spans="1:9" x14ac:dyDescent="0.25">
      <c r="A12" s="877" t="str">
        <f>CONCATENATE("of the ",H1," budget.  Estimated Tax Rate is subject to change depending on the final assessed valuation.")</f>
        <v>of the 2020 budget.  Estimated Tax Rate is subject to change depending on the final assessed valuation.</v>
      </c>
      <c r="B12" s="842"/>
      <c r="C12" s="842"/>
      <c r="D12" s="842"/>
      <c r="E12" s="842"/>
      <c r="F12" s="842"/>
      <c r="G12" s="842"/>
      <c r="H12" s="842"/>
    </row>
    <row r="13" spans="1:9" x14ac:dyDescent="0.25">
      <c r="A13" s="50"/>
      <c r="B13" s="49"/>
      <c r="C13" s="49"/>
      <c r="D13" s="49"/>
      <c r="E13" s="49"/>
      <c r="F13" s="49"/>
      <c r="G13" s="49"/>
      <c r="H13" s="49"/>
      <c r="I13" s="158"/>
    </row>
    <row r="14" spans="1:9" x14ac:dyDescent="0.25">
      <c r="A14" s="165"/>
      <c r="B14" s="159" t="str">
        <f>CONCATENATE("Prior Year Actual ",H1-2,"")</f>
        <v>Prior Year Actual 2018</v>
      </c>
      <c r="C14" s="160"/>
      <c r="D14" s="159" t="str">
        <f>CONCATENATE("Current Year Estimate ",H1-1,"")</f>
        <v>Current Year Estimate 2019</v>
      </c>
      <c r="E14" s="161"/>
      <c r="F14" s="162" t="str">
        <f>CONCATENATE("Proposed Budget ",H1,"")</f>
        <v>Proposed Budget 2020</v>
      </c>
      <c r="G14" s="163"/>
      <c r="H14" s="161"/>
      <c r="I14" s="158"/>
    </row>
    <row r="15" spans="1:9" ht="22.5" customHeight="1" x14ac:dyDescent="0.25">
      <c r="A15" s="53"/>
      <c r="B15" s="164"/>
      <c r="C15" s="52" t="s">
        <v>246</v>
      </c>
      <c r="D15" s="52"/>
      <c r="E15" s="52" t="s">
        <v>246</v>
      </c>
      <c r="F15" s="165"/>
      <c r="G15" s="869" t="str">
        <f>CONCATENATE("Amount of ",H1-1," Ad Valorem Tax")</f>
        <v>Amount of 2019 Ad Valorem Tax</v>
      </c>
      <c r="H15" s="52" t="s">
        <v>254</v>
      </c>
      <c r="I15" s="158"/>
    </row>
    <row r="16" spans="1:9" x14ac:dyDescent="0.25">
      <c r="A16" s="53"/>
      <c r="B16" s="54"/>
      <c r="C16" s="54" t="s">
        <v>255</v>
      </c>
      <c r="D16" s="54"/>
      <c r="E16" s="54" t="s">
        <v>255</v>
      </c>
      <c r="F16" s="424" t="s">
        <v>138</v>
      </c>
      <c r="G16" s="941"/>
      <c r="H16" s="54" t="s">
        <v>255</v>
      </c>
      <c r="I16" s="158"/>
    </row>
    <row r="17" spans="1:13" x14ac:dyDescent="0.25">
      <c r="A17" s="57" t="s">
        <v>209</v>
      </c>
      <c r="B17" s="57" t="s">
        <v>256</v>
      </c>
      <c r="C17" s="57" t="s">
        <v>257</v>
      </c>
      <c r="D17" s="57" t="s">
        <v>256</v>
      </c>
      <c r="E17" s="57" t="s">
        <v>257</v>
      </c>
      <c r="F17" s="423" t="s">
        <v>633</v>
      </c>
      <c r="G17" s="942"/>
      <c r="H17" s="57" t="s">
        <v>257</v>
      </c>
      <c r="I17" s="158"/>
      <c r="J17" s="450"/>
    </row>
    <row r="18" spans="1:13" x14ac:dyDescent="0.25">
      <c r="A18" s="68" t="str">
        <f>inputPrYr!B23</f>
        <v>General</v>
      </c>
      <c r="B18" s="68">
        <f>IF(gen!$C$50&lt;&gt;0,gen!$C$50,"  ")</f>
        <v>2525</v>
      </c>
      <c r="C18" s="71">
        <f>IF(inputPrYr!D52&gt;0,inputPrYr!D52,"  ")</f>
        <v>1.631</v>
      </c>
      <c r="D18" s="68">
        <f>IF(gen!$D$50&lt;&gt;0,gen!$D$50,"  ")</f>
        <v>3247</v>
      </c>
      <c r="E18" s="71">
        <f>IF(inputOth!D37&gt;0,inputOth!D37,"  ")</f>
        <v>1.861</v>
      </c>
      <c r="F18" s="68">
        <f>IF(gen!$E$50&lt;&gt;0,gen!$E$50,"  ")</f>
        <v>4900</v>
      </c>
      <c r="G18" s="68">
        <f>IF(gen!$E$57&lt;&gt;0,gen!$E$57,"")</f>
        <v>3000</v>
      </c>
      <c r="H18" s="71">
        <f>IF(gen!E57&gt;0,ROUND(G18/F40*1000,3)," ")</f>
        <v>1.8420000000000001</v>
      </c>
      <c r="I18" s="158"/>
      <c r="J18" s="450"/>
    </row>
    <row r="19" spans="1:13" x14ac:dyDescent="0.25">
      <c r="A19" s="68" t="s">
        <v>263</v>
      </c>
      <c r="B19" s="68" t="str">
        <f>IF('DebtSvs-Library'!C34&lt;&gt;0,'DebtSvs-Library'!C34,"  ")</f>
        <v xml:space="preserve">  </v>
      </c>
      <c r="C19" s="71" t="str">
        <f>IF(inputPrYr!D53&gt;0,inputPrYr!D53,"  ")</f>
        <v xml:space="preserve">  </v>
      </c>
      <c r="D19" s="68" t="str">
        <f>IF('DebtSvs-Library'!D34&lt;&gt;0,'DebtSvs-Library'!D34,"  ")</f>
        <v xml:space="preserve">  </v>
      </c>
      <c r="E19" s="71" t="str">
        <f>IF(inputOth!D38&gt;0,inputOth!D38,"  ")</f>
        <v xml:space="preserve">  </v>
      </c>
      <c r="F19" s="68" t="str">
        <f>IF('DebtSvs-Library'!E34&lt;&gt;0,'DebtSvs-Library'!E34,"  ")</f>
        <v xml:space="preserve">  </v>
      </c>
      <c r="G19" s="68" t="str">
        <f>IF('DebtSvs-Library'!E41&lt;&gt;0,'DebtSvs-Library'!E41," ")</f>
        <v xml:space="preserve"> </v>
      </c>
      <c r="H19" s="71" t="str">
        <f>IF('DebtSvs-Library'!E41&gt;0,ROUND(G19/F40*1000,3)," ")</f>
        <v xml:space="preserve"> </v>
      </c>
      <c r="I19" s="158"/>
    </row>
    <row r="20" spans="1:13" x14ac:dyDescent="0.25">
      <c r="A20" s="68" t="str">
        <f>IF(inputPrYr!$B25&gt;"  ",inputPrYr!$B25,"  ")</f>
        <v>Library</v>
      </c>
      <c r="B20" s="68" t="str">
        <f>IF('DebtSvs-Library'!C75&lt;&gt;0,'DebtSvs-Library'!C75,"  ")</f>
        <v xml:space="preserve">  </v>
      </c>
      <c r="C20" s="71" t="str">
        <f>IF(inputPrYr!D54&gt;0,inputPrYr!D54,"  ")</f>
        <v xml:space="preserve">  </v>
      </c>
      <c r="D20" s="68" t="str">
        <f>IF('DebtSvs-Library'!D75&lt;&gt;0,'DebtSvs-Library'!D75,"  ")</f>
        <v xml:space="preserve">  </v>
      </c>
      <c r="E20" s="71" t="str">
        <f>IF(inputOth!D39&gt;0,inputOth!D39,"  ")</f>
        <v xml:space="preserve">  </v>
      </c>
      <c r="F20" s="68" t="str">
        <f>IF('DebtSvs-Library'!E75&lt;&gt;0,'DebtSvs-Library'!E75,"  ")</f>
        <v xml:space="preserve">  </v>
      </c>
      <c r="G20" s="68" t="str">
        <f>IF('DebtSvs-Library'!E82&lt;&gt;0,'DebtSvs-Library'!E82," ")</f>
        <v xml:space="preserve"> </v>
      </c>
      <c r="H20" s="71" t="str">
        <f>IF('DebtSvs-Library'!E82&gt;0,ROUND(G20/F40*1000,3)," ")</f>
        <v xml:space="preserve"> </v>
      </c>
      <c r="I20" s="158"/>
    </row>
    <row r="21" spans="1:13" x14ac:dyDescent="0.25">
      <c r="A21" s="68" t="str">
        <f>IF(inputPrYr!$B26&gt;"  ",inputPrYr!$B26,"  ")</f>
        <v>Road</v>
      </c>
      <c r="B21" s="68" t="str">
        <f>IF(road!$C$43&lt;&gt;0,road!$C$43,"  ")</f>
        <v xml:space="preserve">  </v>
      </c>
      <c r="C21" s="71" t="str">
        <f>IF(inputPrYr!D55&gt;0,inputPrYr!D55,"  ")</f>
        <v xml:space="preserve">  </v>
      </c>
      <c r="D21" s="68" t="str">
        <f>IF(road!$D$43&lt;&gt;0,road!$D$43,"  ")</f>
        <v xml:space="preserve">  </v>
      </c>
      <c r="E21" s="71" t="str">
        <f>IF(inputOth!D40&gt;0,inputOth!D40,"  ")</f>
        <v xml:space="preserve">  </v>
      </c>
      <c r="F21" s="68" t="str">
        <f>IF(road!$E$43&lt;&gt;0,road!$E$43,"  ")</f>
        <v xml:space="preserve">  </v>
      </c>
      <c r="G21" s="68" t="str">
        <f>IF(road!$E$50&lt;&gt;0,road!$E$50,"  ")</f>
        <v xml:space="preserve">  </v>
      </c>
      <c r="H21" s="71" t="str">
        <f>IF(road!E50&gt;0,ROUND(G21/F41*1000,3)," ")</f>
        <v xml:space="preserve"> </v>
      </c>
    </row>
    <row r="22" spans="1:13" x14ac:dyDescent="0.25">
      <c r="A22" s="68" t="str">
        <f>IF(inputPrYr!$B27&gt;"  ",inputPrYr!$B27,"  ")</f>
        <v>Special Road</v>
      </c>
      <c r="B22" s="68" t="str">
        <f>IF('SpecRoad&amp;Noxious'!$C$34&lt;&gt;0,'SpecRoad&amp;Noxious'!$C$34,"  ")</f>
        <v xml:space="preserve">  </v>
      </c>
      <c r="C22" s="71" t="str">
        <f>IF(inputPrYr!D56&gt;0,inputPrYr!D56,"  ")</f>
        <v xml:space="preserve">  </v>
      </c>
      <c r="D22" s="68" t="str">
        <f>IF('SpecRoad&amp;Noxious'!$D$34&lt;&gt;0,'SpecRoad&amp;Noxious'!$D$34,"  ")</f>
        <v xml:space="preserve">  </v>
      </c>
      <c r="E22" s="71" t="str">
        <f>IF(inputOth!D41&gt;0,inputOth!D41,"  ")</f>
        <v xml:space="preserve">  </v>
      </c>
      <c r="F22" s="68" t="str">
        <f>IF('SpecRoad&amp;Noxious'!$E$34&lt;&gt;0,'SpecRoad&amp;Noxious'!$E$34,"  ")</f>
        <v xml:space="preserve">  </v>
      </c>
      <c r="G22" s="68" t="str">
        <f>IF('SpecRoad&amp;Noxious'!$E$41&lt;&gt;0,'SpecRoad&amp;Noxious'!$E$41,"  ")</f>
        <v xml:space="preserve">  </v>
      </c>
      <c r="H22" s="71" t="str">
        <f>IF('SpecRoad&amp;Noxious'!E41&gt;0,ROUND(G22/F41*1000,3)," ")</f>
        <v xml:space="preserve"> </v>
      </c>
    </row>
    <row r="23" spans="1:13" x14ac:dyDescent="0.25">
      <c r="A23" s="68" t="str">
        <f>IF(inputPrYr!$B28&gt;"  ",inputPrYr!$B28,"  ")</f>
        <v>Noxious Weed</v>
      </c>
      <c r="B23" s="68" t="str">
        <f>IF('SpecRoad&amp;Noxious'!$C$75&lt;&gt;0,'SpecRoad&amp;Noxious'!$C$75,"  ")</f>
        <v xml:space="preserve">  </v>
      </c>
      <c r="C23" s="71" t="str">
        <f>IF(inputPrYr!D57&gt;0,inputPrYr!D57,"  ")</f>
        <v xml:space="preserve">  </v>
      </c>
      <c r="D23" s="68" t="str">
        <f>IF('SpecRoad&amp;Noxious'!$D$75&lt;&gt;0,'SpecRoad&amp;Noxious'!$D$75,"  ")</f>
        <v xml:space="preserve">  </v>
      </c>
      <c r="E23" s="71" t="str">
        <f>IF(inputOth!D42&gt;0,inputOth!D42,"  ")</f>
        <v xml:space="preserve">  </v>
      </c>
      <c r="F23" s="68" t="str">
        <f>IF('SpecRoad&amp;Noxious'!$E$75&lt;&gt;0,'SpecRoad&amp;Noxious'!$E$75,"  ")</f>
        <v xml:space="preserve">  </v>
      </c>
      <c r="G23" s="68" t="str">
        <f>IF('SpecRoad&amp;Noxious'!$E$82&lt;&gt;0,'SpecRoad&amp;Noxious'!$E$82,"  ")</f>
        <v xml:space="preserve">  </v>
      </c>
      <c r="H23" s="71" t="str">
        <f>IF('SpecRoad&amp;Noxious'!E82&gt;0,ROUND(G23/F41*1000,3)," ")</f>
        <v xml:space="preserve"> </v>
      </c>
    </row>
    <row r="24" spans="1:13" x14ac:dyDescent="0.25">
      <c r="A24" s="68" t="str">
        <f>IF(inputPrYr!$B29&gt;"  ",inputPrYr!$B29,"  ")</f>
        <v>Fire Protection</v>
      </c>
      <c r="B24" s="68" t="str">
        <f>IF(levypage10!$C$34&lt;&gt;0,levypage10!$C$34,"  ")</f>
        <v xml:space="preserve">  </v>
      </c>
      <c r="C24" s="71" t="str">
        <f>IF(inputPrYr!D58&gt;0,inputPrYr!D58,"  ")</f>
        <v xml:space="preserve">  </v>
      </c>
      <c r="D24" s="68" t="str">
        <f>IF(levypage10!$D$34&lt;&gt;0,levypage10!$D$34,"  ")</f>
        <v xml:space="preserve">  </v>
      </c>
      <c r="E24" s="71" t="str">
        <f>IF(inputOth!D43&gt;0,inputOth!D43,"  ")</f>
        <v xml:space="preserve">  </v>
      </c>
      <c r="F24" s="68" t="str">
        <f>IF(levypage10!$E$34&lt;&gt;0,levypage10!$E$34,"  ")</f>
        <v xml:space="preserve">  </v>
      </c>
      <c r="G24" s="68" t="str">
        <f>IF(levypage10!$E$41&lt;&gt;0,levypage10!$E$41,"  ")</f>
        <v xml:space="preserve">  </v>
      </c>
      <c r="H24" s="71" t="str">
        <f>IF(levypage10!E41&gt;0,ROUND(G24/F41*1000,3)," ")</f>
        <v xml:space="preserve"> </v>
      </c>
      <c r="J24" s="944" t="str">
        <f>CONCATENATE("Estimated Value Of One Mill For ",H1,"")</f>
        <v>Estimated Value Of One Mill For 2020</v>
      </c>
      <c r="K24" s="949"/>
      <c r="L24" s="949"/>
      <c r="M24" s="950"/>
    </row>
    <row r="25" spans="1:13" hidden="1" x14ac:dyDescent="0.25">
      <c r="A25" s="68" t="str">
        <f>IF(inputPrYr!$B30&gt;"  ",inputPrYr!$B30,"  ")</f>
        <v xml:space="preserve">  </v>
      </c>
      <c r="B25" s="68" t="str">
        <f>IF(levypage10!$C$75&lt;&gt;0,levypage10!$C$75,"  ")</f>
        <v xml:space="preserve">  </v>
      </c>
      <c r="C25" s="71" t="str">
        <f>IF(inputPrYr!D59&gt;0,inputPrYr!D59,"  ")</f>
        <v xml:space="preserve">  </v>
      </c>
      <c r="D25" s="68" t="str">
        <f>IF(levypage10!$D$75&lt;&gt;0,levypage10!$D$75,"  ")</f>
        <v xml:space="preserve">  </v>
      </c>
      <c r="E25" s="71" t="str">
        <f>IF(inputOth!D44&gt;0,inputOth!D44,"  ")</f>
        <v xml:space="preserve">  </v>
      </c>
      <c r="F25" s="68" t="str">
        <f>IF(levypage10!$E$75&lt;&gt;0,levypage10!$E$75,"  ")</f>
        <v xml:space="preserve">  </v>
      </c>
      <c r="G25" s="68" t="str">
        <f>IF(levypage10!$E$82&lt;&gt;0,levypage10!$E$82,"  ")</f>
        <v xml:space="preserve">  </v>
      </c>
      <c r="H25" s="71" t="str">
        <f>IF(levypage10!E82&gt;0,ROUND(G25/F40*1000,3)," ")</f>
        <v xml:space="preserve"> </v>
      </c>
      <c r="J25" s="449"/>
      <c r="K25" s="9"/>
      <c r="L25" s="9"/>
      <c r="M25" s="448"/>
    </row>
    <row r="26" spans="1:13" hidden="1" x14ac:dyDescent="0.25">
      <c r="A26" s="68" t="str">
        <f>IF(inputPrYr!$B31&gt;"  ",inputPrYr!$B31,"  ")</f>
        <v xml:space="preserve">  </v>
      </c>
      <c r="B26" s="68" t="str">
        <f>IF(levypage11!$C$34&lt;&gt;0,levypage11!$C$34,"  ")</f>
        <v xml:space="preserve">  </v>
      </c>
      <c r="C26" s="71" t="str">
        <f>IF(inputPrYr!D60&gt;0,inputPrYr!D60,"  ")</f>
        <v xml:space="preserve">  </v>
      </c>
      <c r="D26" s="68" t="str">
        <f>IF(levypage11!$D$34&lt;&gt;0,levypage11!$D$34,"  ")</f>
        <v xml:space="preserve">  </v>
      </c>
      <c r="E26" s="71" t="str">
        <f>IF(inputOth!D45&gt;0,inputOth!D45,"  ")</f>
        <v xml:space="preserve">  </v>
      </c>
      <c r="F26" s="68" t="str">
        <f>IF(levypage11!$E$34&lt;&gt;0,levypage11!$E$34,"  ")</f>
        <v xml:space="preserve">  </v>
      </c>
      <c r="G26" s="68" t="str">
        <f>IF(levypage11!$E$41&lt;&gt;0,levypage11!$E$41,"  ")</f>
        <v xml:space="preserve">  </v>
      </c>
      <c r="H26" s="71" t="str">
        <f>IF(levypage11!E41&gt;0,ROUND(G26/F40*1000,3)," ")</f>
        <v xml:space="preserve"> </v>
      </c>
      <c r="J26" s="432" t="s">
        <v>645</v>
      </c>
      <c r="K26" s="49"/>
      <c r="L26" s="49"/>
      <c r="M26" s="707">
        <f>ROUND(F40/1000,0)</f>
        <v>1629</v>
      </c>
    </row>
    <row r="27" spans="1:13" hidden="1" x14ac:dyDescent="0.25">
      <c r="A27" s="68" t="str">
        <f>IF(inputPrYr!$B32&gt;"  ",inputPrYr!$B32,"  ")</f>
        <v xml:space="preserve">  </v>
      </c>
      <c r="B27" s="68" t="str">
        <f>IF(levypage11!$C$75&lt;&gt;0,levypage11!$C$75,"  ")</f>
        <v xml:space="preserve">  </v>
      </c>
      <c r="C27" s="71" t="str">
        <f>IF(inputPrYr!D61&gt;0,inputPrYr!D61,"  ")</f>
        <v xml:space="preserve">  </v>
      </c>
      <c r="D27" s="68" t="str">
        <f>IF(levypage11!$D$75&lt;&gt;0,levypage11!$D$75,"  ")</f>
        <v xml:space="preserve">  </v>
      </c>
      <c r="E27" s="71" t="str">
        <f>IF(inputOth!D46&gt;0,inputOth!D46,"  ")</f>
        <v xml:space="preserve">  </v>
      </c>
      <c r="F27" s="68" t="str">
        <f>IF(levypage11!$E$75&lt;&gt;0,levypage11!$E$75,"  ")</f>
        <v xml:space="preserve">  </v>
      </c>
      <c r="G27" s="68" t="str">
        <f>IF(levypage11!$E$82&lt;&gt;0,levypage11!$E$82,"  ")</f>
        <v xml:space="preserve">  </v>
      </c>
      <c r="H27" s="71" t="str">
        <f>IF(levypage11!E82&gt;0,ROUND(G27/F40*1000,3)," ")</f>
        <v xml:space="preserve"> </v>
      </c>
      <c r="J27" s="447" t="s">
        <v>646</v>
      </c>
      <c r="K27" s="13"/>
      <c r="L27" s="13"/>
      <c r="M27" s="707">
        <f>ROUND(F41/1000,0)</f>
        <v>1405</v>
      </c>
    </row>
    <row r="28" spans="1:13" hidden="1" x14ac:dyDescent="0.25">
      <c r="A28" s="68" t="str">
        <f>IF(inputPrYr!$B33&gt;"  ",inputPrYr!$B33,"  ")</f>
        <v xml:space="preserve">  </v>
      </c>
      <c r="B28" s="68" t="str">
        <f>IF(levypage12!$C$34&lt;&gt;0,levypage12!$C$34,"  ")</f>
        <v xml:space="preserve">  </v>
      </c>
      <c r="C28" s="71" t="str">
        <f>IF(inputPrYr!D62&gt;0,inputPrYr!D62,"  ")</f>
        <v xml:space="preserve">  </v>
      </c>
      <c r="D28" s="68" t="str">
        <f>IF(levypage12!$D$34&lt;&gt;0,levypage12!$D$34,"  ")</f>
        <v xml:space="preserve">  </v>
      </c>
      <c r="E28" s="71" t="str">
        <f>IF(inputOth!D47&gt;0,inputOth!D47,"  ")</f>
        <v xml:space="preserve">  </v>
      </c>
      <c r="F28" s="68" t="str">
        <f>IF(levypage12!$E$34&lt;&gt;0,levypage12!$E$34,"  ")</f>
        <v xml:space="preserve">  </v>
      </c>
      <c r="G28" s="68" t="str">
        <f>IF(levypage12!$E$41&lt;&gt;0,levypage12!$E$41,"  ")</f>
        <v xml:space="preserve">  </v>
      </c>
      <c r="H28" s="71" t="str">
        <f>IF(levypage12!E41&gt;0,ROUND(G28/F40*1000,3)," ")</f>
        <v xml:space="preserve"> </v>
      </c>
    </row>
    <row r="29" spans="1:13" hidden="1" x14ac:dyDescent="0.25">
      <c r="A29" s="68" t="str">
        <f>IF(inputPrYr!$B34&gt;"  ",inputPrYr!$B34,"  ")</f>
        <v xml:space="preserve">  </v>
      </c>
      <c r="B29" s="68" t="str">
        <f>IF(levypage12!$C$75&lt;&gt;0,levypage12!$C$75,"  ")</f>
        <v xml:space="preserve">  </v>
      </c>
      <c r="C29" s="71" t="str">
        <f>IF(inputPrYr!D63&gt;0,inputPrYr!D63,"  ")</f>
        <v xml:space="preserve">  </v>
      </c>
      <c r="D29" s="68" t="str">
        <f>IF(levypage12!$D$75&lt;&gt;0,levypage12!$D$75,"  ")</f>
        <v xml:space="preserve">  </v>
      </c>
      <c r="E29" s="71" t="str">
        <f>IF(inputOth!D48&gt;0,inputOth!D48,"  ")</f>
        <v xml:space="preserve">  </v>
      </c>
      <c r="F29" s="68" t="str">
        <f>IF(levypage12!$E$75&lt;&gt;0,levypage12!$E$75,"  ")</f>
        <v xml:space="preserve">  </v>
      </c>
      <c r="G29" s="68" t="str">
        <f>IF(levypage12!$E$82&lt;&gt;0,levypage12!$E$82,"  ")</f>
        <v xml:space="preserve">  </v>
      </c>
      <c r="H29" s="71" t="str">
        <f>IF(levypage12!E82&gt;0,ROUND(G29/F40*1000,3)," ")</f>
        <v xml:space="preserve"> </v>
      </c>
      <c r="I29" s="450"/>
      <c r="J29" s="944" t="str">
        <f>CONCATENATE("Want The Mill Rate The Same As For ",H1-1,"?")</f>
        <v>Want The Mill Rate The Same As For 2019?</v>
      </c>
      <c r="K29" s="945"/>
      <c r="L29" s="945"/>
      <c r="M29" s="946"/>
    </row>
    <row r="30" spans="1:13" hidden="1" x14ac:dyDescent="0.25">
      <c r="A30" s="68" t="str">
        <f>IF(inputPrYr!$B38&gt;"  ",inputPrYr!$B38,"  ")</f>
        <v xml:space="preserve">  </v>
      </c>
      <c r="B30" s="68" t="str">
        <f>IF(nolevypage13!$C$27&lt;&gt;0,nolevypage13!$C$27,"  ")</f>
        <v xml:space="preserve">  </v>
      </c>
      <c r="C30" s="71"/>
      <c r="D30" s="68" t="str">
        <f>IF(nolevypage13!$D$27&lt;&gt;0,nolevypage13!$D$27,"  ")</f>
        <v xml:space="preserve">  </v>
      </c>
      <c r="E30" s="71"/>
      <c r="F30" s="68" t="str">
        <f>IF(nolevypage13!$E$27&lt;&gt;0,nolevypage13!$E$27,"  ")</f>
        <v xml:space="preserve">  </v>
      </c>
      <c r="G30" s="68"/>
      <c r="H30" s="71"/>
      <c r="J30" s="446"/>
      <c r="K30" s="9"/>
      <c r="L30" s="9"/>
      <c r="M30" s="445"/>
    </row>
    <row r="31" spans="1:13" hidden="1" x14ac:dyDescent="0.25">
      <c r="A31" s="68" t="str">
        <f>IF(inputPrYr!$B39&gt;"  ",inputPrYr!$B39,"  ")</f>
        <v xml:space="preserve">  </v>
      </c>
      <c r="B31" s="68" t="str">
        <f>IF(nolevypage13!$C$57&lt;&gt;0,nolevypage13!$C$57,"  ")</f>
        <v xml:space="preserve">  </v>
      </c>
      <c r="C31" s="71"/>
      <c r="D31" s="68" t="str">
        <f>IF(nolevypage13!$D$57&lt;&gt;0,nolevypage13!$D$57,"  ")</f>
        <v xml:space="preserve">  </v>
      </c>
      <c r="E31" s="71"/>
      <c r="F31" s="68" t="str">
        <f>IF(nolevypage13!$E$57&lt;&gt;0,nolevypage13!$E$57,"  ")</f>
        <v xml:space="preserve">  </v>
      </c>
      <c r="G31" s="68"/>
      <c r="H31" s="71"/>
      <c r="J31" s="446" t="str">
        <f>CONCATENATE("",H1-1," Mill Rate Was:")</f>
        <v>2019 Mill Rate Was:</v>
      </c>
      <c r="K31" s="9"/>
      <c r="L31" s="9"/>
      <c r="M31" s="444">
        <f>E36</f>
        <v>1.861</v>
      </c>
    </row>
    <row r="32" spans="1:13" hidden="1" x14ac:dyDescent="0.25">
      <c r="A32" s="68" t="str">
        <f>IF(inputPrYr!$B40&gt;"  ",inputPrYr!$B40,"  ")</f>
        <v xml:space="preserve">  </v>
      </c>
      <c r="B32" s="68" t="str">
        <f>IF(nolevypage14!$C$27&lt;&gt;0,nolevypage14!$C$27,"  ")</f>
        <v xml:space="preserve">  </v>
      </c>
      <c r="C32" s="71"/>
      <c r="D32" s="68" t="str">
        <f>IF(nolevypage14!$D$27&lt;&gt;0,nolevypage14!$D$27,"  ")</f>
        <v xml:space="preserve">  </v>
      </c>
      <c r="E32" s="71"/>
      <c r="F32" s="68" t="str">
        <f>IF(nolevypage14!$E$27&lt;&gt;0,nolevypage14!$E$27,"  ")</f>
        <v xml:space="preserve">  </v>
      </c>
      <c r="G32" s="68"/>
      <c r="H32" s="71"/>
      <c r="J32" s="443" t="str">
        <f>CONCATENATE("",H1," Tax Levy Fund Expenditures Must Be")</f>
        <v>2020 Tax Levy Fund Expenditures Must Be</v>
      </c>
      <c r="K32" s="442"/>
      <c r="L32" s="442"/>
      <c r="M32" s="445"/>
    </row>
    <row r="33" spans="1:15" hidden="1" x14ac:dyDescent="0.25">
      <c r="A33" s="68" t="str">
        <f>IF(inputPrYr!$B41&gt;"  ",inputPrYr!$B41,"  ")</f>
        <v xml:space="preserve">  </v>
      </c>
      <c r="B33" s="68" t="str">
        <f>IF(nolevypage14!$C$57&lt;&gt;0,nolevypage14!$C$57,"  ")</f>
        <v xml:space="preserve">  </v>
      </c>
      <c r="C33" s="71"/>
      <c r="D33" s="68" t="str">
        <f>IF(nolevypage14!$D$57&lt;&gt;0,nolevypage14!$D$57,"  ")</f>
        <v xml:space="preserve">  </v>
      </c>
      <c r="E33" s="71"/>
      <c r="F33" s="68" t="str">
        <f>IF(nolevypage14!$E$57&lt;&gt;0,nolevypage14!$E$57,"  ")</f>
        <v xml:space="preserve">  </v>
      </c>
      <c r="G33" s="68"/>
      <c r="H33" s="71"/>
      <c r="J33" s="466" t="s">
        <v>652</v>
      </c>
      <c r="K33" s="442"/>
      <c r="L33" s="442"/>
      <c r="M33" s="441">
        <f>M45*-1</f>
        <v>0</v>
      </c>
    </row>
    <row r="34" spans="1:15" hidden="1" x14ac:dyDescent="0.25">
      <c r="A34" s="68" t="str">
        <f>IF((inputPrYr!$B44&gt;"  "),(nonbud!$A3),"  ")</f>
        <v xml:space="preserve">  </v>
      </c>
      <c r="B34" s="652" t="str">
        <f>IF((nonbud!$K$28)&lt;&gt;0,(nonbud!$K$28),"  ")</f>
        <v xml:space="preserve">  </v>
      </c>
      <c r="C34" s="275"/>
      <c r="D34" s="68"/>
      <c r="E34" s="71"/>
      <c r="F34" s="68"/>
      <c r="G34" s="68"/>
      <c r="H34" s="71"/>
      <c r="J34" s="440" t="s">
        <v>653</v>
      </c>
      <c r="K34" s="437"/>
      <c r="L34" s="437"/>
      <c r="M34" s="439">
        <f>M46*-1</f>
        <v>31</v>
      </c>
    </row>
    <row r="35" spans="1:15" ht="16.5" thickBot="1" x14ac:dyDescent="0.3">
      <c r="A35" s="81" t="s">
        <v>211</v>
      </c>
      <c r="B35" s="406" t="str">
        <f>IF(road!C64&lt;&gt;0,road!C64,"  ")</f>
        <v xml:space="preserve">  </v>
      </c>
      <c r="C35" s="407"/>
      <c r="D35" s="407"/>
      <c r="E35" s="407"/>
      <c r="F35" s="407"/>
      <c r="G35" s="407"/>
      <c r="H35" s="407"/>
      <c r="J35" s="438"/>
      <c r="K35" s="438"/>
      <c r="L35" s="438"/>
      <c r="M35" s="438"/>
    </row>
    <row r="36" spans="1:15" ht="16.5" thickBot="1" x14ac:dyDescent="0.3">
      <c r="A36" s="81" t="s">
        <v>212</v>
      </c>
      <c r="B36" s="404">
        <f t="shared" ref="B36:H36" si="0">SUM(B18:B35)</f>
        <v>2525</v>
      </c>
      <c r="C36" s="405">
        <f t="shared" si="0"/>
        <v>1.631</v>
      </c>
      <c r="D36" s="404">
        <f t="shared" si="0"/>
        <v>3247</v>
      </c>
      <c r="E36" s="405">
        <f t="shared" si="0"/>
        <v>1.861</v>
      </c>
      <c r="F36" s="404">
        <f t="shared" si="0"/>
        <v>4900</v>
      </c>
      <c r="G36" s="761">
        <f t="shared" si="0"/>
        <v>3000</v>
      </c>
      <c r="H36" s="405">
        <f t="shared" si="0"/>
        <v>1.8420000000000001</v>
      </c>
      <c r="J36" s="944" t="str">
        <f>CONCATENATE("Impact On Keeping The Same Mill Rate As For ",H1-1,"")</f>
        <v>Impact On Keeping The Same Mill Rate As For 2019</v>
      </c>
      <c r="K36" s="947"/>
      <c r="L36" s="947"/>
      <c r="M36" s="948"/>
    </row>
    <row r="37" spans="1:15" ht="16.5" thickTop="1" x14ac:dyDescent="0.25">
      <c r="A37" s="81" t="s">
        <v>258</v>
      </c>
      <c r="B37" s="68">
        <f>transfer!C29</f>
        <v>0</v>
      </c>
      <c r="C37" s="43"/>
      <c r="D37" s="68">
        <f>transfer!D29</f>
        <v>0</v>
      </c>
      <c r="E37" s="167"/>
      <c r="F37" s="68">
        <f>transfer!E29</f>
        <v>0</v>
      </c>
      <c r="G37" s="43"/>
      <c r="H37" s="43"/>
      <c r="J37" s="446"/>
      <c r="K37" s="9"/>
      <c r="L37" s="9"/>
      <c r="M37" s="445"/>
    </row>
    <row r="38" spans="1:15" ht="16.5" thickBot="1" x14ac:dyDescent="0.3">
      <c r="A38" s="81" t="s">
        <v>259</v>
      </c>
      <c r="B38" s="408">
        <f>B36-B37</f>
        <v>2525</v>
      </c>
      <c r="C38" s="43"/>
      <c r="D38" s="408">
        <f>D36-D37</f>
        <v>3247</v>
      </c>
      <c r="E38" s="43"/>
      <c r="F38" s="408">
        <f>F36-F37</f>
        <v>4900</v>
      </c>
      <c r="G38" s="43"/>
      <c r="H38" s="43"/>
      <c r="J38" s="446" t="str">
        <f>CONCATENATE("",H1," Ad Valorem Tax Rev(Township Only):")</f>
        <v>2020 Ad Valorem Tax Rev(Township Only):</v>
      </c>
      <c r="K38" s="9"/>
      <c r="L38" s="9"/>
      <c r="M38" s="448">
        <f>SUM(G21:G24)</f>
        <v>0</v>
      </c>
    </row>
    <row r="39" spans="1:15" ht="16.5" thickTop="1" x14ac:dyDescent="0.25">
      <c r="A39" s="81" t="s">
        <v>0</v>
      </c>
      <c r="B39" s="188">
        <f>inputPrYr!E66</f>
        <v>2500</v>
      </c>
      <c r="C39" s="167"/>
      <c r="D39" s="188">
        <f>inputPrYr!E35</f>
        <v>3000</v>
      </c>
      <c r="E39" s="43"/>
      <c r="F39" s="409" t="s">
        <v>213</v>
      </c>
      <c r="G39" s="43"/>
      <c r="H39" s="43"/>
      <c r="J39" s="446" t="str">
        <f>CONCATENATE("",H1," Ad Valorem Tax Rev(Township Tot):")</f>
        <v>2020 Ad Valorem Tax Rev(Township Tot):</v>
      </c>
      <c r="K39" s="9"/>
      <c r="L39" s="9"/>
      <c r="M39" s="461">
        <f>SUM(G18,G19,G20,G25,G26,G27,G28,G29)</f>
        <v>3000</v>
      </c>
    </row>
    <row r="40" spans="1:15" x14ac:dyDescent="0.25">
      <c r="A40" s="81" t="s">
        <v>145</v>
      </c>
      <c r="B40" s="68">
        <f>inputPrYr!E67</f>
        <v>1533145</v>
      </c>
      <c r="C40" s="167"/>
      <c r="D40" s="68">
        <f>inputOth!E55</f>
        <v>1612145</v>
      </c>
      <c r="E40" s="167"/>
      <c r="F40" s="68">
        <f>inputOth!E11</f>
        <v>1628902</v>
      </c>
      <c r="G40" s="43"/>
      <c r="H40" s="43"/>
      <c r="J40" s="446" t="str">
        <f>CONCATENATE("Total ",H1," Ad Valorem Tax Revenue:")</f>
        <v>Total 2020 Ad Valorem Tax Revenue:</v>
      </c>
      <c r="K40" s="49"/>
      <c r="L40" s="49"/>
      <c r="M40" s="462">
        <f>M38+M39</f>
        <v>3000</v>
      </c>
    </row>
    <row r="41" spans="1:15" x14ac:dyDescent="0.25">
      <c r="A41" s="58" t="s">
        <v>193</v>
      </c>
      <c r="B41" s="168"/>
      <c r="C41" s="43"/>
      <c r="D41" s="144"/>
      <c r="E41" s="43"/>
      <c r="F41" s="68">
        <f>inputOth!E8</f>
        <v>1405162</v>
      </c>
      <c r="G41" s="43"/>
      <c r="H41" s="43"/>
      <c r="J41" s="446" t="str">
        <f>CONCATENATE("",H1-1," Ad Valorem Tax Rev(Township Only):")</f>
        <v>2019 Ad Valorem Tax Rev(Township Only):</v>
      </c>
      <c r="K41" s="9"/>
      <c r="L41" s="9"/>
      <c r="M41" s="463">
        <f>ROUND(SUM(E21:E24)*F41/1000,0)</f>
        <v>0</v>
      </c>
      <c r="N41" s="455"/>
    </row>
    <row r="42" spans="1:15" x14ac:dyDescent="0.25">
      <c r="A42" s="84"/>
      <c r="B42" s="144"/>
      <c r="C42" s="43"/>
      <c r="D42" s="144"/>
      <c r="E42" s="43"/>
      <c r="F42" s="144"/>
      <c r="G42" s="43"/>
      <c r="H42" s="43"/>
      <c r="J42" s="446" t="str">
        <f>CONCATENATE("",H1-1," Ad Valorem Tax Rev(Township Tot):")</f>
        <v>2019 Ad Valorem Tax Rev(Township Tot):</v>
      </c>
      <c r="K42" s="49"/>
      <c r="L42" s="49"/>
      <c r="M42" s="464">
        <f>ROUND(SUM(E18,E19,E20,(E25,E26,E27,E28,E29))*F40/1000,0)</f>
        <v>3031</v>
      </c>
      <c r="N42" s="455"/>
      <c r="O42" s="455"/>
    </row>
    <row r="43" spans="1:15" x14ac:dyDescent="0.25">
      <c r="A43" s="50" t="s">
        <v>1</v>
      </c>
      <c r="B43" s="43"/>
      <c r="C43" s="43"/>
      <c r="D43" s="43"/>
      <c r="E43" s="43"/>
      <c r="F43" s="43"/>
      <c r="G43" s="43"/>
      <c r="H43" s="43"/>
      <c r="J43" s="432" t="str">
        <f>CONCATENATE("Total ",H1-1," Ad Valorem Tax Revenue:")</f>
        <v>Total 2019 Ad Valorem Tax Revenue:</v>
      </c>
      <c r="K43" s="49"/>
      <c r="L43" s="49"/>
      <c r="M43" s="465">
        <f>M41+M42</f>
        <v>3031</v>
      </c>
      <c r="O43" s="455"/>
    </row>
    <row r="44" spans="1:15" x14ac:dyDescent="0.25">
      <c r="A44" s="50" t="s">
        <v>2</v>
      </c>
      <c r="B44" s="169">
        <f>H1-3</f>
        <v>2017</v>
      </c>
      <c r="C44" s="43"/>
      <c r="D44" s="169">
        <f>H1-2</f>
        <v>2018</v>
      </c>
      <c r="E44" s="43"/>
      <c r="F44" s="169">
        <f>H1-1</f>
        <v>2019</v>
      </c>
      <c r="G44" s="43"/>
      <c r="H44" s="43"/>
      <c r="J44" s="443" t="s">
        <v>643</v>
      </c>
      <c r="K44" s="442"/>
      <c r="L44" s="442"/>
      <c r="M44" s="441">
        <f>M40-M43</f>
        <v>-31</v>
      </c>
    </row>
    <row r="45" spans="1:15" x14ac:dyDescent="0.25">
      <c r="A45" s="50" t="s">
        <v>3</v>
      </c>
      <c r="B45" s="61">
        <f>inputPrYr!D70</f>
        <v>0</v>
      </c>
      <c r="C45" s="47"/>
      <c r="D45" s="61">
        <f>inputPrYr!E70</f>
        <v>0</v>
      </c>
      <c r="E45" s="47"/>
      <c r="F45" s="61">
        <f>debt!F11</f>
        <v>0</v>
      </c>
      <c r="G45" s="43"/>
      <c r="H45" s="43"/>
      <c r="J45" s="466" t="s">
        <v>648</v>
      </c>
      <c r="K45" s="467"/>
      <c r="L45" s="467"/>
      <c r="M45" s="462">
        <f>M38-M41</f>
        <v>0</v>
      </c>
    </row>
    <row r="46" spans="1:15" x14ac:dyDescent="0.25">
      <c r="A46" s="50" t="s">
        <v>235</v>
      </c>
      <c r="B46" s="61">
        <f>inputPrYr!D71</f>
        <v>0</v>
      </c>
      <c r="C46" s="47"/>
      <c r="D46" s="61">
        <f>inputPrYr!E71</f>
        <v>0</v>
      </c>
      <c r="E46" s="47"/>
      <c r="F46" s="61">
        <f>debt!F15</f>
        <v>0</v>
      </c>
      <c r="G46" s="43"/>
      <c r="H46" s="43"/>
      <c r="J46" s="440" t="s">
        <v>647</v>
      </c>
      <c r="K46" s="437"/>
      <c r="L46" s="437"/>
      <c r="M46" s="439">
        <f>M39-M42</f>
        <v>-31</v>
      </c>
    </row>
    <row r="47" spans="1:15" x14ac:dyDescent="0.25">
      <c r="A47" s="50" t="s">
        <v>639</v>
      </c>
      <c r="B47" s="61">
        <f>inputPrYr!D72</f>
        <v>0</v>
      </c>
      <c r="C47" s="47"/>
      <c r="D47" s="61">
        <f>inputPrYr!E72</f>
        <v>0</v>
      </c>
      <c r="E47" s="47"/>
      <c r="F47" s="61">
        <f>debt!G36</f>
        <v>0</v>
      </c>
      <c r="G47" s="43"/>
      <c r="H47" s="43"/>
    </row>
    <row r="48" spans="1:15" ht="16.5" thickBot="1" x14ac:dyDescent="0.3">
      <c r="A48" s="50" t="s">
        <v>4</v>
      </c>
      <c r="B48" s="78">
        <f>SUM(B45:B47)</f>
        <v>0</v>
      </c>
      <c r="C48" s="47"/>
      <c r="D48" s="78">
        <f>SUM(D45:D47)</f>
        <v>0</v>
      </c>
      <c r="E48" s="47"/>
      <c r="F48" s="78">
        <f>SUM(F45:F47)</f>
        <v>0</v>
      </c>
      <c r="G48" s="43"/>
      <c r="H48" s="43"/>
      <c r="J48" s="944" t="s">
        <v>644</v>
      </c>
      <c r="K48" s="945"/>
      <c r="L48" s="945"/>
      <c r="M48" s="946"/>
    </row>
    <row r="49" spans="1:13" ht="16.5" thickTop="1" x14ac:dyDescent="0.25">
      <c r="A49" s="50" t="s">
        <v>5</v>
      </c>
      <c r="B49" s="43"/>
      <c r="C49" s="43"/>
      <c r="D49" s="43"/>
      <c r="E49" s="43"/>
      <c r="F49" s="43"/>
      <c r="G49" s="43"/>
      <c r="H49" s="43"/>
      <c r="J49" s="446"/>
      <c r="K49" s="9"/>
      <c r="L49" s="9"/>
      <c r="M49" s="445"/>
    </row>
    <row r="50" spans="1:13" x14ac:dyDescent="0.25">
      <c r="A50" s="43"/>
      <c r="B50" s="43"/>
      <c r="C50" s="43"/>
      <c r="D50" s="43"/>
      <c r="E50" s="43"/>
      <c r="F50" s="43"/>
      <c r="G50" s="43"/>
      <c r="H50" s="43"/>
      <c r="J50" s="452" t="str">
        <f>CONCATENATE("Enter Desired ",$H$1," Mill Rate:")</f>
        <v>Enter Desired 2020 Mill Rate:</v>
      </c>
      <c r="K50" s="453"/>
      <c r="L50" s="454"/>
      <c r="M50" s="451">
        <v>12</v>
      </c>
    </row>
    <row r="51" spans="1:13" x14ac:dyDescent="0.25">
      <c r="A51" s="951" t="str">
        <f>inputBudSum!B4</f>
        <v xml:space="preserve"> </v>
      </c>
      <c r="B51" s="951"/>
      <c r="C51" s="43"/>
      <c r="D51" s="43"/>
      <c r="E51" s="43"/>
      <c r="F51" s="43"/>
      <c r="G51" s="43"/>
      <c r="H51" s="43"/>
      <c r="J51" s="446" t="str">
        <f>CONCATENATE("Current ",$H$1," Estimated Mill Rate:")</f>
        <v>Current 2020 Estimated Mill Rate:</v>
      </c>
      <c r="K51" s="9"/>
      <c r="L51" s="9"/>
      <c r="M51" s="458">
        <f>IF(M50=0,0,$H$36)</f>
        <v>1.8420000000000001</v>
      </c>
    </row>
    <row r="52" spans="1:13" x14ac:dyDescent="0.25">
      <c r="A52" s="939" t="str">
        <f>inputBudSum!B6</f>
        <v>Treasurer</v>
      </c>
      <c r="B52" s="940"/>
      <c r="C52" s="43"/>
      <c r="D52" s="43"/>
      <c r="E52" s="43"/>
      <c r="F52" s="43"/>
      <c r="G52" s="43"/>
      <c r="H52" s="43"/>
      <c r="J52" s="446" t="s">
        <v>649</v>
      </c>
      <c r="K52" s="9"/>
      <c r="L52" s="9"/>
      <c r="M52" s="459">
        <f>M50-M51</f>
        <v>10.157999999999999</v>
      </c>
    </row>
    <row r="53" spans="1:13" x14ac:dyDescent="0.25">
      <c r="A53" s="43"/>
      <c r="B53" s="43"/>
      <c r="C53" s="43"/>
      <c r="D53" s="43"/>
      <c r="E53" s="43"/>
      <c r="F53" s="43"/>
      <c r="G53" s="43"/>
      <c r="H53" s="43"/>
      <c r="J53" s="432" t="s">
        <v>650</v>
      </c>
      <c r="K53" s="49"/>
      <c r="L53" s="49"/>
      <c r="M53" s="456">
        <f>IF(M50=0,0,ROUND(SUM(H21:H24)/M51,2))</f>
        <v>0</v>
      </c>
    </row>
    <row r="54" spans="1:13" x14ac:dyDescent="0.25">
      <c r="A54" s="43"/>
      <c r="B54" s="170" t="s">
        <v>223</v>
      </c>
      <c r="C54" s="708">
        <v>7</v>
      </c>
      <c r="D54" s="43"/>
      <c r="E54" s="43"/>
      <c r="F54" s="43"/>
      <c r="G54" s="43"/>
      <c r="H54" s="43"/>
      <c r="J54" s="432" t="s">
        <v>651</v>
      </c>
      <c r="K54" s="49"/>
      <c r="L54" s="49"/>
      <c r="M54" s="456" t="e">
        <f>IF(M50=0,0,ROUND(SUM(H18+H19+H20+H25+H26+H27+H28+H29)/M51,2))</f>
        <v>#VALUE!</v>
      </c>
    </row>
    <row r="55" spans="1:13" x14ac:dyDescent="0.25">
      <c r="A55" s="89"/>
      <c r="B55" s="89"/>
      <c r="C55" s="89"/>
      <c r="H55" s="457"/>
      <c r="J55" s="443" t="str">
        <f>CONCATENATE("",$H$1," Tax Levy Fund Total Exp. Changed By:")</f>
        <v>2020 Tax Levy Fund Total Exp. Changed By:</v>
      </c>
      <c r="K55" s="442"/>
      <c r="L55" s="442"/>
      <c r="M55" s="448"/>
    </row>
    <row r="56" spans="1:13" x14ac:dyDescent="0.25">
      <c r="J56" s="466" t="s">
        <v>652</v>
      </c>
      <c r="K56" s="467"/>
      <c r="L56" s="467"/>
      <c r="M56" s="462">
        <f>ROUND(F41*M52*M53/1000,0)</f>
        <v>0</v>
      </c>
    </row>
    <row r="57" spans="1:13" x14ac:dyDescent="0.25">
      <c r="A57" s="89"/>
      <c r="B57" s="89"/>
      <c r="C57" s="89"/>
      <c r="D57" s="89"/>
      <c r="E57" s="89"/>
      <c r="F57" s="89"/>
      <c r="G57" s="89"/>
      <c r="J57" s="440" t="s">
        <v>653</v>
      </c>
      <c r="K57" s="437"/>
      <c r="L57" s="437"/>
      <c r="M57" s="439" t="e">
        <f>ROUND(F40*M52*M54/1000,0)</f>
        <v>#VALUE!</v>
      </c>
    </row>
    <row r="58" spans="1:13" x14ac:dyDescent="0.25">
      <c r="H58" s="89"/>
      <c r="M58" s="460"/>
    </row>
    <row r="59" spans="1:13" x14ac:dyDescent="0.25">
      <c r="M59" s="460"/>
    </row>
    <row r="79" spans="1:6" x14ac:dyDescent="0.25">
      <c r="A79" s="89"/>
      <c r="B79" s="89"/>
      <c r="C79" s="89"/>
      <c r="D79" s="89"/>
      <c r="E79" s="89"/>
      <c r="F79" s="89"/>
    </row>
    <row r="86" spans="1:8" x14ac:dyDescent="0.25">
      <c r="A86" s="89"/>
      <c r="B86" s="89"/>
      <c r="C86" s="89"/>
      <c r="D86" s="89"/>
      <c r="E86" s="89"/>
      <c r="F86" s="89"/>
      <c r="G86" s="89"/>
    </row>
    <row r="87" spans="1:8" x14ac:dyDescent="0.25">
      <c r="H87" s="89"/>
    </row>
    <row r="92" spans="1:8" x14ac:dyDescent="0.25">
      <c r="A92" s="89"/>
      <c r="B92" s="89"/>
      <c r="C92" s="89"/>
      <c r="D92" s="89"/>
      <c r="E92" s="89"/>
      <c r="F92" s="89"/>
      <c r="G92" s="89"/>
    </row>
    <row r="93" spans="1:8" x14ac:dyDescent="0.25">
      <c r="H93" s="89"/>
    </row>
    <row r="113" spans="1:7" x14ac:dyDescent="0.25">
      <c r="A113" s="89"/>
      <c r="B113" s="89"/>
      <c r="C113" s="89"/>
      <c r="D113" s="89"/>
      <c r="E113" s="89"/>
      <c r="F113" s="89"/>
      <c r="G113" s="89"/>
    </row>
  </sheetData>
  <mergeCells count="17">
    <mergeCell ref="J29:M29"/>
    <mergeCell ref="J36:M36"/>
    <mergeCell ref="J48:M48"/>
    <mergeCell ref="J24:M24"/>
    <mergeCell ref="A51:B51"/>
    <mergeCell ref="A52:B52"/>
    <mergeCell ref="A9:H9"/>
    <mergeCell ref="A2:H2"/>
    <mergeCell ref="A8:H8"/>
    <mergeCell ref="A10:H10"/>
    <mergeCell ref="A11:H11"/>
    <mergeCell ref="A12:H12"/>
    <mergeCell ref="A4:H4"/>
    <mergeCell ref="G15:G17"/>
    <mergeCell ref="A7:H7"/>
    <mergeCell ref="A6:H6"/>
    <mergeCell ref="A5:H5"/>
  </mergeCells>
  <phoneticPr fontId="0" type="noConversion"/>
  <pageMargins left="0.9" right="0.9" top="0.96" bottom="0.5" header="0.41" footer="0.3"/>
  <pageSetup scale="67" orientation="portrait" blackAndWhite="1"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5.75" x14ac:dyDescent="0.25"/>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5.75" x14ac:dyDescent="0.2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41"/>
  <sheetViews>
    <sheetView workbookViewId="0">
      <selection activeCell="Q92" sqref="Q92"/>
    </sheetView>
  </sheetViews>
  <sheetFormatPr defaultColWidth="8.796875" defaultRowHeight="15.75" x14ac:dyDescent="0.25"/>
  <cols>
    <col min="1" max="1" width="10.59765625" style="85" customWidth="1"/>
    <col min="2" max="2" width="13.69921875" style="85" customWidth="1"/>
    <col min="3" max="5" width="12.69921875" style="85" customWidth="1"/>
    <col min="6" max="16384" width="8.796875" style="85"/>
  </cols>
  <sheetData>
    <row r="1" spans="1:6" x14ac:dyDescent="0.25">
      <c r="A1" s="182" t="str">
        <f>inputPrYr!D4</f>
        <v>Scott Township</v>
      </c>
      <c r="B1" s="43"/>
      <c r="C1" s="43"/>
      <c r="D1" s="43"/>
      <c r="E1" s="43"/>
      <c r="F1" s="43">
        <f>inputPrYr!D10</f>
        <v>2020</v>
      </c>
    </row>
    <row r="2" spans="1:6" x14ac:dyDescent="0.25">
      <c r="A2" s="43"/>
      <c r="B2" s="43"/>
      <c r="C2" s="43"/>
      <c r="D2" s="43"/>
      <c r="E2" s="43"/>
      <c r="F2" s="43"/>
    </row>
    <row r="3" spans="1:6" x14ac:dyDescent="0.25">
      <c r="A3" s="43"/>
      <c r="B3" s="868" t="str">
        <f>CONCATENATE("",F1," Neighborhood Revitalization Rebate")</f>
        <v>2020 Neighborhood Revitalization Rebate</v>
      </c>
      <c r="C3" s="876"/>
      <c r="D3" s="876"/>
      <c r="E3" s="876"/>
      <c r="F3" s="43"/>
    </row>
    <row r="4" spans="1:6" x14ac:dyDescent="0.25">
      <c r="A4" s="43"/>
      <c r="B4" s="43"/>
      <c r="C4" s="43"/>
      <c r="D4" s="43"/>
      <c r="E4" s="43"/>
      <c r="F4" s="43"/>
    </row>
    <row r="5" spans="1:6" ht="51" customHeight="1" x14ac:dyDescent="0.25">
      <c r="A5" s="43"/>
      <c r="B5" s="276" t="str">
        <f>CONCATENATE("Budgeted Funds                            for ",F1,"")</f>
        <v>Budgeted Funds                            for 2020</v>
      </c>
      <c r="C5" s="276" t="str">
        <f>CONCATENATE("",F1-1," Ad Valorem before Rebate**")</f>
        <v>2019 Ad Valorem before Rebate**</v>
      </c>
      <c r="D5" s="277" t="str">
        <f>CONCATENATE("",F1-1," Mil Rate before Rebate")</f>
        <v>2019 Mil Rate before Rebate</v>
      </c>
      <c r="E5" s="278" t="str">
        <f>CONCATENATE("Estimate ",F1," NR Rebate")</f>
        <v>Estimate 2020 NR Rebate</v>
      </c>
      <c r="F5" s="152"/>
    </row>
    <row r="6" spans="1:6" x14ac:dyDescent="0.25">
      <c r="A6" s="43"/>
      <c r="B6" s="81" t="str">
        <f>IF(inputPrYr!B23&gt;0,inputPrYr!B23,"")</f>
        <v>General</v>
      </c>
      <c r="C6" s="279"/>
      <c r="D6" s="280" t="str">
        <f t="shared" ref="D6:D17" si="0">IF(C6&gt;0,C6/$D$23,"")</f>
        <v/>
      </c>
      <c r="E6" s="275">
        <f>IF(C6&gt;0,ROUND(D6*$D$27,0),0)</f>
        <v>0</v>
      </c>
      <c r="F6" s="152"/>
    </row>
    <row r="7" spans="1:6" x14ac:dyDescent="0.25">
      <c r="A7" s="43"/>
      <c r="B7" s="81" t="str">
        <f>IF(inputPrYr!B24&gt;0,inputPrYr!B24,"")</f>
        <v>Debt Service</v>
      </c>
      <c r="C7" s="279"/>
      <c r="D7" s="280" t="str">
        <f t="shared" si="0"/>
        <v/>
      </c>
      <c r="E7" s="275">
        <f t="shared" ref="E7:E17" si="1">IF(C7&gt;0,ROUND(D7*$D$27,0),0)</f>
        <v>0</v>
      </c>
      <c r="F7" s="152"/>
    </row>
    <row r="8" spans="1:6" x14ac:dyDescent="0.25">
      <c r="A8" s="43"/>
      <c r="B8" s="81" t="str">
        <f>IF(inputPrYr!B25&gt;0,inputPrYr!B25,"")</f>
        <v>Library</v>
      </c>
      <c r="C8" s="279"/>
      <c r="D8" s="280" t="str">
        <f>IF(C8&gt;0,C8/$D$23,"")</f>
        <v/>
      </c>
      <c r="E8" s="275">
        <f t="shared" si="1"/>
        <v>0</v>
      </c>
      <c r="F8" s="152"/>
    </row>
    <row r="9" spans="1:6" x14ac:dyDescent="0.25">
      <c r="A9" s="43"/>
      <c r="B9" s="81" t="str">
        <f>IF(inputPrYr!B26&gt;0,inputPrYr!B26,"")</f>
        <v>Road</v>
      </c>
      <c r="C9" s="279"/>
      <c r="D9" s="280" t="str">
        <f t="shared" si="0"/>
        <v/>
      </c>
      <c r="E9" s="275">
        <f t="shared" si="1"/>
        <v>0</v>
      </c>
      <c r="F9" s="152"/>
    </row>
    <row r="10" spans="1:6" x14ac:dyDescent="0.25">
      <c r="A10" s="43"/>
      <c r="B10" s="81" t="str">
        <f>IF(inputPrYr!B27&gt;0,inputPrYr!B27,"")</f>
        <v>Special Road</v>
      </c>
      <c r="C10" s="279"/>
      <c r="D10" s="280" t="str">
        <f t="shared" si="0"/>
        <v/>
      </c>
      <c r="E10" s="275">
        <f t="shared" si="1"/>
        <v>0</v>
      </c>
      <c r="F10" s="152"/>
    </row>
    <row r="11" spans="1:6" x14ac:dyDescent="0.25">
      <c r="A11" s="43"/>
      <c r="B11" s="81" t="str">
        <f>IF(inputPrYr!B28&gt;0,inputPrYr!B28,"")</f>
        <v>Noxious Weed</v>
      </c>
      <c r="C11" s="279"/>
      <c r="D11" s="280" t="str">
        <f t="shared" si="0"/>
        <v/>
      </c>
      <c r="E11" s="275">
        <f t="shared" si="1"/>
        <v>0</v>
      </c>
      <c r="F11" s="152"/>
    </row>
    <row r="12" spans="1:6" x14ac:dyDescent="0.25">
      <c r="A12" s="43"/>
      <c r="B12" s="81" t="str">
        <f>IF(inputPrYr!B29&gt;0,inputPrYr!B29,"")</f>
        <v>Fire Protection</v>
      </c>
      <c r="C12" s="279"/>
      <c r="D12" s="280" t="str">
        <f t="shared" si="0"/>
        <v/>
      </c>
      <c r="E12" s="275">
        <f t="shared" si="1"/>
        <v>0</v>
      </c>
      <c r="F12" s="152"/>
    </row>
    <row r="13" spans="1:6" x14ac:dyDescent="0.25">
      <c r="A13" s="43"/>
      <c r="B13" s="81" t="str">
        <f>IF(inputPrYr!B30&gt;0,inputPrYr!B30,"")</f>
        <v/>
      </c>
      <c r="C13" s="281"/>
      <c r="D13" s="280" t="str">
        <f t="shared" si="0"/>
        <v/>
      </c>
      <c r="E13" s="275">
        <f t="shared" si="1"/>
        <v>0</v>
      </c>
      <c r="F13" s="152"/>
    </row>
    <row r="14" spans="1:6" x14ac:dyDescent="0.25">
      <c r="A14" s="43"/>
      <c r="B14" s="81" t="str">
        <f>IF(inputPrYr!B31&gt;0,inputPrYr!B31,"")</f>
        <v/>
      </c>
      <c r="C14" s="281"/>
      <c r="D14" s="280" t="str">
        <f t="shared" si="0"/>
        <v/>
      </c>
      <c r="E14" s="275">
        <f t="shared" si="1"/>
        <v>0</v>
      </c>
      <c r="F14" s="152"/>
    </row>
    <row r="15" spans="1:6" x14ac:dyDescent="0.25">
      <c r="A15" s="43"/>
      <c r="B15" s="81" t="str">
        <f>IF(inputPrYr!B32&gt;0,inputPrYr!B32,"")</f>
        <v/>
      </c>
      <c r="C15" s="281"/>
      <c r="D15" s="280" t="str">
        <f t="shared" si="0"/>
        <v/>
      </c>
      <c r="E15" s="275">
        <f t="shared" si="1"/>
        <v>0</v>
      </c>
      <c r="F15" s="152"/>
    </row>
    <row r="16" spans="1:6" x14ac:dyDescent="0.25">
      <c r="A16" s="43"/>
      <c r="B16" s="81" t="str">
        <f>IF(inputPrYr!B33&gt;0,inputPrYr!B33,"")</f>
        <v/>
      </c>
      <c r="C16" s="281"/>
      <c r="D16" s="280" t="str">
        <f t="shared" si="0"/>
        <v/>
      </c>
      <c r="E16" s="275">
        <f t="shared" si="1"/>
        <v>0</v>
      </c>
      <c r="F16" s="152"/>
    </row>
    <row r="17" spans="1:6" x14ac:dyDescent="0.25">
      <c r="A17" s="43"/>
      <c r="B17" s="81" t="str">
        <f>IF(inputPrYr!B34&gt;0,inputPrYr!B34,"")</f>
        <v/>
      </c>
      <c r="C17" s="281"/>
      <c r="D17" s="280" t="str">
        <f t="shared" si="0"/>
        <v/>
      </c>
      <c r="E17" s="275">
        <f t="shared" si="1"/>
        <v>0</v>
      </c>
      <c r="F17" s="152"/>
    </row>
    <row r="18" spans="1:6" ht="16.5" thickBot="1" x14ac:dyDescent="0.3">
      <c r="A18" s="43"/>
      <c r="B18" s="166" t="s">
        <v>185</v>
      </c>
      <c r="C18" s="282">
        <f>SUM(C6:C17)</f>
        <v>0</v>
      </c>
      <c r="D18" s="283">
        <f>SUM(D6:D17)</f>
        <v>0</v>
      </c>
      <c r="E18" s="282">
        <f>SUM(E6:E17)</f>
        <v>0</v>
      </c>
      <c r="F18" s="152"/>
    </row>
    <row r="19" spans="1:6" ht="16.5" thickTop="1" x14ac:dyDescent="0.25">
      <c r="A19" s="43"/>
      <c r="B19" s="43"/>
      <c r="C19" s="43"/>
      <c r="D19" s="43"/>
      <c r="E19" s="43"/>
      <c r="F19" s="152"/>
    </row>
    <row r="20" spans="1:6" x14ac:dyDescent="0.25">
      <c r="A20" s="43"/>
      <c r="B20" s="43"/>
      <c r="C20" s="43"/>
      <c r="D20" s="43"/>
      <c r="E20" s="43"/>
      <c r="F20" s="152"/>
    </row>
    <row r="21" spans="1:6" x14ac:dyDescent="0.25">
      <c r="A21" s="954" t="str">
        <f>CONCATENATE("",F1-1," July 1 Valuation:")</f>
        <v>2019 July 1 Valuation:</v>
      </c>
      <c r="B21" s="953"/>
      <c r="C21" s="954"/>
      <c r="D21" s="284">
        <f>inputOth!E11</f>
        <v>1628902</v>
      </c>
      <c r="E21" s="43"/>
      <c r="F21" s="152"/>
    </row>
    <row r="22" spans="1:6" x14ac:dyDescent="0.25">
      <c r="A22" s="43"/>
      <c r="B22" s="43"/>
      <c r="C22" s="43"/>
      <c r="D22" s="43"/>
      <c r="E22" s="43"/>
      <c r="F22" s="152"/>
    </row>
    <row r="23" spans="1:6" x14ac:dyDescent="0.25">
      <c r="A23" s="43"/>
      <c r="B23" s="954" t="s">
        <v>304</v>
      </c>
      <c r="C23" s="954"/>
      <c r="D23" s="285">
        <f>IF(D21&gt;0,(D21*0.001),"")</f>
        <v>1628.902</v>
      </c>
      <c r="E23" s="43"/>
      <c r="F23" s="152"/>
    </row>
    <row r="24" spans="1:6" x14ac:dyDescent="0.25">
      <c r="A24" s="43"/>
      <c r="B24" s="93"/>
      <c r="C24" s="93"/>
      <c r="D24" s="286"/>
      <c r="E24" s="43"/>
      <c r="F24" s="152"/>
    </row>
    <row r="25" spans="1:6" x14ac:dyDescent="0.25">
      <c r="A25" s="952" t="s">
        <v>305</v>
      </c>
      <c r="B25" s="879"/>
      <c r="C25" s="879"/>
      <c r="D25" s="287">
        <f>inputOth!E33</f>
        <v>0</v>
      </c>
      <c r="E25" s="145"/>
      <c r="F25" s="145"/>
    </row>
    <row r="26" spans="1:6" x14ac:dyDescent="0.25">
      <c r="A26" s="145"/>
      <c r="B26" s="145"/>
      <c r="C26" s="145"/>
      <c r="D26" s="288"/>
      <c r="E26" s="145"/>
      <c r="F26" s="145"/>
    </row>
    <row r="27" spans="1:6" x14ac:dyDescent="0.25">
      <c r="A27" s="145"/>
      <c r="B27" s="952" t="s">
        <v>306</v>
      </c>
      <c r="C27" s="953"/>
      <c r="D27" s="289" t="str">
        <f>IF(D25&gt;0,(D25*0.001),"")</f>
        <v/>
      </c>
      <c r="E27" s="145"/>
      <c r="F27" s="145"/>
    </row>
    <row r="28" spans="1:6" x14ac:dyDescent="0.25">
      <c r="A28" s="145"/>
      <c r="B28" s="145"/>
      <c r="C28" s="145"/>
      <c r="D28" s="145"/>
      <c r="E28" s="145"/>
      <c r="F28" s="145"/>
    </row>
    <row r="29" spans="1:6" x14ac:dyDescent="0.25">
      <c r="A29" s="145"/>
      <c r="B29" s="145"/>
      <c r="C29" s="145"/>
      <c r="D29" s="145"/>
      <c r="E29" s="145"/>
      <c r="F29" s="145"/>
    </row>
    <row r="30" spans="1:6" x14ac:dyDescent="0.25">
      <c r="A30" s="145"/>
      <c r="B30" s="145"/>
      <c r="C30" s="145"/>
      <c r="D30" s="145"/>
      <c r="E30" s="145"/>
      <c r="F30" s="145"/>
    </row>
    <row r="31" spans="1:6" x14ac:dyDescent="0.25">
      <c r="A31" s="18" t="str">
        <f>CONCATENATE("**This information comes from the ",F1," Budget Summary page.  See instructions tab #12 for completing")</f>
        <v>**This information comes from the 2020 Budget Summary page.  See instructions tab #12 for completing</v>
      </c>
      <c r="B31" s="145"/>
      <c r="C31" s="145"/>
      <c r="D31" s="145"/>
      <c r="E31" s="145"/>
      <c r="F31" s="145"/>
    </row>
    <row r="32" spans="1:6" x14ac:dyDescent="0.25">
      <c r="A32" s="18" t="s">
        <v>534</v>
      </c>
      <c r="B32" s="145"/>
      <c r="C32" s="145"/>
      <c r="D32" s="145"/>
      <c r="E32" s="145"/>
      <c r="F32" s="145"/>
    </row>
    <row r="33" spans="1:6" x14ac:dyDescent="0.25">
      <c r="A33" s="18"/>
      <c r="B33" s="145"/>
      <c r="C33" s="145"/>
      <c r="D33" s="145"/>
      <c r="E33" s="145"/>
      <c r="F33" s="145"/>
    </row>
    <row r="34" spans="1:6" x14ac:dyDescent="0.25">
      <c r="A34" s="18"/>
      <c r="B34" s="145"/>
      <c r="C34" s="145"/>
      <c r="D34" s="145"/>
      <c r="E34" s="145"/>
      <c r="F34" s="145"/>
    </row>
    <row r="35" spans="1:6" x14ac:dyDescent="0.25">
      <c r="A35" s="18"/>
      <c r="B35" s="145"/>
      <c r="C35" s="145"/>
      <c r="D35" s="145"/>
      <c r="E35" s="145"/>
      <c r="F35" s="145"/>
    </row>
    <row r="36" spans="1:6" x14ac:dyDescent="0.25">
      <c r="A36" s="18"/>
      <c r="B36" s="145"/>
      <c r="C36" s="145"/>
      <c r="D36" s="145"/>
      <c r="E36" s="145"/>
      <c r="F36" s="145"/>
    </row>
    <row r="37" spans="1:6" x14ac:dyDescent="0.25">
      <c r="A37" s="18"/>
      <c r="B37" s="145"/>
      <c r="C37" s="145"/>
      <c r="D37" s="145"/>
      <c r="E37" s="145"/>
      <c r="F37" s="145"/>
    </row>
    <row r="38" spans="1:6" x14ac:dyDescent="0.25">
      <c r="A38" s="18"/>
      <c r="B38" s="145"/>
      <c r="C38" s="145"/>
      <c r="D38" s="145"/>
      <c r="E38" s="145"/>
      <c r="F38" s="145"/>
    </row>
    <row r="39" spans="1:6" x14ac:dyDescent="0.25">
      <c r="A39" s="145"/>
      <c r="B39" s="145"/>
      <c r="C39" s="145"/>
      <c r="D39" s="145"/>
      <c r="E39" s="145"/>
      <c r="F39" s="145"/>
    </row>
    <row r="40" spans="1:6" x14ac:dyDescent="0.25">
      <c r="A40" s="145"/>
      <c r="B40" s="127" t="s">
        <v>223</v>
      </c>
      <c r="C40" s="710"/>
      <c r="D40" s="145"/>
      <c r="E40" s="145"/>
      <c r="F40" s="145"/>
    </row>
    <row r="41" spans="1:6" x14ac:dyDescent="0.25">
      <c r="A41" s="152"/>
      <c r="B41" s="43"/>
      <c r="C41" s="43"/>
      <c r="D41" s="290"/>
      <c r="E41" s="152"/>
      <c r="F41" s="152"/>
    </row>
  </sheetData>
  <sheetProtection sheet="1"/>
  <mergeCells count="5">
    <mergeCell ref="B27:C27"/>
    <mergeCell ref="B3:E3"/>
    <mergeCell ref="A21:C21"/>
    <mergeCell ref="B23:C23"/>
    <mergeCell ref="A25:C25"/>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pageSetUpPr fitToPage="1"/>
  </sheetPr>
  <dimension ref="B2:H7"/>
  <sheetViews>
    <sheetView workbookViewId="0">
      <selection activeCell="Q92" sqref="Q92"/>
    </sheetView>
  </sheetViews>
  <sheetFormatPr defaultRowHeight="15.75" x14ac:dyDescent="0.25"/>
  <sheetData>
    <row r="2" spans="2:8" x14ac:dyDescent="0.25">
      <c r="B2" s="589"/>
      <c r="C2" s="589"/>
      <c r="D2" s="589"/>
      <c r="E2" s="589"/>
      <c r="F2" s="589"/>
      <c r="G2" s="589"/>
      <c r="H2" s="703">
        <f>inputPrYr!D10</f>
        <v>2020</v>
      </c>
    </row>
    <row r="3" spans="2:8" ht="16.5" thickBot="1" x14ac:dyDescent="0.3">
      <c r="B3" s="589"/>
      <c r="C3" s="589"/>
      <c r="D3" s="589"/>
      <c r="E3" s="589"/>
      <c r="F3" s="589"/>
      <c r="G3" s="589"/>
      <c r="H3" s="589"/>
    </row>
    <row r="4" spans="2:8" ht="19.5" thickBot="1" x14ac:dyDescent="0.35">
      <c r="B4" s="958" t="s">
        <v>802</v>
      </c>
      <c r="C4" s="959"/>
      <c r="D4" s="959"/>
      <c r="E4" s="959"/>
      <c r="F4" s="959"/>
      <c r="G4" s="959"/>
      <c r="H4" s="960"/>
    </row>
    <row r="5" spans="2:8" ht="16.5" thickBot="1" x14ac:dyDescent="0.3">
      <c r="B5" s="700"/>
      <c r="C5" s="700"/>
      <c r="D5" s="701"/>
      <c r="E5" s="702"/>
      <c r="F5" s="700"/>
      <c r="G5" s="700"/>
      <c r="H5" s="700"/>
    </row>
    <row r="6" spans="2:8" x14ac:dyDescent="0.25">
      <c r="B6" s="961" t="str">
        <f>CONCATENATE("Notice of Vote - ",inputPrYr!D4)</f>
        <v>Notice of Vote - Scott Township</v>
      </c>
      <c r="C6" s="962"/>
      <c r="D6" s="962"/>
      <c r="E6" s="962"/>
      <c r="F6" s="962"/>
      <c r="G6" s="962"/>
      <c r="H6" s="963"/>
    </row>
    <row r="7" spans="2:8" ht="65.25" customHeight="1" thickBot="1" x14ac:dyDescent="0.3">
      <c r="B7" s="955" t="str">
        <f>CONCATENATE("In adopting the ",H2," budget the governing body voted to increase property taxes in an amount greater than the amount levied for the ",H2-1," budget, adjusted by the ",H2-2," CPI for all urban consumers.")</f>
        <v>In adopting the 2020 budget the governing body voted to increase property taxes in an amount greater than the amount levied for the 2019 budget, adjusted by the 2018 CPI for all urban consumers.</v>
      </c>
      <c r="C7" s="956"/>
      <c r="D7" s="956"/>
      <c r="E7" s="956"/>
      <c r="F7" s="956"/>
      <c r="G7" s="956"/>
      <c r="H7" s="957"/>
    </row>
  </sheetData>
  <mergeCells count="3">
    <mergeCell ref="B7:H7"/>
    <mergeCell ref="B4:H4"/>
    <mergeCell ref="B6:H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C16"/>
  <sheetViews>
    <sheetView workbookViewId="0">
      <selection activeCell="Q92" sqref="Q92"/>
    </sheetView>
  </sheetViews>
  <sheetFormatPr defaultRowHeight="15.75" x14ac:dyDescent="0.25"/>
  <cols>
    <col min="2" max="2" width="100.69921875" style="760" customWidth="1"/>
  </cols>
  <sheetData>
    <row r="1" spans="2:3" x14ac:dyDescent="0.25">
      <c r="C1" s="758" t="str">
        <f>inputPrYr!D4</f>
        <v>Scott Township</v>
      </c>
    </row>
    <row r="2" spans="2:3" x14ac:dyDescent="0.25">
      <c r="C2" s="758" t="str">
        <f>inputPrYr!D5</f>
        <v>Lincoln County</v>
      </c>
    </row>
    <row r="3" spans="2:3" x14ac:dyDescent="0.25">
      <c r="C3" s="759">
        <f>inputPrYr!D10</f>
        <v>2020</v>
      </c>
    </row>
    <row r="5" spans="2:3" ht="49.5" customHeight="1" x14ac:dyDescent="0.25">
      <c r="B5" s="783" t="s">
        <v>847</v>
      </c>
    </row>
    <row r="6" spans="2:3" ht="49.5" customHeight="1" x14ac:dyDescent="0.25">
      <c r="B6" s="782" t="str">
        <f>CONCATENATE("A resolution expressing the property taxation policy of the ",C1," governing body with respect to financing the annual budget for ",C3)</f>
        <v>A resolution expressing the property taxation policy of the Scott Township governing body with respect to financing the annual budget for 2020</v>
      </c>
    </row>
    <row r="7" spans="2:3" ht="99.75" customHeight="1" x14ac:dyDescent="0.25">
      <c r="B7" s="784"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2020 budget of the Scott Township exceeding the amount levied to finance the 2019 budget of the Scott Township, as adjusted to reflect changes in the Consumer Price Index for All Urban Consumers for calendar year 2018, be authorized by a resolution adopted in advance of the adoption of a budget supported by such levy; and</v>
      </c>
    </row>
    <row r="8" spans="2:3" ht="99.75" customHeight="1" x14ac:dyDescent="0.25">
      <c r="B8" s="784" t="s">
        <v>848</v>
      </c>
    </row>
    <row r="9" spans="2:3" ht="49.5" customHeight="1" x14ac:dyDescent="0.25">
      <c r="B9" s="784" t="str">
        <f>CONCATENATE("Whereas, ",C1," provides essential services to its citizens; and")</f>
        <v>Whereas, Scott Township provides essential services to its citizens; and</v>
      </c>
    </row>
    <row r="10" spans="2:3" ht="49.5" customHeight="1" x14ac:dyDescent="0.25">
      <c r="B10" s="784" t="s">
        <v>849</v>
      </c>
    </row>
    <row r="11" spans="2:3" ht="49.5" customHeight="1" x14ac:dyDescent="0.25">
      <c r="B11" s="784" t="str">
        <f>CONCATENATE("NOW, THEREFORE, BE IT RESOLVED by the ",C1," governing body that a levy of property taxes in support of the ",C3," budget exceeding the amount levied in ",C3-1,", as adjusted pursuant to K.S.A. 79-2925b, as amended, is hereby approved.")</f>
        <v>NOW, THEREFORE, BE IT RESOLVED by the Scott Township governing body that a levy of property taxes in support of the 2020 budget exceeding the amount levied in 2019, as adjusted pursuant to K.S.A. 79-2925b, as amended, is hereby approved.</v>
      </c>
    </row>
    <row r="12" spans="2:3" ht="49.5" customHeight="1" x14ac:dyDescent="0.25">
      <c r="B12" s="784" t="str">
        <f>CONCATENATE("Adopted this _____day of____________, ",C3-1," by the ",C1," governing body, ",C2,", Kansas.")</f>
        <v>Adopted this _____day of____________, 2019 by the Scott Township governing body, Lincoln County, Kansas.</v>
      </c>
    </row>
    <row r="13" spans="2:3" ht="49.5" customHeight="1" x14ac:dyDescent="0.25">
      <c r="B13" s="785" t="str">
        <f>CONCATENATE(C1," Governing Body")</f>
        <v>Scott Township Governing Body</v>
      </c>
    </row>
    <row r="14" spans="2:3" ht="49.5" customHeight="1" x14ac:dyDescent="0.25">
      <c r="B14" s="786" t="s">
        <v>850</v>
      </c>
    </row>
    <row r="15" spans="2:3" ht="49.5" customHeight="1" x14ac:dyDescent="0.25">
      <c r="B15" s="786" t="s">
        <v>850</v>
      </c>
    </row>
    <row r="16" spans="2:3" ht="49.5" customHeight="1" x14ac:dyDescent="0.25">
      <c r="B16" s="786" t="s">
        <v>850</v>
      </c>
    </row>
  </sheetData>
  <sheetProtection sheet="1" objects="1" scenario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04"/>
  <sheetViews>
    <sheetView topLeftCell="A71" workbookViewId="0">
      <selection activeCell="E93" sqref="E93"/>
    </sheetView>
  </sheetViews>
  <sheetFormatPr defaultColWidth="8.796875" defaultRowHeight="15.75" x14ac:dyDescent="0.25"/>
  <cols>
    <col min="1" max="1" width="16.19921875" style="1" customWidth="1"/>
    <col min="2" max="2" width="16.8984375" style="1" customWidth="1"/>
    <col min="3" max="7" width="10.69921875" style="1" customWidth="1"/>
    <col min="8" max="16384" width="8.796875" style="1"/>
  </cols>
  <sheetData>
    <row r="1" spans="1:5" x14ac:dyDescent="0.25">
      <c r="A1" s="25" t="str">
        <f>inputPrYr!D4</f>
        <v>Scott Township</v>
      </c>
      <c r="B1" s="18"/>
      <c r="C1" s="18"/>
      <c r="D1" s="18"/>
      <c r="E1" s="18">
        <f>inputPrYr!D10</f>
        <v>2020</v>
      </c>
    </row>
    <row r="2" spans="1:5" x14ac:dyDescent="0.25">
      <c r="A2" s="25" t="str">
        <f>inputPrYr!D5</f>
        <v>Lincoln County</v>
      </c>
      <c r="B2" s="18"/>
      <c r="C2" s="18"/>
      <c r="D2" s="18"/>
      <c r="E2" s="18"/>
    </row>
    <row r="3" spans="1:5" x14ac:dyDescent="0.25">
      <c r="A3" s="18"/>
      <c r="B3" s="18"/>
      <c r="C3" s="18"/>
      <c r="D3" s="18"/>
      <c r="E3" s="18"/>
    </row>
    <row r="4" spans="1:5" x14ac:dyDescent="0.25">
      <c r="A4" s="856" t="s">
        <v>814</v>
      </c>
      <c r="B4" s="857"/>
      <c r="C4" s="857"/>
      <c r="D4" s="857"/>
      <c r="E4" s="857"/>
    </row>
    <row r="5" spans="1:5" x14ac:dyDescent="0.25">
      <c r="A5" s="18"/>
      <c r="B5" s="18"/>
      <c r="C5" s="18"/>
      <c r="D5" s="18"/>
      <c r="E5" s="18"/>
    </row>
    <row r="6" spans="1:5" x14ac:dyDescent="0.25">
      <c r="A6" s="860" t="str">
        <f>CONCATENATE("From the County Clerk's Budget Information for ",E1,":")</f>
        <v>From the County Clerk's Budget Information for 2020:</v>
      </c>
      <c r="B6" s="861"/>
      <c r="C6" s="861"/>
      <c r="D6" s="861"/>
      <c r="E6" s="862"/>
    </row>
    <row r="7" spans="1:5" x14ac:dyDescent="0.25">
      <c r="A7" s="35" t="str">
        <f>CONCATENATE("Assessed Valuation for ",E1-1,":")</f>
        <v>Assessed Valuation for 2019:</v>
      </c>
      <c r="B7" s="9"/>
      <c r="C7" s="9"/>
      <c r="D7" s="9"/>
      <c r="E7" s="21"/>
    </row>
    <row r="8" spans="1:5" x14ac:dyDescent="0.25">
      <c r="A8" s="12" t="s">
        <v>121</v>
      </c>
      <c r="B8" s="13"/>
      <c r="C8" s="13"/>
      <c r="D8" s="13"/>
      <c r="E8" s="2">
        <v>1405162</v>
      </c>
    </row>
    <row r="9" spans="1:5" x14ac:dyDescent="0.25">
      <c r="A9" s="14" t="str">
        <f>inputPrYr!D7</f>
        <v>Barnard City</v>
      </c>
      <c r="B9" s="15"/>
      <c r="C9" s="15"/>
      <c r="D9" s="15"/>
      <c r="E9" s="664">
        <v>223740</v>
      </c>
    </row>
    <row r="10" spans="1:5" x14ac:dyDescent="0.25">
      <c r="A10" s="14">
        <f>inputPrYr!$D$8</f>
        <v>0</v>
      </c>
      <c r="B10" s="15"/>
      <c r="C10" s="15"/>
      <c r="D10" s="15"/>
      <c r="E10" s="664"/>
    </row>
    <row r="11" spans="1:5" x14ac:dyDescent="0.25">
      <c r="A11" s="14" t="str">
        <f>CONCATENATE("Total Assessed Valuation for ",$E$1-1,"")</f>
        <v>Total Assessed Valuation for 2019</v>
      </c>
      <c r="B11" s="15"/>
      <c r="C11" s="15"/>
      <c r="D11" s="15"/>
      <c r="E11" s="33">
        <f>SUM(E8:E10)</f>
        <v>1628902</v>
      </c>
    </row>
    <row r="12" spans="1:5" x14ac:dyDescent="0.25">
      <c r="A12" s="34" t="str">
        <f>CONCATENATE("New Improvements for ",E1-1,":")</f>
        <v>New Improvements for 2019:</v>
      </c>
      <c r="B12" s="9"/>
      <c r="C12" s="9"/>
      <c r="D12" s="9"/>
      <c r="E12" s="20"/>
    </row>
    <row r="13" spans="1:5" x14ac:dyDescent="0.25">
      <c r="A13" s="12" t="s">
        <v>121</v>
      </c>
      <c r="B13" s="13"/>
      <c r="C13" s="13"/>
      <c r="D13" s="13"/>
      <c r="E13" s="665">
        <v>0</v>
      </c>
    </row>
    <row r="14" spans="1:5" x14ac:dyDescent="0.25">
      <c r="A14" s="14" t="str">
        <f>inputPrYr!$D$7</f>
        <v>Barnard City</v>
      </c>
      <c r="B14" s="13"/>
      <c r="C14" s="13"/>
      <c r="D14" s="13"/>
      <c r="E14" s="665">
        <v>0</v>
      </c>
    </row>
    <row r="15" spans="1:5" x14ac:dyDescent="0.25">
      <c r="A15" s="14">
        <f>inputPrYr!$D$8</f>
        <v>0</v>
      </c>
      <c r="B15" s="13"/>
      <c r="C15" s="13"/>
      <c r="D15" s="13"/>
      <c r="E15" s="665"/>
    </row>
    <row r="16" spans="1:5" x14ac:dyDescent="0.25">
      <c r="A16" s="14" t="str">
        <f>CONCATENATE("Total New Improvements for ",$E$1-1,"")</f>
        <v>Total New Improvements for 2019</v>
      </c>
      <c r="B16" s="15"/>
      <c r="C16" s="15"/>
      <c r="D16" s="15"/>
      <c r="E16" s="32">
        <f>SUM(E13:E15)</f>
        <v>0</v>
      </c>
    </row>
    <row r="17" spans="1:5" x14ac:dyDescent="0.25">
      <c r="A17" s="34" t="str">
        <f>CONCATENATE("Personal Property - ",E1-1,":")</f>
        <v>Personal Property - 2019:</v>
      </c>
      <c r="B17" s="9"/>
      <c r="C17" s="9"/>
      <c r="D17" s="9"/>
      <c r="E17" s="20"/>
    </row>
    <row r="18" spans="1:5" x14ac:dyDescent="0.25">
      <c r="A18" s="12" t="s">
        <v>121</v>
      </c>
      <c r="B18" s="13"/>
      <c r="C18" s="13"/>
      <c r="D18" s="13"/>
      <c r="E18" s="665">
        <v>37817</v>
      </c>
    </row>
    <row r="19" spans="1:5" x14ac:dyDescent="0.25">
      <c r="A19" s="14" t="str">
        <f>inputPrYr!$D$7</f>
        <v>Barnard City</v>
      </c>
      <c r="B19" s="15"/>
      <c r="C19" s="15"/>
      <c r="D19" s="15"/>
      <c r="E19" s="665"/>
    </row>
    <row r="20" spans="1:5" x14ac:dyDescent="0.25">
      <c r="A20" s="14">
        <f>inputPrYr!$D$8</f>
        <v>0</v>
      </c>
      <c r="B20" s="15"/>
      <c r="C20" s="15"/>
      <c r="D20" s="15"/>
      <c r="E20" s="665"/>
    </row>
    <row r="21" spans="1:5" x14ac:dyDescent="0.25">
      <c r="A21" s="14" t="str">
        <f>CONCATENATE("Total Personal Property - ",$E$1-1,"")</f>
        <v>Total Personal Property - 2019</v>
      </c>
      <c r="B21" s="15"/>
      <c r="C21" s="15"/>
      <c r="D21" s="15"/>
      <c r="E21" s="32">
        <f>SUM(E18:E20)</f>
        <v>37817</v>
      </c>
    </row>
    <row r="22" spans="1:5" x14ac:dyDescent="0.25">
      <c r="A22" s="34" t="str">
        <f>CONCATENATE("Property that has changed in use for- ",E6-1,":")</f>
        <v>Property that has changed in use for- -1:</v>
      </c>
      <c r="B22" s="9"/>
      <c r="C22" s="9"/>
      <c r="D22" s="9"/>
      <c r="E22" s="20"/>
    </row>
    <row r="23" spans="1:5" x14ac:dyDescent="0.25">
      <c r="A23" s="12" t="s">
        <v>121</v>
      </c>
      <c r="B23" s="13"/>
      <c r="C23" s="13"/>
      <c r="D23" s="13"/>
      <c r="E23" s="665">
        <v>0</v>
      </c>
    </row>
    <row r="24" spans="1:5" x14ac:dyDescent="0.25">
      <c r="A24" s="14" t="str">
        <f>inputPrYr!$D$7</f>
        <v>Barnard City</v>
      </c>
      <c r="B24" s="15"/>
      <c r="C24" s="15"/>
      <c r="D24" s="15"/>
      <c r="E24" s="665">
        <v>0</v>
      </c>
    </row>
    <row r="25" spans="1:5" x14ac:dyDescent="0.25">
      <c r="A25" s="14">
        <f>inputPrYr!$D$8</f>
        <v>0</v>
      </c>
      <c r="B25" s="15"/>
      <c r="C25" s="15"/>
      <c r="D25" s="15"/>
      <c r="E25" s="665"/>
    </row>
    <row r="26" spans="1:5" x14ac:dyDescent="0.25">
      <c r="A26" s="14" t="str">
        <f>CONCATENATE("Total Property that has changed in use for  - ",$E$1-1,"")</f>
        <v>Total Property that has changed in use for  - 2019</v>
      </c>
      <c r="B26" s="15"/>
      <c r="C26" s="15"/>
      <c r="D26" s="15"/>
      <c r="E26" s="32">
        <f>SUM(E23:E25)</f>
        <v>0</v>
      </c>
    </row>
    <row r="27" spans="1:5" x14ac:dyDescent="0.25">
      <c r="A27" s="34" t="str">
        <f>CONCATENATE("Personal Property - ",E1-2,":")</f>
        <v>Personal Property - 2018:</v>
      </c>
      <c r="B27" s="9"/>
      <c r="C27" s="9"/>
      <c r="D27" s="9"/>
      <c r="E27" s="20"/>
    </row>
    <row r="28" spans="1:5" x14ac:dyDescent="0.25">
      <c r="A28" s="12" t="s">
        <v>121</v>
      </c>
      <c r="B28" s="13"/>
      <c r="C28" s="13"/>
      <c r="D28" s="13"/>
      <c r="E28" s="665">
        <v>38159</v>
      </c>
    </row>
    <row r="29" spans="1:5" x14ac:dyDescent="0.25">
      <c r="A29" s="14" t="str">
        <f>inputPrYr!$D$7</f>
        <v>Barnard City</v>
      </c>
      <c r="B29" s="15"/>
      <c r="C29" s="15"/>
      <c r="D29" s="15"/>
      <c r="E29" s="665"/>
    </row>
    <row r="30" spans="1:5" x14ac:dyDescent="0.25">
      <c r="A30" s="14">
        <f>inputPrYr!$D$8</f>
        <v>0</v>
      </c>
      <c r="B30" s="15"/>
      <c r="C30" s="15"/>
      <c r="D30" s="15"/>
      <c r="E30" s="665"/>
    </row>
    <row r="31" spans="1:5" x14ac:dyDescent="0.25">
      <c r="A31" s="14" t="str">
        <f>CONCATENATE("Total Personal Property - ",$E$1-2,"")</f>
        <v>Total Personal Property - 2018</v>
      </c>
      <c r="B31" s="15"/>
      <c r="C31" s="15"/>
      <c r="D31" s="15"/>
      <c r="E31" s="32">
        <f>SUM(E28:E30)</f>
        <v>38159</v>
      </c>
    </row>
    <row r="32" spans="1:5" x14ac:dyDescent="0.25">
      <c r="A32" s="14" t="str">
        <f>CONCATENATE("Gross earnings (intangible) tax estimate for ",E1,"")</f>
        <v>Gross earnings (intangible) tax estimate for 2020</v>
      </c>
      <c r="B32" s="15"/>
      <c r="C32" s="15"/>
      <c r="D32" s="15"/>
      <c r="E32" s="665"/>
    </row>
    <row r="33" spans="1:5" x14ac:dyDescent="0.25">
      <c r="A33" s="14" t="str">
        <f>CONCATENATE("Neighborhood Revitalization for ",E1,"")</f>
        <v>Neighborhood Revitalization for 2020</v>
      </c>
      <c r="B33" s="15"/>
      <c r="C33" s="15"/>
      <c r="D33" s="15"/>
      <c r="E33" s="665"/>
    </row>
    <row r="34" spans="1:5" x14ac:dyDescent="0.25">
      <c r="A34" s="5"/>
      <c r="B34" s="9"/>
      <c r="C34" s="9"/>
      <c r="D34" s="9"/>
      <c r="E34" s="20"/>
    </row>
    <row r="35" spans="1:5" x14ac:dyDescent="0.25">
      <c r="A35" s="34" t="str">
        <f>CONCATENATE("Actual Tax Rates for the ",E1-1," Budget:")</f>
        <v>Actual Tax Rates for the 2019 Budget:</v>
      </c>
      <c r="B35" s="9"/>
      <c r="C35" s="9"/>
      <c r="D35" s="9"/>
      <c r="E35" s="21"/>
    </row>
    <row r="36" spans="1:5" x14ac:dyDescent="0.25">
      <c r="A36" s="858" t="s">
        <v>209</v>
      </c>
      <c r="B36" s="859"/>
      <c r="C36" s="18"/>
      <c r="D36" s="22" t="s">
        <v>221</v>
      </c>
      <c r="E36" s="21"/>
    </row>
    <row r="37" spans="1:5" x14ac:dyDescent="0.25">
      <c r="A37" s="12" t="str">
        <f>inputPrYr!B23</f>
        <v>General</v>
      </c>
      <c r="B37" s="13"/>
      <c r="C37" s="9"/>
      <c r="D37" s="666">
        <v>1.861</v>
      </c>
      <c r="E37" s="21"/>
    </row>
    <row r="38" spans="1:5" x14ac:dyDescent="0.25">
      <c r="A38" s="12" t="str">
        <f>inputPrYr!B24</f>
        <v>Debt Service</v>
      </c>
      <c r="B38" s="15"/>
      <c r="C38" s="9"/>
      <c r="D38" s="666"/>
      <c r="E38" s="21"/>
    </row>
    <row r="39" spans="1:5" x14ac:dyDescent="0.25">
      <c r="A39" s="12" t="str">
        <f>inputPrYr!B25</f>
        <v>Library</v>
      </c>
      <c r="B39" s="15"/>
      <c r="C39" s="9"/>
      <c r="D39" s="666"/>
      <c r="E39" s="21"/>
    </row>
    <row r="40" spans="1:5" x14ac:dyDescent="0.25">
      <c r="A40" s="12" t="str">
        <f>inputPrYr!B26</f>
        <v>Road</v>
      </c>
      <c r="B40" s="15"/>
      <c r="C40" s="9"/>
      <c r="D40" s="666"/>
      <c r="E40" s="21"/>
    </row>
    <row r="41" spans="1:5" x14ac:dyDescent="0.25">
      <c r="A41" s="12" t="str">
        <f>inputPrYr!B27</f>
        <v>Special Road</v>
      </c>
      <c r="B41" s="15"/>
      <c r="C41" s="9"/>
      <c r="D41" s="666"/>
      <c r="E41" s="21"/>
    </row>
    <row r="42" spans="1:5" x14ac:dyDescent="0.25">
      <c r="A42" s="12" t="str">
        <f>inputPrYr!B28</f>
        <v>Noxious Weed</v>
      </c>
      <c r="B42" s="15"/>
      <c r="C42" s="9"/>
      <c r="D42" s="666"/>
      <c r="E42" s="21"/>
    </row>
    <row r="43" spans="1:5" x14ac:dyDescent="0.25">
      <c r="A43" s="12" t="str">
        <f>inputPrYr!B29</f>
        <v>Fire Protection</v>
      </c>
      <c r="B43" s="15"/>
      <c r="C43" s="9"/>
      <c r="D43" s="667"/>
      <c r="E43" s="21"/>
    </row>
    <row r="44" spans="1:5" x14ac:dyDescent="0.25">
      <c r="A44" s="12">
        <f>inputPrYr!B30</f>
        <v>0</v>
      </c>
      <c r="B44" s="15"/>
      <c r="C44" s="9"/>
      <c r="D44" s="667"/>
      <c r="E44" s="21"/>
    </row>
    <row r="45" spans="1:5" x14ac:dyDescent="0.25">
      <c r="A45" s="12">
        <f>inputPrYr!B31</f>
        <v>0</v>
      </c>
      <c r="B45" s="15"/>
      <c r="C45" s="9"/>
      <c r="D45" s="667"/>
      <c r="E45" s="21"/>
    </row>
    <row r="46" spans="1:5" x14ac:dyDescent="0.25">
      <c r="A46" s="12">
        <f>inputPrYr!B32</f>
        <v>0</v>
      </c>
      <c r="B46" s="15"/>
      <c r="C46" s="9"/>
      <c r="D46" s="667"/>
      <c r="E46" s="21"/>
    </row>
    <row r="47" spans="1:5" x14ac:dyDescent="0.25">
      <c r="A47" s="12">
        <f>inputPrYr!B33</f>
        <v>0</v>
      </c>
      <c r="B47" s="15"/>
      <c r="C47" s="9"/>
      <c r="D47" s="667"/>
      <c r="E47" s="21"/>
    </row>
    <row r="48" spans="1:5" x14ac:dyDescent="0.25">
      <c r="A48" s="12">
        <f>inputPrYr!B34</f>
        <v>0</v>
      </c>
      <c r="B48" s="15"/>
      <c r="C48" s="9"/>
      <c r="D48" s="666"/>
      <c r="E48" s="21"/>
    </row>
    <row r="49" spans="1:10" x14ac:dyDescent="0.25">
      <c r="A49" s="4"/>
      <c r="B49" s="9" t="s">
        <v>199</v>
      </c>
      <c r="C49" s="9"/>
      <c r="D49" s="26">
        <f>SUM(D37:D48)</f>
        <v>1.861</v>
      </c>
      <c r="E49" s="4"/>
    </row>
    <row r="50" spans="1:10" x14ac:dyDescent="0.25">
      <c r="A50" s="4"/>
      <c r="B50" s="4"/>
      <c r="C50" s="4"/>
      <c r="D50" s="4"/>
      <c r="E50" s="4"/>
    </row>
    <row r="51" spans="1:10" x14ac:dyDescent="0.25">
      <c r="A51" s="31" t="str">
        <f>CONCATENATE("Final Assessed Valuation from the November 1, ",E1-2," Abstract:")</f>
        <v>Final Assessed Valuation from the November 1, 2018 Abstract:</v>
      </c>
      <c r="B51" s="9"/>
      <c r="C51" s="9"/>
      <c r="D51" s="9"/>
      <c r="E51" s="8"/>
    </row>
    <row r="52" spans="1:10" x14ac:dyDescent="0.25">
      <c r="A52" s="13" t="s">
        <v>121</v>
      </c>
      <c r="B52" s="13"/>
      <c r="C52" s="13"/>
      <c r="D52" s="13"/>
      <c r="E52" s="3">
        <v>1393537</v>
      </c>
    </row>
    <row r="53" spans="1:10" x14ac:dyDescent="0.25">
      <c r="A53" s="15" t="str">
        <f>inputPrYr!D7</f>
        <v>Barnard City</v>
      </c>
      <c r="B53" s="15"/>
      <c r="C53" s="15"/>
      <c r="D53" s="17"/>
      <c r="E53" s="3">
        <v>218608</v>
      </c>
    </row>
    <row r="54" spans="1:10" x14ac:dyDescent="0.25">
      <c r="A54" s="15">
        <f>inputPrYr!D8</f>
        <v>0</v>
      </c>
      <c r="B54" s="15"/>
      <c r="C54" s="15"/>
      <c r="D54" s="17"/>
      <c r="E54" s="3"/>
    </row>
    <row r="55" spans="1:10" x14ac:dyDescent="0.25">
      <c r="A55" s="15" t="str">
        <f>CONCATENATE("Total  Final Assessed Valuation from the November 1, ",E1-2," Abstract:")</f>
        <v>Total  Final Assessed Valuation from the November 1, 2018 Abstract:</v>
      </c>
      <c r="B55" s="15"/>
      <c r="C55" s="15"/>
      <c r="D55" s="17"/>
      <c r="E55" s="30">
        <f>SUM(E52:E54)</f>
        <v>1612145</v>
      </c>
    </row>
    <row r="56" spans="1:10" x14ac:dyDescent="0.25">
      <c r="A56" s="4"/>
      <c r="B56" s="4"/>
      <c r="C56" s="4"/>
      <c r="D56" s="4"/>
      <c r="E56" s="4"/>
    </row>
    <row r="57" spans="1:10" x14ac:dyDescent="0.25">
      <c r="A57" s="714" t="str">
        <f>CONCATENATE("From the County Treasurer's Budget Information - ",E1," Budget Year Estimates:")</f>
        <v>From the County Treasurer's Budget Information - 2020 Budget Year Estimates:</v>
      </c>
      <c r="B57" s="713"/>
      <c r="C57" s="713"/>
      <c r="D57" s="712"/>
      <c r="E57" s="711"/>
    </row>
    <row r="58" spans="1:10" x14ac:dyDescent="0.25">
      <c r="A58" s="27" t="s">
        <v>115</v>
      </c>
      <c r="B58" s="13"/>
      <c r="C58" s="13"/>
      <c r="D58" s="7"/>
      <c r="E58" s="6"/>
      <c r="G58" s="757"/>
      <c r="H58" s="757"/>
      <c r="I58" s="757"/>
      <c r="J58" s="757"/>
    </row>
    <row r="59" spans="1:10" x14ac:dyDescent="0.25">
      <c r="A59" s="12" t="s">
        <v>80</v>
      </c>
      <c r="B59" s="13"/>
      <c r="C59" s="13"/>
      <c r="D59" s="7"/>
      <c r="E59" s="2">
        <v>160</v>
      </c>
      <c r="G59" s="757"/>
      <c r="H59" s="757"/>
      <c r="I59" s="757"/>
      <c r="J59" s="757"/>
    </row>
    <row r="60" spans="1:10" x14ac:dyDescent="0.25">
      <c r="A60" s="14" t="s">
        <v>200</v>
      </c>
      <c r="B60" s="15"/>
      <c r="C60" s="15"/>
      <c r="D60" s="733"/>
      <c r="E60" s="2">
        <v>5</v>
      </c>
      <c r="G60" s="757"/>
      <c r="H60" s="757"/>
      <c r="I60" s="757"/>
      <c r="J60" s="757"/>
    </row>
    <row r="61" spans="1:10" x14ac:dyDescent="0.25">
      <c r="A61" s="14" t="s">
        <v>21</v>
      </c>
      <c r="B61" s="15"/>
      <c r="C61" s="15"/>
      <c r="D61" s="733"/>
      <c r="E61" s="2">
        <v>41</v>
      </c>
      <c r="G61" s="757"/>
      <c r="H61" s="757"/>
      <c r="I61" s="757"/>
      <c r="J61" s="757"/>
    </row>
    <row r="62" spans="1:10" x14ac:dyDescent="0.25">
      <c r="A62" s="739" t="s">
        <v>821</v>
      </c>
      <c r="B62" s="15"/>
      <c r="C62" s="15"/>
      <c r="D62" s="733"/>
      <c r="E62" s="2">
        <v>10</v>
      </c>
      <c r="G62" s="757"/>
      <c r="H62" s="757"/>
      <c r="I62" s="757"/>
      <c r="J62" s="757"/>
    </row>
    <row r="63" spans="1:10" x14ac:dyDescent="0.25">
      <c r="A63" s="739" t="s">
        <v>822</v>
      </c>
      <c r="B63" s="15"/>
      <c r="C63" s="15"/>
      <c r="D63" s="733"/>
      <c r="E63" s="2">
        <v>2</v>
      </c>
      <c r="G63" s="757"/>
      <c r="H63" s="757"/>
      <c r="I63" s="757"/>
      <c r="J63" s="757"/>
    </row>
    <row r="64" spans="1:10" x14ac:dyDescent="0.25">
      <c r="A64" s="28" t="s">
        <v>118</v>
      </c>
      <c r="B64" s="29"/>
      <c r="C64" s="15"/>
      <c r="D64" s="733"/>
      <c r="E64" s="734"/>
      <c r="G64" s="757"/>
      <c r="H64" s="757"/>
      <c r="I64" s="757"/>
      <c r="J64" s="757"/>
    </row>
    <row r="65" spans="1:10" x14ac:dyDescent="0.25">
      <c r="A65" s="12" t="s">
        <v>116</v>
      </c>
      <c r="B65" s="15"/>
      <c r="C65" s="15"/>
      <c r="D65" s="733"/>
      <c r="E65" s="2"/>
      <c r="G65" s="757"/>
      <c r="H65" s="757"/>
      <c r="I65" s="757"/>
      <c r="J65" s="757"/>
    </row>
    <row r="66" spans="1:10" x14ac:dyDescent="0.25">
      <c r="A66" s="14" t="s">
        <v>117</v>
      </c>
      <c r="B66" s="15"/>
      <c r="C66" s="15"/>
      <c r="D66" s="733"/>
      <c r="E66" s="2"/>
      <c r="G66" s="757"/>
      <c r="H66" s="757"/>
      <c r="I66" s="757"/>
      <c r="J66" s="757"/>
    </row>
    <row r="67" spans="1:10" x14ac:dyDescent="0.25">
      <c r="A67" s="14" t="s">
        <v>820</v>
      </c>
      <c r="B67" s="15"/>
      <c r="C67" s="15"/>
      <c r="D67" s="733"/>
      <c r="E67" s="2"/>
      <c r="G67" s="757"/>
      <c r="H67" s="757"/>
      <c r="I67" s="757"/>
      <c r="J67" s="757"/>
    </row>
    <row r="68" spans="1:10" x14ac:dyDescent="0.25">
      <c r="A68" s="739" t="s">
        <v>821</v>
      </c>
      <c r="B68" s="15"/>
      <c r="C68" s="15"/>
      <c r="D68" s="733"/>
      <c r="E68" s="2"/>
      <c r="G68" s="757"/>
      <c r="H68" s="757"/>
      <c r="I68" s="757"/>
      <c r="J68" s="757"/>
    </row>
    <row r="69" spans="1:10" x14ac:dyDescent="0.25">
      <c r="A69" s="739" t="s">
        <v>822</v>
      </c>
      <c r="B69" s="15"/>
      <c r="C69" s="15"/>
      <c r="D69" s="733"/>
      <c r="E69" s="2"/>
      <c r="G69" s="757"/>
      <c r="H69" s="757"/>
      <c r="I69" s="757"/>
      <c r="J69" s="757"/>
    </row>
    <row r="70" spans="1:10" x14ac:dyDescent="0.25">
      <c r="A70" s="28" t="s">
        <v>119</v>
      </c>
      <c r="B70" s="29"/>
      <c r="C70" s="15"/>
      <c r="D70" s="733"/>
      <c r="E70" s="734"/>
      <c r="G70" s="757"/>
      <c r="H70" s="757"/>
      <c r="I70" s="757"/>
      <c r="J70" s="757"/>
    </row>
    <row r="71" spans="1:10" x14ac:dyDescent="0.25">
      <c r="A71" s="12" t="s">
        <v>116</v>
      </c>
      <c r="B71" s="15"/>
      <c r="C71" s="15"/>
      <c r="D71" s="733"/>
      <c r="E71" s="2"/>
      <c r="G71" s="757"/>
      <c r="H71" s="757"/>
      <c r="I71" s="757"/>
      <c r="J71" s="757"/>
    </row>
    <row r="72" spans="1:10" x14ac:dyDescent="0.25">
      <c r="A72" s="14" t="s">
        <v>117</v>
      </c>
      <c r="B72" s="15"/>
      <c r="C72" s="15"/>
      <c r="D72" s="733"/>
      <c r="E72" s="2"/>
      <c r="G72" s="757"/>
      <c r="H72" s="757"/>
      <c r="I72" s="757"/>
      <c r="J72" s="757"/>
    </row>
    <row r="73" spans="1:10" x14ac:dyDescent="0.25">
      <c r="A73" s="14" t="s">
        <v>820</v>
      </c>
      <c r="B73" s="15"/>
      <c r="C73" s="15"/>
      <c r="D73" s="733"/>
      <c r="E73" s="2"/>
      <c r="G73" s="757"/>
      <c r="H73" s="757"/>
      <c r="I73" s="757"/>
      <c r="J73" s="757"/>
    </row>
    <row r="74" spans="1:10" x14ac:dyDescent="0.25">
      <c r="A74" s="739" t="s">
        <v>821</v>
      </c>
      <c r="B74" s="15"/>
      <c r="C74" s="15"/>
      <c r="D74" s="733"/>
      <c r="E74" s="2"/>
      <c r="G74" s="757"/>
      <c r="H74" s="757"/>
      <c r="I74" s="757"/>
      <c r="J74" s="757"/>
    </row>
    <row r="75" spans="1:10" x14ac:dyDescent="0.25">
      <c r="A75" s="739" t="s">
        <v>822</v>
      </c>
      <c r="B75" s="15"/>
      <c r="C75" s="15"/>
      <c r="D75" s="733"/>
      <c r="E75" s="2"/>
      <c r="G75" s="757"/>
      <c r="H75" s="757"/>
      <c r="I75" s="757"/>
      <c r="J75" s="757"/>
    </row>
    <row r="76" spans="1:10" x14ac:dyDescent="0.25">
      <c r="A76" s="14"/>
      <c r="B76" s="15"/>
      <c r="C76" s="15"/>
      <c r="D76" s="733"/>
      <c r="E76" s="735"/>
      <c r="G76" s="757"/>
      <c r="H76" s="757"/>
      <c r="I76" s="757"/>
      <c r="J76" s="757"/>
    </row>
    <row r="77" spans="1:10" x14ac:dyDescent="0.25">
      <c r="A77" s="14" t="s">
        <v>81</v>
      </c>
      <c r="B77" s="15"/>
      <c r="C77" s="15"/>
      <c r="D77" s="24"/>
      <c r="E77" s="664"/>
    </row>
    <row r="78" spans="1:10" x14ac:dyDescent="0.25">
      <c r="A78" s="14" t="s">
        <v>48</v>
      </c>
      <c r="B78" s="13"/>
      <c r="C78" s="13"/>
      <c r="D78" s="23"/>
      <c r="E78" s="2"/>
    </row>
    <row r="79" spans="1:10" ht="33" customHeight="1" x14ac:dyDescent="0.25">
      <c r="A79" s="863" t="s">
        <v>120</v>
      </c>
      <c r="B79" s="864"/>
      <c r="C79" s="864"/>
      <c r="D79" s="864"/>
      <c r="E79" s="864"/>
    </row>
    <row r="80" spans="1:10" x14ac:dyDescent="0.25">
      <c r="A80" s="4"/>
      <c r="B80" s="4"/>
      <c r="C80" s="4"/>
      <c r="D80" s="4"/>
      <c r="E80" s="4"/>
    </row>
    <row r="81" spans="1:5" x14ac:dyDescent="0.25">
      <c r="A81" s="11" t="s">
        <v>82</v>
      </c>
      <c r="B81" s="10"/>
      <c r="C81" s="10"/>
      <c r="D81" s="4"/>
      <c r="E81" s="4"/>
    </row>
    <row r="82" spans="1:5" x14ac:dyDescent="0.25">
      <c r="A82" s="84" t="str">
        <f>CONCATENATE("Actual Delinquency for ",E36-3," Tax - (e.g. rate .01213 = 1.213%;  key in 1.2)")</f>
        <v>Actual Delinquency for -3 Tax - (e.g. rate .01213 = 1.213%;  key in 1.2)</v>
      </c>
      <c r="B82" s="9"/>
      <c r="C82" s="9"/>
      <c r="D82" s="9"/>
      <c r="E82" s="732"/>
    </row>
    <row r="83" spans="1:5" x14ac:dyDescent="0.25">
      <c r="A83" s="55" t="s">
        <v>683</v>
      </c>
      <c r="B83" s="16"/>
      <c r="C83" s="9"/>
      <c r="D83" s="9"/>
      <c r="E83" s="505">
        <v>0</v>
      </c>
    </row>
    <row r="84" spans="1:5" ht="34.5" customHeight="1" x14ac:dyDescent="0.25">
      <c r="A84" s="854" t="s">
        <v>83</v>
      </c>
      <c r="B84" s="855"/>
      <c r="C84" s="855"/>
      <c r="D84" s="855"/>
      <c r="E84" s="855"/>
    </row>
    <row r="85" spans="1:5" x14ac:dyDescent="0.25">
      <c r="A85" s="19"/>
      <c r="B85" s="19"/>
      <c r="C85" s="19"/>
      <c r="D85" s="19"/>
      <c r="E85" s="19"/>
    </row>
    <row r="86" spans="1:5" x14ac:dyDescent="0.25">
      <c r="A86" s="850" t="str">
        <f>CONCATENATE("From the ",E1-2," Budget Certificate Page")</f>
        <v>From the 2018 Budget Certificate Page</v>
      </c>
      <c r="B86" s="851"/>
      <c r="C86" s="19"/>
      <c r="D86" s="19"/>
      <c r="E86" s="19"/>
    </row>
    <row r="87" spans="1:5" x14ac:dyDescent="0.25">
      <c r="A87" s="36"/>
      <c r="B87" s="36" t="str">
        <f>CONCATENATE("",E1-2," Expenditure Amounts")</f>
        <v>2018 Expenditure Amounts</v>
      </c>
      <c r="C87" s="852" t="str">
        <f>CONCATENATE("Note: If the ",E1-2," budget was amended, then the")</f>
        <v>Note: If the 2018 budget was amended, then the</v>
      </c>
      <c r="D87" s="853"/>
      <c r="E87" s="853"/>
    </row>
    <row r="88" spans="1:5" x14ac:dyDescent="0.25">
      <c r="A88" s="37" t="s">
        <v>137</v>
      </c>
      <c r="B88" s="37" t="s">
        <v>138</v>
      </c>
      <c r="C88" s="38" t="s">
        <v>139</v>
      </c>
      <c r="D88" s="39"/>
      <c r="E88" s="39"/>
    </row>
    <row r="89" spans="1:5" x14ac:dyDescent="0.25">
      <c r="A89" s="40" t="str">
        <f>inputPrYr!B23</f>
        <v>General</v>
      </c>
      <c r="B89" s="3">
        <v>3452</v>
      </c>
      <c r="C89" s="38" t="s">
        <v>140</v>
      </c>
      <c r="D89" s="41"/>
      <c r="E89" s="41"/>
    </row>
    <row r="90" spans="1:5" x14ac:dyDescent="0.25">
      <c r="A90" s="40" t="str">
        <f>inputPrYr!B24</f>
        <v>Debt Service</v>
      </c>
      <c r="B90" s="3"/>
      <c r="C90" s="38"/>
      <c r="D90" s="41"/>
      <c r="E90" s="41"/>
    </row>
    <row r="91" spans="1:5" x14ac:dyDescent="0.25">
      <c r="A91" s="40" t="str">
        <f>inputPrYr!B25</f>
        <v>Library</v>
      </c>
      <c r="B91" s="3"/>
      <c r="C91" s="38"/>
      <c r="D91" s="41"/>
      <c r="E91" s="41"/>
    </row>
    <row r="92" spans="1:5" x14ac:dyDescent="0.25">
      <c r="A92" s="40" t="str">
        <f>inputPrYr!B26</f>
        <v>Road</v>
      </c>
      <c r="B92" s="3"/>
      <c r="C92" s="19"/>
      <c r="D92" s="19"/>
      <c r="E92" s="19"/>
    </row>
    <row r="93" spans="1:5" x14ac:dyDescent="0.25">
      <c r="A93" s="40" t="str">
        <f>inputPrYr!B27</f>
        <v>Special Road</v>
      </c>
      <c r="B93" s="3"/>
      <c r="C93" s="19"/>
      <c r="D93" s="19"/>
      <c r="E93" s="19"/>
    </row>
    <row r="94" spans="1:5" x14ac:dyDescent="0.25">
      <c r="A94" s="40" t="str">
        <f>inputPrYr!B28</f>
        <v>Noxious Weed</v>
      </c>
      <c r="B94" s="3"/>
      <c r="C94" s="19"/>
      <c r="D94" s="19"/>
      <c r="E94" s="19"/>
    </row>
    <row r="95" spans="1:5" x14ac:dyDescent="0.25">
      <c r="A95" s="40" t="str">
        <f>inputPrYr!B29</f>
        <v>Fire Protection</v>
      </c>
      <c r="B95" s="3"/>
      <c r="C95" s="19"/>
      <c r="D95" s="19"/>
      <c r="E95" s="19"/>
    </row>
    <row r="96" spans="1:5" x14ac:dyDescent="0.25">
      <c r="A96" s="40">
        <f>inputPrYr!B30</f>
        <v>0</v>
      </c>
      <c r="B96" s="3"/>
      <c r="C96" s="19"/>
      <c r="D96" s="19"/>
      <c r="E96" s="19"/>
    </row>
    <row r="97" spans="1:5" x14ac:dyDescent="0.25">
      <c r="A97" s="40">
        <f>inputPrYr!B31</f>
        <v>0</v>
      </c>
      <c r="B97" s="3"/>
      <c r="C97" s="19"/>
      <c r="D97" s="19"/>
      <c r="E97" s="19"/>
    </row>
    <row r="98" spans="1:5" x14ac:dyDescent="0.25">
      <c r="A98" s="40">
        <f>inputPrYr!B32</f>
        <v>0</v>
      </c>
      <c r="B98" s="3"/>
      <c r="C98" s="19"/>
      <c r="D98" s="19"/>
      <c r="E98" s="19"/>
    </row>
    <row r="99" spans="1:5" x14ac:dyDescent="0.25">
      <c r="A99" s="40">
        <f>inputPrYr!B33</f>
        <v>0</v>
      </c>
      <c r="B99" s="3"/>
      <c r="C99" s="19"/>
      <c r="D99" s="19"/>
      <c r="E99" s="19"/>
    </row>
    <row r="100" spans="1:5" x14ac:dyDescent="0.25">
      <c r="A100" s="40">
        <f>inputPrYr!B34</f>
        <v>0</v>
      </c>
      <c r="B100" s="3"/>
      <c r="C100" s="19"/>
      <c r="D100" s="19"/>
      <c r="E100" s="19"/>
    </row>
    <row r="101" spans="1:5" x14ac:dyDescent="0.25">
      <c r="A101" s="40">
        <f>inputPrYr!B38</f>
        <v>0</v>
      </c>
      <c r="B101" s="3"/>
      <c r="C101" s="19"/>
      <c r="D101" s="19"/>
      <c r="E101" s="19"/>
    </row>
    <row r="102" spans="1:5" x14ac:dyDescent="0.25">
      <c r="A102" s="40">
        <f>inputPrYr!B39</f>
        <v>0</v>
      </c>
      <c r="B102" s="3"/>
      <c r="C102" s="19"/>
      <c r="D102" s="19"/>
      <c r="E102" s="19"/>
    </row>
    <row r="103" spans="1:5" x14ac:dyDescent="0.25">
      <c r="A103" s="40">
        <f>inputPrYr!B40</f>
        <v>0</v>
      </c>
      <c r="B103" s="3"/>
      <c r="C103" s="19"/>
      <c r="D103" s="19"/>
      <c r="E103" s="19"/>
    </row>
    <row r="104" spans="1:5" x14ac:dyDescent="0.25">
      <c r="A104" s="40">
        <f>inputPrYr!B41</f>
        <v>0</v>
      </c>
      <c r="B104" s="3"/>
      <c r="C104" s="19"/>
      <c r="D104" s="19"/>
      <c r="E104" s="19"/>
    </row>
  </sheetData>
  <sheetProtection sheet="1"/>
  <mergeCells count="7">
    <mergeCell ref="A86:B86"/>
    <mergeCell ref="C87:E87"/>
    <mergeCell ref="A84:E84"/>
    <mergeCell ref="A4:E4"/>
    <mergeCell ref="A36:B36"/>
    <mergeCell ref="A6:E6"/>
    <mergeCell ref="A79:E79"/>
  </mergeCells>
  <phoneticPr fontId="11" type="noConversion"/>
  <pageMargins left="0.75" right="0.75" top="1" bottom="1" header="0.5" footer="0.5"/>
  <pageSetup scale="47"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3:L85"/>
  <sheetViews>
    <sheetView workbookViewId="0">
      <selection activeCell="Q92" sqref="Q92"/>
    </sheetView>
  </sheetViews>
  <sheetFormatPr defaultRowHeight="15.75" x14ac:dyDescent="0.25"/>
  <cols>
    <col min="1" max="1" width="64.19921875" customWidth="1"/>
  </cols>
  <sheetData>
    <row r="3" spans="1:12" x14ac:dyDescent="0.25">
      <c r="A3" s="308" t="s">
        <v>327</v>
      </c>
      <c r="B3" s="308"/>
      <c r="C3" s="308"/>
      <c r="D3" s="308"/>
      <c r="E3" s="308"/>
      <c r="F3" s="308"/>
      <c r="G3" s="308"/>
      <c r="H3" s="308"/>
      <c r="I3" s="308"/>
      <c r="J3" s="308"/>
      <c r="K3" s="308"/>
      <c r="L3" s="308"/>
    </row>
    <row r="5" spans="1:12" x14ac:dyDescent="0.25">
      <c r="A5" s="309" t="s">
        <v>328</v>
      </c>
    </row>
    <row r="6" spans="1:12" x14ac:dyDescent="0.25">
      <c r="A6" s="309" t="str">
        <f>CONCATENATE(inputPrYr!D10-2," 'total expenditures' exceed your ",inputPrYr!D10-2," 'budget authority.'")</f>
        <v>2018 'total expenditures' exceed your 2018 'budget authority.'</v>
      </c>
    </row>
    <row r="7" spans="1:12" x14ac:dyDescent="0.25">
      <c r="A7" s="309"/>
    </row>
    <row r="8" spans="1:12" x14ac:dyDescent="0.25">
      <c r="A8" s="309" t="s">
        <v>329</v>
      </c>
    </row>
    <row r="9" spans="1:12" x14ac:dyDescent="0.25">
      <c r="A9" s="309" t="s">
        <v>330</v>
      </c>
    </row>
    <row r="10" spans="1:12" x14ac:dyDescent="0.25">
      <c r="A10" s="309" t="s">
        <v>331</v>
      </c>
    </row>
    <row r="11" spans="1:12" x14ac:dyDescent="0.25">
      <c r="A11" s="309"/>
    </row>
    <row r="12" spans="1:12" x14ac:dyDescent="0.25">
      <c r="A12" s="309"/>
    </row>
    <row r="13" spans="1:12" x14ac:dyDescent="0.25">
      <c r="A13" s="310" t="s">
        <v>332</v>
      </c>
    </row>
    <row r="15" spans="1:12" x14ac:dyDescent="0.25">
      <c r="A15" s="309" t="s">
        <v>333</v>
      </c>
    </row>
    <row r="16" spans="1:12" x14ac:dyDescent="0.25">
      <c r="A16" s="309" t="str">
        <f>CONCATENATE("(i.e. an audit has not been completed, or the ",inputPrYr!D10," adopted")</f>
        <v>(i.e. an audit has not been completed, or the 2020 adopted</v>
      </c>
    </row>
    <row r="17" spans="1:1" x14ac:dyDescent="0.25">
      <c r="A17" s="309" t="s">
        <v>334</v>
      </c>
    </row>
    <row r="18" spans="1:1" x14ac:dyDescent="0.25">
      <c r="A18" s="309" t="s">
        <v>335</v>
      </c>
    </row>
    <row r="19" spans="1:1" x14ac:dyDescent="0.25">
      <c r="A19" s="309" t="s">
        <v>336</v>
      </c>
    </row>
    <row r="21" spans="1:1" x14ac:dyDescent="0.25">
      <c r="A21" s="310" t="s">
        <v>337</v>
      </c>
    </row>
    <row r="22" spans="1:1" x14ac:dyDescent="0.25">
      <c r="A22" s="310"/>
    </row>
    <row r="23" spans="1:1" x14ac:dyDescent="0.25">
      <c r="A23" s="309" t="s">
        <v>338</v>
      </c>
    </row>
    <row r="24" spans="1:1" x14ac:dyDescent="0.25">
      <c r="A24" s="309" t="s">
        <v>339</v>
      </c>
    </row>
    <row r="25" spans="1:1" x14ac:dyDescent="0.25">
      <c r="A25" s="309" t="str">
        <f>CONCATENATE("particular fund.  If your ",inputPrYr!D10-2," budget was amended, did you")</f>
        <v>particular fund.  If your 2018 budget was amended, did you</v>
      </c>
    </row>
    <row r="26" spans="1:1" x14ac:dyDescent="0.25">
      <c r="A26" s="309" t="s">
        <v>340</v>
      </c>
    </row>
    <row r="27" spans="1:1" x14ac:dyDescent="0.25">
      <c r="A27" s="309"/>
    </row>
    <row r="28" spans="1:1" x14ac:dyDescent="0.25">
      <c r="A28" s="309" t="str">
        <f>CONCATENATE("Next, look to see if any of your ",inputPrYr!D10-2," expenditures can be")</f>
        <v>Next, look to see if any of your 2018 expenditures can be</v>
      </c>
    </row>
    <row r="29" spans="1:1" x14ac:dyDescent="0.25">
      <c r="A29" s="309" t="s">
        <v>341</v>
      </c>
    </row>
    <row r="30" spans="1:1" x14ac:dyDescent="0.25">
      <c r="A30" s="309" t="s">
        <v>342</v>
      </c>
    </row>
    <row r="31" spans="1:1" x14ac:dyDescent="0.25">
      <c r="A31" s="309" t="s">
        <v>343</v>
      </c>
    </row>
    <row r="32" spans="1:1" x14ac:dyDescent="0.25">
      <c r="A32" s="309"/>
    </row>
    <row r="33" spans="1:1" x14ac:dyDescent="0.25">
      <c r="A33" s="309" t="str">
        <f>CONCATENATE("Additionally, do your ",inputPrYr!D10-2," receipts contain a reimbursement")</f>
        <v>Additionally, do your 2018 receipts contain a reimbursement</v>
      </c>
    </row>
    <row r="34" spans="1:1" x14ac:dyDescent="0.25">
      <c r="A34" s="309" t="s">
        <v>344</v>
      </c>
    </row>
    <row r="35" spans="1:1" x14ac:dyDescent="0.25">
      <c r="A35" s="309" t="s">
        <v>345</v>
      </c>
    </row>
    <row r="36" spans="1:1" x14ac:dyDescent="0.25">
      <c r="A36" s="309"/>
    </row>
    <row r="37" spans="1:1" x14ac:dyDescent="0.25">
      <c r="A37" s="309" t="s">
        <v>346</v>
      </c>
    </row>
    <row r="38" spans="1:1" x14ac:dyDescent="0.25">
      <c r="A38" s="309" t="s">
        <v>347</v>
      </c>
    </row>
    <row r="39" spans="1:1" x14ac:dyDescent="0.25">
      <c r="A39" s="309" t="s">
        <v>348</v>
      </c>
    </row>
    <row r="40" spans="1:1" x14ac:dyDescent="0.25">
      <c r="A40" s="309" t="s">
        <v>349</v>
      </c>
    </row>
    <row r="41" spans="1:1" x14ac:dyDescent="0.25">
      <c r="A41" s="309" t="s">
        <v>350</v>
      </c>
    </row>
    <row r="42" spans="1:1" x14ac:dyDescent="0.25">
      <c r="A42" s="309" t="s">
        <v>351</v>
      </c>
    </row>
    <row r="43" spans="1:1" x14ac:dyDescent="0.25">
      <c r="A43" s="309" t="s">
        <v>352</v>
      </c>
    </row>
    <row r="44" spans="1:1" x14ac:dyDescent="0.25">
      <c r="A44" s="309" t="s">
        <v>353</v>
      </c>
    </row>
    <row r="45" spans="1:1" x14ac:dyDescent="0.25">
      <c r="A45" s="309"/>
    </row>
    <row r="46" spans="1:1" x14ac:dyDescent="0.25">
      <c r="A46" s="309" t="s">
        <v>354</v>
      </c>
    </row>
    <row r="47" spans="1:1" x14ac:dyDescent="0.25">
      <c r="A47" s="309" t="s">
        <v>355</v>
      </c>
    </row>
    <row r="48" spans="1:1" x14ac:dyDescent="0.25">
      <c r="A48" s="309" t="s">
        <v>356</v>
      </c>
    </row>
    <row r="49" spans="1:1" x14ac:dyDescent="0.25">
      <c r="A49" s="309"/>
    </row>
    <row r="50" spans="1:1" x14ac:dyDescent="0.25">
      <c r="A50" s="309" t="s">
        <v>357</v>
      </c>
    </row>
    <row r="51" spans="1:1" x14ac:dyDescent="0.25">
      <c r="A51" s="309" t="s">
        <v>358</v>
      </c>
    </row>
    <row r="52" spans="1:1" x14ac:dyDescent="0.25">
      <c r="A52" s="309" t="s">
        <v>359</v>
      </c>
    </row>
    <row r="53" spans="1:1" x14ac:dyDescent="0.25">
      <c r="A53" s="309"/>
    </row>
    <row r="54" spans="1:1" x14ac:dyDescent="0.25">
      <c r="A54" s="310" t="s">
        <v>360</v>
      </c>
    </row>
    <row r="55" spans="1:1" x14ac:dyDescent="0.25">
      <c r="A55" s="309"/>
    </row>
    <row r="56" spans="1:1" x14ac:dyDescent="0.25">
      <c r="A56" s="309" t="s">
        <v>361</v>
      </c>
    </row>
    <row r="57" spans="1:1" x14ac:dyDescent="0.25">
      <c r="A57" s="309" t="s">
        <v>362</v>
      </c>
    </row>
    <row r="58" spans="1:1" x14ac:dyDescent="0.25">
      <c r="A58" s="309" t="s">
        <v>363</v>
      </c>
    </row>
    <row r="59" spans="1:1" x14ac:dyDescent="0.25">
      <c r="A59" s="309" t="s">
        <v>364</v>
      </c>
    </row>
    <row r="60" spans="1:1" x14ac:dyDescent="0.25">
      <c r="A60" s="309" t="s">
        <v>365</v>
      </c>
    </row>
    <row r="61" spans="1:1" x14ac:dyDescent="0.25">
      <c r="A61" s="309" t="s">
        <v>366</v>
      </c>
    </row>
    <row r="62" spans="1:1" x14ac:dyDescent="0.25">
      <c r="A62" s="309" t="s">
        <v>367</v>
      </c>
    </row>
    <row r="63" spans="1:1" x14ac:dyDescent="0.25">
      <c r="A63" s="309" t="s">
        <v>368</v>
      </c>
    </row>
    <row r="64" spans="1:1" x14ac:dyDescent="0.25">
      <c r="A64" s="309" t="s">
        <v>369</v>
      </c>
    </row>
    <row r="65" spans="1:1" x14ac:dyDescent="0.25">
      <c r="A65" s="309" t="s">
        <v>370</v>
      </c>
    </row>
    <row r="66" spans="1:1" x14ac:dyDescent="0.25">
      <c r="A66" s="309" t="s">
        <v>371</v>
      </c>
    </row>
    <row r="67" spans="1:1" x14ac:dyDescent="0.25">
      <c r="A67" s="309" t="s">
        <v>372</v>
      </c>
    </row>
    <row r="68" spans="1:1" x14ac:dyDescent="0.25">
      <c r="A68" s="309" t="s">
        <v>373</v>
      </c>
    </row>
    <row r="69" spans="1:1" x14ac:dyDescent="0.25">
      <c r="A69" s="309"/>
    </row>
    <row r="70" spans="1:1" x14ac:dyDescent="0.25">
      <c r="A70" s="309" t="s">
        <v>374</v>
      </c>
    </row>
    <row r="71" spans="1:1" x14ac:dyDescent="0.25">
      <c r="A71" s="309" t="s">
        <v>375</v>
      </c>
    </row>
    <row r="72" spans="1:1" x14ac:dyDescent="0.25">
      <c r="A72" s="309" t="s">
        <v>376</v>
      </c>
    </row>
    <row r="73" spans="1:1" x14ac:dyDescent="0.25">
      <c r="A73" s="309"/>
    </row>
    <row r="74" spans="1:1" x14ac:dyDescent="0.25">
      <c r="A74" s="310" t="str">
        <f>CONCATENATE("What if the ",inputPrYr!D10-2," financial records have been closed?")</f>
        <v>What if the 2018 financial records have been closed?</v>
      </c>
    </row>
    <row r="76" spans="1:1" x14ac:dyDescent="0.25">
      <c r="A76" s="309" t="s">
        <v>377</v>
      </c>
    </row>
    <row r="77" spans="1:1" x14ac:dyDescent="0.25">
      <c r="A77" s="309" t="str">
        <f>CONCATENATE("(i.e. an audit for ",inputPrYr!D10-2," has been completed, or the ",inputPrYr!D10)</f>
        <v>(i.e. an audit for 2018 has been completed, or the 2020</v>
      </c>
    </row>
    <row r="78" spans="1:1" x14ac:dyDescent="0.25">
      <c r="A78" s="309" t="s">
        <v>378</v>
      </c>
    </row>
    <row r="79" spans="1:1" x14ac:dyDescent="0.25">
      <c r="A79" s="309" t="s">
        <v>379</v>
      </c>
    </row>
    <row r="80" spans="1:1" x14ac:dyDescent="0.25">
      <c r="A80" s="309"/>
    </row>
    <row r="81" spans="1:1" x14ac:dyDescent="0.25">
      <c r="A81" s="309" t="s">
        <v>380</v>
      </c>
    </row>
    <row r="82" spans="1:1" x14ac:dyDescent="0.25">
      <c r="A82" s="309" t="s">
        <v>381</v>
      </c>
    </row>
    <row r="83" spans="1:1" x14ac:dyDescent="0.25">
      <c r="A83" s="309" t="s">
        <v>382</v>
      </c>
    </row>
    <row r="84" spans="1:1" x14ac:dyDescent="0.25">
      <c r="A84" s="309"/>
    </row>
    <row r="85" spans="1:1" x14ac:dyDescent="0.25">
      <c r="A85" s="309" t="s">
        <v>383</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3:J109"/>
  <sheetViews>
    <sheetView workbookViewId="0">
      <selection activeCell="Q92" sqref="Q92"/>
    </sheetView>
  </sheetViews>
  <sheetFormatPr defaultRowHeight="15.75" x14ac:dyDescent="0.25"/>
  <cols>
    <col min="1" max="1" width="64.19921875" customWidth="1"/>
  </cols>
  <sheetData>
    <row r="3" spans="1:10" x14ac:dyDescent="0.25">
      <c r="A3" s="308" t="s">
        <v>384</v>
      </c>
      <c r="B3" s="308"/>
      <c r="C3" s="308"/>
      <c r="D3" s="308"/>
      <c r="E3" s="308"/>
      <c r="F3" s="308"/>
      <c r="G3" s="308"/>
      <c r="H3" s="311"/>
      <c r="I3" s="311"/>
      <c r="J3" s="311"/>
    </row>
    <row r="5" spans="1:10" x14ac:dyDescent="0.25">
      <c r="A5" s="309" t="s">
        <v>385</v>
      </c>
    </row>
    <row r="6" spans="1:10" x14ac:dyDescent="0.25">
      <c r="A6" t="str">
        <f>CONCATENATE(inputPrYr!D10-2," expenditures show that you finished the year with a ")</f>
        <v xml:space="preserve">2018 expenditures show that you finished the year with a </v>
      </c>
    </row>
    <row r="7" spans="1:10" x14ac:dyDescent="0.25">
      <c r="A7" t="s">
        <v>386</v>
      </c>
    </row>
    <row r="9" spans="1:10" x14ac:dyDescent="0.25">
      <c r="A9" t="s">
        <v>387</v>
      </c>
    </row>
    <row r="10" spans="1:10" x14ac:dyDescent="0.25">
      <c r="A10" t="s">
        <v>388</v>
      </c>
    </row>
    <row r="11" spans="1:10" x14ac:dyDescent="0.25">
      <c r="A11" t="s">
        <v>389</v>
      </c>
    </row>
    <row r="13" spans="1:10" x14ac:dyDescent="0.25">
      <c r="A13" s="310" t="s">
        <v>390</v>
      </c>
    </row>
    <row r="14" spans="1:10" x14ac:dyDescent="0.25">
      <c r="A14" s="310"/>
    </row>
    <row r="15" spans="1:10" x14ac:dyDescent="0.25">
      <c r="A15" s="309" t="s">
        <v>391</v>
      </c>
    </row>
    <row r="16" spans="1:10" x14ac:dyDescent="0.25">
      <c r="A16" s="309" t="s">
        <v>392</v>
      </c>
    </row>
    <row r="17" spans="1:1" x14ac:dyDescent="0.25">
      <c r="A17" s="309" t="s">
        <v>393</v>
      </c>
    </row>
    <row r="18" spans="1:1" x14ac:dyDescent="0.25">
      <c r="A18" s="309"/>
    </row>
    <row r="19" spans="1:1" x14ac:dyDescent="0.25">
      <c r="A19" s="310" t="s">
        <v>394</v>
      </c>
    </row>
    <row r="20" spans="1:1" x14ac:dyDescent="0.25">
      <c r="A20" s="310"/>
    </row>
    <row r="21" spans="1:1" x14ac:dyDescent="0.25">
      <c r="A21" s="309" t="s">
        <v>395</v>
      </c>
    </row>
    <row r="22" spans="1:1" x14ac:dyDescent="0.25">
      <c r="A22" s="309" t="s">
        <v>396</v>
      </c>
    </row>
    <row r="23" spans="1:1" x14ac:dyDescent="0.25">
      <c r="A23" s="309" t="s">
        <v>397</v>
      </c>
    </row>
    <row r="24" spans="1:1" x14ac:dyDescent="0.25">
      <c r="A24" s="309"/>
    </row>
    <row r="25" spans="1:1" x14ac:dyDescent="0.25">
      <c r="A25" s="310" t="s">
        <v>398</v>
      </c>
    </row>
    <row r="26" spans="1:1" x14ac:dyDescent="0.25">
      <c r="A26" s="310"/>
    </row>
    <row r="27" spans="1:1" x14ac:dyDescent="0.25">
      <c r="A27" s="309" t="s">
        <v>399</v>
      </c>
    </row>
    <row r="28" spans="1:1" x14ac:dyDescent="0.25">
      <c r="A28" s="309" t="s">
        <v>400</v>
      </c>
    </row>
    <row r="29" spans="1:1" x14ac:dyDescent="0.25">
      <c r="A29" s="309" t="s">
        <v>401</v>
      </c>
    </row>
    <row r="30" spans="1:1" x14ac:dyDescent="0.25">
      <c r="A30" s="309"/>
    </row>
    <row r="31" spans="1:1" x14ac:dyDescent="0.25">
      <c r="A31" s="310" t="s">
        <v>402</v>
      </c>
    </row>
    <row r="32" spans="1:1" x14ac:dyDescent="0.25">
      <c r="A32" s="310"/>
    </row>
    <row r="33" spans="1:8" x14ac:dyDescent="0.25">
      <c r="A33" s="309" t="str">
        <f>CONCATENATE("If your financial records for ",inputPrYr!D10-2," are not closed")</f>
        <v>If your financial records for 2018 are not closed</v>
      </c>
      <c r="B33" s="309"/>
      <c r="C33" s="309"/>
      <c r="D33" s="309"/>
      <c r="E33" s="309"/>
      <c r="F33" s="309"/>
      <c r="G33" s="309"/>
      <c r="H33" s="309"/>
    </row>
    <row r="34" spans="1:8" x14ac:dyDescent="0.25">
      <c r="A34" s="309" t="str">
        <f>CONCATENATE("(i.e. an audit has not been completed, or the ",inputPrYr!D10," adopted ")</f>
        <v xml:space="preserve">(i.e. an audit has not been completed, or the 2020 adopted </v>
      </c>
      <c r="B34" s="309"/>
      <c r="C34" s="309"/>
      <c r="D34" s="309"/>
      <c r="E34" s="309"/>
      <c r="F34" s="309"/>
      <c r="G34" s="309"/>
      <c r="H34" s="309"/>
    </row>
    <row r="35" spans="1:8" x14ac:dyDescent="0.25">
      <c r="A35" s="309" t="s">
        <v>403</v>
      </c>
      <c r="B35" s="309"/>
      <c r="C35" s="309"/>
      <c r="D35" s="309"/>
      <c r="E35" s="309"/>
      <c r="F35" s="309"/>
      <c r="G35" s="309"/>
      <c r="H35" s="309"/>
    </row>
    <row r="36" spans="1:8" x14ac:dyDescent="0.25">
      <c r="A36" s="309" t="s">
        <v>404</v>
      </c>
      <c r="B36" s="309"/>
      <c r="C36" s="309"/>
      <c r="D36" s="309"/>
      <c r="E36" s="309"/>
      <c r="F36" s="309"/>
      <c r="G36" s="309"/>
      <c r="H36" s="309"/>
    </row>
    <row r="37" spans="1:8" x14ac:dyDescent="0.25">
      <c r="A37" s="309" t="s">
        <v>405</v>
      </c>
      <c r="B37" s="309"/>
      <c r="C37" s="309"/>
      <c r="D37" s="309"/>
      <c r="E37" s="309"/>
      <c r="F37" s="309"/>
      <c r="G37" s="309"/>
      <c r="H37" s="309"/>
    </row>
    <row r="38" spans="1:8" x14ac:dyDescent="0.25">
      <c r="A38" s="309" t="s">
        <v>406</v>
      </c>
      <c r="B38" s="309"/>
      <c r="C38" s="309"/>
      <c r="D38" s="309"/>
      <c r="E38" s="309"/>
      <c r="F38" s="309"/>
      <c r="G38" s="309"/>
      <c r="H38" s="309"/>
    </row>
    <row r="39" spans="1:8" x14ac:dyDescent="0.25">
      <c r="A39" s="309" t="s">
        <v>407</v>
      </c>
      <c r="B39" s="309"/>
      <c r="C39" s="309"/>
      <c r="D39" s="309"/>
      <c r="E39" s="309"/>
      <c r="F39" s="309"/>
      <c r="G39" s="309"/>
      <c r="H39" s="309"/>
    </row>
    <row r="40" spans="1:8" x14ac:dyDescent="0.25">
      <c r="A40" s="309"/>
      <c r="B40" s="309"/>
      <c r="C40" s="309"/>
      <c r="D40" s="309"/>
      <c r="E40" s="309"/>
      <c r="F40" s="309"/>
      <c r="G40" s="309"/>
      <c r="H40" s="309"/>
    </row>
    <row r="41" spans="1:8" x14ac:dyDescent="0.25">
      <c r="A41" s="309" t="s">
        <v>408</v>
      </c>
      <c r="B41" s="309"/>
      <c r="C41" s="309"/>
      <c r="D41" s="309"/>
      <c r="E41" s="309"/>
      <c r="F41" s="309"/>
      <c r="G41" s="309"/>
      <c r="H41" s="309"/>
    </row>
    <row r="42" spans="1:8" x14ac:dyDescent="0.25">
      <c r="A42" s="309" t="s">
        <v>409</v>
      </c>
      <c r="B42" s="309"/>
      <c r="C42" s="309"/>
      <c r="D42" s="309"/>
      <c r="E42" s="309"/>
      <c r="F42" s="309"/>
      <c r="G42" s="309"/>
      <c r="H42" s="309"/>
    </row>
    <row r="43" spans="1:8" x14ac:dyDescent="0.25">
      <c r="A43" s="309" t="s">
        <v>410</v>
      </c>
      <c r="B43" s="309"/>
      <c r="C43" s="309"/>
      <c r="D43" s="309"/>
      <c r="E43" s="309"/>
      <c r="F43" s="309"/>
      <c r="G43" s="309"/>
      <c r="H43" s="309"/>
    </row>
    <row r="44" spans="1:8" x14ac:dyDescent="0.25">
      <c r="A44" s="309" t="s">
        <v>411</v>
      </c>
      <c r="B44" s="309"/>
      <c r="C44" s="309"/>
      <c r="D44" s="309"/>
      <c r="E44" s="309"/>
      <c r="F44" s="309"/>
      <c r="G44" s="309"/>
      <c r="H44" s="309"/>
    </row>
    <row r="45" spans="1:8" x14ac:dyDescent="0.25">
      <c r="A45" s="309"/>
      <c r="B45" s="309"/>
      <c r="C45" s="309"/>
      <c r="D45" s="309"/>
      <c r="E45" s="309"/>
      <c r="F45" s="309"/>
      <c r="G45" s="309"/>
      <c r="H45" s="309"/>
    </row>
    <row r="46" spans="1:8" x14ac:dyDescent="0.25">
      <c r="A46" s="309" t="s">
        <v>412</v>
      </c>
      <c r="B46" s="309"/>
      <c r="C46" s="309"/>
      <c r="D46" s="309"/>
      <c r="E46" s="309"/>
      <c r="F46" s="309"/>
      <c r="G46" s="309"/>
      <c r="H46" s="309"/>
    </row>
    <row r="47" spans="1:8" x14ac:dyDescent="0.25">
      <c r="A47" s="309" t="s">
        <v>413</v>
      </c>
      <c r="B47" s="309"/>
      <c r="C47" s="309"/>
      <c r="D47" s="309"/>
      <c r="E47" s="309"/>
      <c r="F47" s="309"/>
      <c r="G47" s="309"/>
      <c r="H47" s="309"/>
    </row>
    <row r="48" spans="1:8" x14ac:dyDescent="0.25">
      <c r="A48" s="309" t="s">
        <v>414</v>
      </c>
      <c r="B48" s="309"/>
      <c r="C48" s="309"/>
      <c r="D48" s="309"/>
      <c r="E48" s="309"/>
      <c r="F48" s="309"/>
      <c r="G48" s="309"/>
      <c r="H48" s="309"/>
    </row>
    <row r="49" spans="1:8" x14ac:dyDescent="0.25">
      <c r="A49" s="309" t="s">
        <v>415</v>
      </c>
      <c r="B49" s="309"/>
      <c r="C49" s="309"/>
      <c r="D49" s="309"/>
      <c r="E49" s="309"/>
      <c r="F49" s="309"/>
      <c r="G49" s="309"/>
      <c r="H49" s="309"/>
    </row>
    <row r="50" spans="1:8" x14ac:dyDescent="0.25">
      <c r="A50" s="309" t="s">
        <v>416</v>
      </c>
      <c r="B50" s="309"/>
      <c r="C50" s="309"/>
      <c r="D50" s="309"/>
      <c r="E50" s="309"/>
      <c r="F50" s="309"/>
      <c r="G50" s="309"/>
      <c r="H50" s="309"/>
    </row>
    <row r="51" spans="1:8" x14ac:dyDescent="0.25">
      <c r="A51" s="309"/>
      <c r="B51" s="309"/>
      <c r="C51" s="309"/>
      <c r="D51" s="309"/>
      <c r="E51" s="309"/>
      <c r="F51" s="309"/>
      <c r="G51" s="309"/>
      <c r="H51" s="309"/>
    </row>
    <row r="52" spans="1:8" x14ac:dyDescent="0.25">
      <c r="A52" s="310" t="s">
        <v>417</v>
      </c>
      <c r="B52" s="310"/>
      <c r="C52" s="310"/>
      <c r="D52" s="310"/>
      <c r="E52" s="310"/>
      <c r="F52" s="310"/>
      <c r="G52" s="310"/>
      <c r="H52" s="309"/>
    </row>
    <row r="53" spans="1:8" x14ac:dyDescent="0.25">
      <c r="A53" s="310" t="s">
        <v>418</v>
      </c>
      <c r="B53" s="310"/>
      <c r="C53" s="310"/>
      <c r="D53" s="310"/>
      <c r="E53" s="310"/>
      <c r="F53" s="310"/>
      <c r="G53" s="310"/>
      <c r="H53" s="309"/>
    </row>
    <row r="54" spans="1:8" x14ac:dyDescent="0.25">
      <c r="A54" s="309"/>
      <c r="B54" s="309"/>
      <c r="C54" s="309"/>
      <c r="D54" s="309"/>
      <c r="E54" s="309"/>
      <c r="F54" s="309"/>
      <c r="G54" s="309"/>
      <c r="H54" s="309"/>
    </row>
    <row r="55" spans="1:8" x14ac:dyDescent="0.25">
      <c r="A55" s="309" t="s">
        <v>419</v>
      </c>
      <c r="B55" s="309"/>
      <c r="C55" s="309"/>
      <c r="D55" s="309"/>
      <c r="E55" s="309"/>
      <c r="F55" s="309"/>
      <c r="G55" s="309"/>
      <c r="H55" s="309"/>
    </row>
    <row r="56" spans="1:8" x14ac:dyDescent="0.25">
      <c r="A56" s="309" t="s">
        <v>420</v>
      </c>
      <c r="B56" s="309"/>
      <c r="C56" s="309"/>
      <c r="D56" s="309"/>
      <c r="E56" s="309"/>
      <c r="F56" s="309"/>
      <c r="G56" s="309"/>
      <c r="H56" s="309"/>
    </row>
    <row r="57" spans="1:8" x14ac:dyDescent="0.25">
      <c r="A57" s="309" t="s">
        <v>421</v>
      </c>
      <c r="B57" s="309"/>
      <c r="C57" s="309"/>
      <c r="D57" s="309"/>
      <c r="E57" s="309"/>
      <c r="F57" s="309"/>
      <c r="G57" s="309"/>
      <c r="H57" s="309"/>
    </row>
    <row r="58" spans="1:8" x14ac:dyDescent="0.25">
      <c r="A58" s="309" t="s">
        <v>422</v>
      </c>
      <c r="B58" s="309"/>
      <c r="C58" s="309"/>
      <c r="D58" s="309"/>
      <c r="E58" s="309"/>
      <c r="F58" s="309"/>
      <c r="G58" s="309"/>
      <c r="H58" s="309"/>
    </row>
    <row r="59" spans="1:8" x14ac:dyDescent="0.25">
      <c r="A59" s="309"/>
      <c r="B59" s="309"/>
      <c r="C59" s="309"/>
      <c r="D59" s="309"/>
      <c r="E59" s="309"/>
      <c r="F59" s="309"/>
      <c r="G59" s="309"/>
      <c r="H59" s="309"/>
    </row>
    <row r="60" spans="1:8" x14ac:dyDescent="0.25">
      <c r="A60" s="309" t="s">
        <v>423</v>
      </c>
      <c r="B60" s="309"/>
      <c r="C60" s="309"/>
      <c r="D60" s="309"/>
      <c r="E60" s="309"/>
      <c r="F60" s="309"/>
      <c r="G60" s="309"/>
      <c r="H60" s="309"/>
    </row>
    <row r="61" spans="1:8" x14ac:dyDescent="0.25">
      <c r="A61" s="309" t="s">
        <v>424</v>
      </c>
      <c r="B61" s="309"/>
      <c r="C61" s="309"/>
      <c r="D61" s="309"/>
      <c r="E61" s="309"/>
      <c r="F61" s="309"/>
      <c r="G61" s="309"/>
      <c r="H61" s="309"/>
    </row>
    <row r="62" spans="1:8" x14ac:dyDescent="0.25">
      <c r="A62" s="309" t="s">
        <v>425</v>
      </c>
      <c r="B62" s="309"/>
      <c r="C62" s="309"/>
      <c r="D62" s="309"/>
      <c r="E62" s="309"/>
      <c r="F62" s="309"/>
      <c r="G62" s="309"/>
      <c r="H62" s="309"/>
    </row>
    <row r="63" spans="1:8" x14ac:dyDescent="0.25">
      <c r="A63" s="309" t="s">
        <v>426</v>
      </c>
      <c r="B63" s="309"/>
      <c r="C63" s="309"/>
      <c r="D63" s="309"/>
      <c r="E63" s="309"/>
      <c r="F63" s="309"/>
      <c r="G63" s="309"/>
      <c r="H63" s="309"/>
    </row>
    <row r="64" spans="1:8" x14ac:dyDescent="0.25">
      <c r="A64" s="309" t="s">
        <v>427</v>
      </c>
      <c r="B64" s="309"/>
      <c r="C64" s="309"/>
      <c r="D64" s="309"/>
      <c r="E64" s="309"/>
      <c r="F64" s="309"/>
      <c r="G64" s="309"/>
      <c r="H64" s="309"/>
    </row>
    <row r="65" spans="1:8" x14ac:dyDescent="0.25">
      <c r="A65" s="309" t="s">
        <v>428</v>
      </c>
      <c r="B65" s="309"/>
      <c r="C65" s="309"/>
      <c r="D65" s="309"/>
      <c r="E65" s="309"/>
      <c r="F65" s="309"/>
      <c r="G65" s="309"/>
      <c r="H65" s="309"/>
    </row>
    <row r="66" spans="1:8" x14ac:dyDescent="0.25">
      <c r="A66" s="309"/>
      <c r="B66" s="309"/>
      <c r="C66" s="309"/>
      <c r="D66" s="309"/>
      <c r="E66" s="309"/>
      <c r="F66" s="309"/>
      <c r="G66" s="309"/>
      <c r="H66" s="309"/>
    </row>
    <row r="67" spans="1:8" x14ac:dyDescent="0.25">
      <c r="A67" s="309" t="s">
        <v>429</v>
      </c>
      <c r="B67" s="309"/>
      <c r="C67" s="309"/>
      <c r="D67" s="309"/>
      <c r="E67" s="309"/>
      <c r="F67" s="309"/>
      <c r="G67" s="309"/>
      <c r="H67" s="309"/>
    </row>
    <row r="68" spans="1:8" x14ac:dyDescent="0.25">
      <c r="A68" s="309" t="s">
        <v>430</v>
      </c>
      <c r="B68" s="309"/>
      <c r="C68" s="309"/>
      <c r="D68" s="309"/>
      <c r="E68" s="309"/>
      <c r="F68" s="309"/>
      <c r="G68" s="309"/>
      <c r="H68" s="309"/>
    </row>
    <row r="69" spans="1:8" x14ac:dyDescent="0.25">
      <c r="A69" s="309" t="s">
        <v>431</v>
      </c>
      <c r="B69" s="309"/>
      <c r="C69" s="309"/>
      <c r="D69" s="309"/>
      <c r="E69" s="309"/>
      <c r="F69" s="309"/>
      <c r="G69" s="309"/>
      <c r="H69" s="309"/>
    </row>
    <row r="70" spans="1:8" x14ac:dyDescent="0.25">
      <c r="A70" s="309" t="s">
        <v>432</v>
      </c>
      <c r="B70" s="309"/>
      <c r="C70" s="309"/>
      <c r="D70" s="309"/>
      <c r="E70" s="309"/>
      <c r="F70" s="309"/>
      <c r="G70" s="309"/>
      <c r="H70" s="309"/>
    </row>
    <row r="71" spans="1:8" x14ac:dyDescent="0.25">
      <c r="A71" s="309" t="s">
        <v>433</v>
      </c>
      <c r="B71" s="309"/>
      <c r="C71" s="309"/>
      <c r="D71" s="309"/>
      <c r="E71" s="309"/>
      <c r="F71" s="309"/>
      <c r="G71" s="309"/>
      <c r="H71" s="309"/>
    </row>
    <row r="72" spans="1:8" x14ac:dyDescent="0.25">
      <c r="A72" s="309" t="s">
        <v>434</v>
      </c>
      <c r="B72" s="309"/>
      <c r="C72" s="309"/>
      <c r="D72" s="309"/>
      <c r="E72" s="309"/>
      <c r="F72" s="309"/>
      <c r="G72" s="309"/>
      <c r="H72" s="309"/>
    </row>
    <row r="73" spans="1:8" x14ac:dyDescent="0.25">
      <c r="A73" s="309" t="s">
        <v>435</v>
      </c>
      <c r="B73" s="309"/>
      <c r="C73" s="309"/>
      <c r="D73" s="309"/>
      <c r="E73" s="309"/>
      <c r="F73" s="309"/>
      <c r="G73" s="309"/>
      <c r="H73" s="309"/>
    </row>
    <row r="74" spans="1:8" x14ac:dyDescent="0.25">
      <c r="A74" s="309"/>
      <c r="B74" s="309"/>
      <c r="C74" s="309"/>
      <c r="D74" s="309"/>
      <c r="E74" s="309"/>
      <c r="F74" s="309"/>
      <c r="G74" s="309"/>
      <c r="H74" s="309"/>
    </row>
    <row r="75" spans="1:8" x14ac:dyDescent="0.25">
      <c r="A75" s="309" t="s">
        <v>436</v>
      </c>
      <c r="B75" s="309"/>
      <c r="C75" s="309"/>
      <c r="D75" s="309"/>
      <c r="E75" s="309"/>
      <c r="F75" s="309"/>
      <c r="G75" s="309"/>
      <c r="H75" s="309"/>
    </row>
    <row r="76" spans="1:8" x14ac:dyDescent="0.25">
      <c r="A76" s="309" t="s">
        <v>437</v>
      </c>
      <c r="B76" s="309"/>
      <c r="C76" s="309"/>
      <c r="D76" s="309"/>
      <c r="E76" s="309"/>
      <c r="F76" s="309"/>
      <c r="G76" s="309"/>
      <c r="H76" s="309"/>
    </row>
    <row r="77" spans="1:8" x14ac:dyDescent="0.25">
      <c r="A77" s="309" t="s">
        <v>438</v>
      </c>
      <c r="B77" s="309"/>
      <c r="C77" s="309"/>
      <c r="D77" s="309"/>
      <c r="E77" s="309"/>
      <c r="F77" s="309"/>
      <c r="G77" s="309"/>
      <c r="H77" s="309"/>
    </row>
    <row r="78" spans="1:8" x14ac:dyDescent="0.25">
      <c r="A78" s="309"/>
      <c r="B78" s="309"/>
      <c r="C78" s="309"/>
      <c r="D78" s="309"/>
      <c r="E78" s="309"/>
      <c r="F78" s="309"/>
      <c r="G78" s="309"/>
      <c r="H78" s="309"/>
    </row>
    <row r="79" spans="1:8" x14ac:dyDescent="0.25">
      <c r="A79" s="309" t="s">
        <v>383</v>
      </c>
    </row>
    <row r="80" spans="1:8" x14ac:dyDescent="0.25">
      <c r="A80" s="310"/>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3" spans="1:1" x14ac:dyDescent="0.25">
      <c r="A103" s="309"/>
    </row>
    <row r="104" spans="1:1" x14ac:dyDescent="0.25">
      <c r="A104" s="309"/>
    </row>
    <row r="105" spans="1:1" x14ac:dyDescent="0.25">
      <c r="A105" s="309"/>
    </row>
    <row r="107" spans="1:1" x14ac:dyDescent="0.25">
      <c r="A107" s="310"/>
    </row>
    <row r="108" spans="1:1" x14ac:dyDescent="0.25">
      <c r="A108" s="310"/>
    </row>
    <row r="109" spans="1:1" x14ac:dyDescent="0.25">
      <c r="A109" s="310"/>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3:L75"/>
  <sheetViews>
    <sheetView workbookViewId="0">
      <selection activeCell="Q92" sqref="Q92"/>
    </sheetView>
  </sheetViews>
  <sheetFormatPr defaultRowHeight="15.75" x14ac:dyDescent="0.25"/>
  <cols>
    <col min="1" max="1" width="64.19921875" customWidth="1"/>
  </cols>
  <sheetData>
    <row r="3" spans="1:12" x14ac:dyDescent="0.25">
      <c r="A3" s="308" t="s">
        <v>439</v>
      </c>
      <c r="B3" s="308"/>
      <c r="C3" s="308"/>
      <c r="D3" s="308"/>
      <c r="E3" s="308"/>
      <c r="F3" s="308"/>
      <c r="G3" s="308"/>
      <c r="H3" s="308"/>
      <c r="I3" s="308"/>
      <c r="J3" s="308"/>
      <c r="K3" s="308"/>
      <c r="L3" s="308"/>
    </row>
    <row r="4" spans="1:12" x14ac:dyDescent="0.25">
      <c r="A4" s="308"/>
      <c r="B4" s="308"/>
      <c r="C4" s="308"/>
      <c r="D4" s="308"/>
      <c r="E4" s="308"/>
      <c r="F4" s="308"/>
      <c r="G4" s="308"/>
      <c r="H4" s="308"/>
      <c r="I4" s="308"/>
      <c r="J4" s="308"/>
      <c r="K4" s="308"/>
      <c r="L4" s="308"/>
    </row>
    <row r="5" spans="1:12" x14ac:dyDescent="0.25">
      <c r="A5" s="309" t="s">
        <v>328</v>
      </c>
      <c r="I5" s="308"/>
      <c r="J5" s="308"/>
      <c r="K5" s="308"/>
      <c r="L5" s="308"/>
    </row>
    <row r="6" spans="1:12" x14ac:dyDescent="0.25">
      <c r="A6" s="309" t="str">
        <f>CONCATENATE("estimated ",inputPrYr!D10-1," 'total expenditures' exceed your ",inputPrYr!D10-1,"")</f>
        <v>estimated 2019 'total expenditures' exceed your 2019</v>
      </c>
      <c r="I6" s="308"/>
      <c r="J6" s="308"/>
      <c r="K6" s="308"/>
      <c r="L6" s="308"/>
    </row>
    <row r="7" spans="1:12" x14ac:dyDescent="0.25">
      <c r="A7" s="312" t="s">
        <v>440</v>
      </c>
      <c r="I7" s="308"/>
      <c r="J7" s="308"/>
      <c r="K7" s="308"/>
      <c r="L7" s="308"/>
    </row>
    <row r="8" spans="1:12" x14ac:dyDescent="0.25">
      <c r="A8" s="309"/>
      <c r="I8" s="308"/>
      <c r="J8" s="308"/>
      <c r="K8" s="308"/>
      <c r="L8" s="308"/>
    </row>
    <row r="9" spans="1:12" x14ac:dyDescent="0.25">
      <c r="A9" s="309" t="s">
        <v>441</v>
      </c>
      <c r="I9" s="308"/>
      <c r="J9" s="308"/>
      <c r="K9" s="308"/>
      <c r="L9" s="308"/>
    </row>
    <row r="10" spans="1:12" x14ac:dyDescent="0.25">
      <c r="A10" s="309" t="s">
        <v>442</v>
      </c>
      <c r="I10" s="308"/>
      <c r="J10" s="308"/>
      <c r="K10" s="308"/>
      <c r="L10" s="308"/>
    </row>
    <row r="11" spans="1:12" x14ac:dyDescent="0.25">
      <c r="A11" s="309" t="s">
        <v>443</v>
      </c>
      <c r="I11" s="308"/>
      <c r="J11" s="308"/>
      <c r="K11" s="308"/>
      <c r="L11" s="308"/>
    </row>
    <row r="12" spans="1:12" x14ac:dyDescent="0.25">
      <c r="A12" s="309" t="s">
        <v>444</v>
      </c>
      <c r="I12" s="308"/>
      <c r="J12" s="308"/>
      <c r="K12" s="308"/>
      <c r="L12" s="308"/>
    </row>
    <row r="13" spans="1:12" x14ac:dyDescent="0.25">
      <c r="A13" s="309" t="s">
        <v>445</v>
      </c>
      <c r="I13" s="308"/>
      <c r="J13" s="308"/>
      <c r="K13" s="308"/>
      <c r="L13" s="308"/>
    </row>
    <row r="14" spans="1:12" x14ac:dyDescent="0.25">
      <c r="A14" s="308"/>
      <c r="B14" s="308"/>
      <c r="C14" s="308"/>
      <c r="D14" s="308"/>
      <c r="E14" s="308"/>
      <c r="F14" s="308"/>
      <c r="G14" s="308"/>
      <c r="H14" s="308"/>
      <c r="I14" s="308"/>
      <c r="J14" s="308"/>
      <c r="K14" s="308"/>
      <c r="L14" s="308"/>
    </row>
    <row r="15" spans="1:12" x14ac:dyDescent="0.25">
      <c r="A15" s="310" t="s">
        <v>446</v>
      </c>
    </row>
    <row r="16" spans="1:12" x14ac:dyDescent="0.25">
      <c r="A16" s="310" t="s">
        <v>447</v>
      </c>
    </row>
    <row r="17" spans="1:7" x14ac:dyDescent="0.25">
      <c r="A17" s="310"/>
    </row>
    <row r="18" spans="1:7" x14ac:dyDescent="0.25">
      <c r="A18" s="309" t="s">
        <v>448</v>
      </c>
      <c r="B18" s="309"/>
      <c r="C18" s="309"/>
      <c r="D18" s="309"/>
      <c r="E18" s="309"/>
      <c r="F18" s="309"/>
      <c r="G18" s="309"/>
    </row>
    <row r="19" spans="1:7" x14ac:dyDescent="0.25">
      <c r="A19" s="309" t="str">
        <f>CONCATENATE("your ",inputPrYr!D10-1," numbers to see what steps might be necessary to")</f>
        <v>your 2019 numbers to see what steps might be necessary to</v>
      </c>
      <c r="B19" s="309"/>
      <c r="C19" s="309"/>
      <c r="D19" s="309"/>
      <c r="E19" s="309"/>
      <c r="F19" s="309"/>
      <c r="G19" s="309"/>
    </row>
    <row r="20" spans="1:7" x14ac:dyDescent="0.25">
      <c r="A20" s="309" t="s">
        <v>449</v>
      </c>
      <c r="B20" s="309"/>
      <c r="C20" s="309"/>
      <c r="D20" s="309"/>
      <c r="E20" s="309"/>
      <c r="F20" s="309"/>
      <c r="G20" s="309"/>
    </row>
    <row r="21" spans="1:7" x14ac:dyDescent="0.25">
      <c r="A21" s="309" t="s">
        <v>450</v>
      </c>
      <c r="B21" s="309"/>
      <c r="C21" s="309"/>
      <c r="D21" s="309"/>
      <c r="E21" s="309"/>
      <c r="F21" s="309"/>
      <c r="G21" s="309"/>
    </row>
    <row r="22" spans="1:7" x14ac:dyDescent="0.25">
      <c r="A22" s="309"/>
    </row>
    <row r="23" spans="1:7" x14ac:dyDescent="0.25">
      <c r="A23" s="310" t="s">
        <v>451</v>
      </c>
    </row>
    <row r="24" spans="1:7" x14ac:dyDescent="0.25">
      <c r="A24" s="310"/>
    </row>
    <row r="25" spans="1:7" x14ac:dyDescent="0.25">
      <c r="A25" s="309" t="s">
        <v>452</v>
      </c>
    </row>
    <row r="26" spans="1:7" x14ac:dyDescent="0.25">
      <c r="A26" s="309" t="s">
        <v>453</v>
      </c>
      <c r="B26" s="309"/>
      <c r="C26" s="309"/>
      <c r="D26" s="309"/>
      <c r="E26" s="309"/>
      <c r="F26" s="309"/>
    </row>
    <row r="27" spans="1:7" x14ac:dyDescent="0.25">
      <c r="A27" s="309" t="s">
        <v>454</v>
      </c>
      <c r="B27" s="309"/>
      <c r="C27" s="309"/>
      <c r="D27" s="309"/>
      <c r="E27" s="309"/>
      <c r="F27" s="309"/>
    </row>
    <row r="28" spans="1:7" x14ac:dyDescent="0.25">
      <c r="A28" s="309" t="s">
        <v>455</v>
      </c>
      <c r="B28" s="309"/>
      <c r="C28" s="309"/>
      <c r="D28" s="309"/>
      <c r="E28" s="309"/>
      <c r="F28" s="309"/>
    </row>
    <row r="29" spans="1:7" x14ac:dyDescent="0.25">
      <c r="A29" s="309"/>
      <c r="B29" s="309"/>
      <c r="C29" s="309"/>
      <c r="D29" s="309"/>
      <c r="E29" s="309"/>
      <c r="F29" s="309"/>
    </row>
    <row r="30" spans="1:7" x14ac:dyDescent="0.25">
      <c r="A30" s="310" t="s">
        <v>456</v>
      </c>
      <c r="B30" s="310"/>
      <c r="C30" s="310"/>
      <c r="D30" s="310"/>
      <c r="E30" s="310"/>
      <c r="F30" s="310"/>
      <c r="G30" s="310"/>
    </row>
    <row r="31" spans="1:7" x14ac:dyDescent="0.25">
      <c r="A31" s="310" t="s">
        <v>457</v>
      </c>
      <c r="B31" s="310"/>
      <c r="C31" s="310"/>
      <c r="D31" s="310"/>
      <c r="E31" s="310"/>
      <c r="F31" s="310"/>
      <c r="G31" s="310"/>
    </row>
    <row r="32" spans="1:7" x14ac:dyDescent="0.25">
      <c r="A32" s="309"/>
      <c r="B32" s="309"/>
      <c r="C32" s="309"/>
      <c r="D32" s="309"/>
      <c r="E32" s="309"/>
      <c r="F32" s="309"/>
    </row>
    <row r="33" spans="1:6" x14ac:dyDescent="0.25">
      <c r="A33" s="313" t="str">
        <f>CONCATENATE("Well, let's look to see if any of your ",inputPrYr!D10-1," expenditures can")</f>
        <v>Well, let's look to see if any of your 2019 expenditures can</v>
      </c>
      <c r="B33" s="309"/>
      <c r="C33" s="309"/>
      <c r="D33" s="309"/>
      <c r="E33" s="309"/>
      <c r="F33" s="309"/>
    </row>
    <row r="34" spans="1:6" x14ac:dyDescent="0.25">
      <c r="A34" s="313" t="s">
        <v>458</v>
      </c>
      <c r="B34" s="309"/>
      <c r="C34" s="309"/>
      <c r="D34" s="309"/>
      <c r="E34" s="309"/>
      <c r="F34" s="309"/>
    </row>
    <row r="35" spans="1:6" x14ac:dyDescent="0.25">
      <c r="A35" s="313" t="s">
        <v>342</v>
      </c>
      <c r="B35" s="309"/>
      <c r="C35" s="309"/>
      <c r="D35" s="309"/>
      <c r="E35" s="309"/>
      <c r="F35" s="309"/>
    </row>
    <row r="36" spans="1:6" x14ac:dyDescent="0.25">
      <c r="A36" s="313" t="s">
        <v>343</v>
      </c>
      <c r="B36" s="309"/>
      <c r="C36" s="309"/>
      <c r="D36" s="309"/>
      <c r="E36" s="309"/>
      <c r="F36" s="309"/>
    </row>
    <row r="37" spans="1:6" x14ac:dyDescent="0.25">
      <c r="A37" s="313"/>
      <c r="B37" s="309"/>
      <c r="C37" s="309"/>
      <c r="D37" s="309"/>
      <c r="E37" s="309"/>
      <c r="F37" s="309"/>
    </row>
    <row r="38" spans="1:6" x14ac:dyDescent="0.25">
      <c r="A38" s="313" t="str">
        <f>CONCATENATE("Additionally, do your ",inputPrYr!D10-1," receipts contain a reimbursement")</f>
        <v>Additionally, do your 2019 receipts contain a reimbursement</v>
      </c>
      <c r="B38" s="309"/>
      <c r="C38" s="309"/>
      <c r="D38" s="309"/>
      <c r="E38" s="309"/>
      <c r="F38" s="309"/>
    </row>
    <row r="39" spans="1:6" x14ac:dyDescent="0.25">
      <c r="A39" s="313" t="s">
        <v>344</v>
      </c>
      <c r="B39" s="309"/>
      <c r="C39" s="309"/>
      <c r="D39" s="309"/>
      <c r="E39" s="309"/>
      <c r="F39" s="309"/>
    </row>
    <row r="40" spans="1:6" x14ac:dyDescent="0.25">
      <c r="A40" s="313" t="s">
        <v>345</v>
      </c>
      <c r="B40" s="309"/>
      <c r="C40" s="309"/>
      <c r="D40" s="309"/>
      <c r="E40" s="309"/>
      <c r="F40" s="309"/>
    </row>
    <row r="41" spans="1:6" x14ac:dyDescent="0.25">
      <c r="A41" s="313"/>
      <c r="B41" s="309"/>
      <c r="C41" s="309"/>
      <c r="D41" s="309"/>
      <c r="E41" s="309"/>
      <c r="F41" s="309"/>
    </row>
    <row r="42" spans="1:6" x14ac:dyDescent="0.25">
      <c r="A42" s="313" t="s">
        <v>346</v>
      </c>
      <c r="B42" s="309"/>
      <c r="C42" s="309"/>
      <c r="D42" s="309"/>
      <c r="E42" s="309"/>
      <c r="F42" s="309"/>
    </row>
    <row r="43" spans="1:6" x14ac:dyDescent="0.25">
      <c r="A43" s="313" t="s">
        <v>347</v>
      </c>
      <c r="B43" s="309"/>
      <c r="C43" s="309"/>
      <c r="D43" s="309"/>
      <c r="E43" s="309"/>
      <c r="F43" s="309"/>
    </row>
    <row r="44" spans="1:6" x14ac:dyDescent="0.25">
      <c r="A44" s="313" t="s">
        <v>348</v>
      </c>
      <c r="B44" s="309"/>
      <c r="C44" s="309"/>
      <c r="D44" s="309"/>
      <c r="E44" s="309"/>
      <c r="F44" s="309"/>
    </row>
    <row r="45" spans="1:6" x14ac:dyDescent="0.25">
      <c r="A45" s="313" t="s">
        <v>459</v>
      </c>
      <c r="B45" s="309"/>
      <c r="C45" s="309"/>
      <c r="D45" s="309"/>
      <c r="E45" s="309"/>
      <c r="F45" s="309"/>
    </row>
    <row r="46" spans="1:6" x14ac:dyDescent="0.25">
      <c r="A46" s="313" t="s">
        <v>350</v>
      </c>
      <c r="B46" s="309"/>
      <c r="C46" s="309"/>
      <c r="D46" s="309"/>
      <c r="E46" s="309"/>
      <c r="F46" s="309"/>
    </row>
    <row r="47" spans="1:6" x14ac:dyDescent="0.25">
      <c r="A47" s="313" t="s">
        <v>460</v>
      </c>
      <c r="B47" s="309"/>
      <c r="C47" s="309"/>
      <c r="D47" s="309"/>
      <c r="E47" s="309"/>
      <c r="F47" s="309"/>
    </row>
    <row r="48" spans="1:6" x14ac:dyDescent="0.25">
      <c r="A48" s="313" t="s">
        <v>461</v>
      </c>
      <c r="B48" s="309"/>
      <c r="C48" s="309"/>
      <c r="D48" s="309"/>
      <c r="E48" s="309"/>
      <c r="F48" s="309"/>
    </row>
    <row r="49" spans="1:6" x14ac:dyDescent="0.25">
      <c r="A49" s="313" t="s">
        <v>353</v>
      </c>
      <c r="B49" s="309"/>
      <c r="C49" s="309"/>
      <c r="D49" s="309"/>
      <c r="E49" s="309"/>
      <c r="F49" s="309"/>
    </row>
    <row r="50" spans="1:6" x14ac:dyDescent="0.25">
      <c r="A50" s="313"/>
      <c r="B50" s="309"/>
      <c r="C50" s="309"/>
      <c r="D50" s="309"/>
      <c r="E50" s="309"/>
      <c r="F50" s="309"/>
    </row>
    <row r="51" spans="1:6" x14ac:dyDescent="0.25">
      <c r="A51" s="313" t="s">
        <v>354</v>
      </c>
      <c r="B51" s="309"/>
      <c r="C51" s="309"/>
      <c r="D51" s="309"/>
      <c r="E51" s="309"/>
      <c r="F51" s="309"/>
    </row>
    <row r="52" spans="1:6" x14ac:dyDescent="0.25">
      <c r="A52" s="313" t="s">
        <v>355</v>
      </c>
      <c r="B52" s="309"/>
      <c r="C52" s="309"/>
      <c r="D52" s="309"/>
      <c r="E52" s="309"/>
      <c r="F52" s="309"/>
    </row>
    <row r="53" spans="1:6" x14ac:dyDescent="0.25">
      <c r="A53" s="313" t="s">
        <v>356</v>
      </c>
      <c r="B53" s="309"/>
      <c r="C53" s="309"/>
      <c r="D53" s="309"/>
      <c r="E53" s="309"/>
      <c r="F53" s="309"/>
    </row>
    <row r="54" spans="1:6" x14ac:dyDescent="0.25">
      <c r="A54" s="313"/>
      <c r="B54" s="309"/>
      <c r="C54" s="309"/>
      <c r="D54" s="309"/>
      <c r="E54" s="309"/>
      <c r="F54" s="309"/>
    </row>
    <row r="55" spans="1:6" x14ac:dyDescent="0.25">
      <c r="A55" s="313" t="s">
        <v>462</v>
      </c>
      <c r="B55" s="309"/>
      <c r="C55" s="309"/>
      <c r="D55" s="309"/>
      <c r="E55" s="309"/>
      <c r="F55" s="309"/>
    </row>
    <row r="56" spans="1:6" x14ac:dyDescent="0.25">
      <c r="A56" s="313" t="s">
        <v>463</v>
      </c>
      <c r="B56" s="309"/>
      <c r="C56" s="309"/>
      <c r="D56" s="309"/>
      <c r="E56" s="309"/>
      <c r="F56" s="309"/>
    </row>
    <row r="57" spans="1:6" x14ac:dyDescent="0.25">
      <c r="A57" s="313" t="s">
        <v>464</v>
      </c>
      <c r="B57" s="309"/>
      <c r="C57" s="309"/>
      <c r="D57" s="309"/>
      <c r="E57" s="309"/>
      <c r="F57" s="309"/>
    </row>
    <row r="58" spans="1:6" x14ac:dyDescent="0.25">
      <c r="A58" s="313" t="s">
        <v>465</v>
      </c>
      <c r="B58" s="309"/>
      <c r="C58" s="309"/>
      <c r="D58" s="309"/>
      <c r="E58" s="309"/>
      <c r="F58" s="309"/>
    </row>
    <row r="59" spans="1:6" x14ac:dyDescent="0.25">
      <c r="A59" s="313" t="s">
        <v>466</v>
      </c>
      <c r="B59" s="309"/>
      <c r="C59" s="309"/>
      <c r="D59" s="309"/>
      <c r="E59" s="309"/>
      <c r="F59" s="309"/>
    </row>
    <row r="60" spans="1:6" x14ac:dyDescent="0.25">
      <c r="A60" s="313"/>
      <c r="B60" s="309"/>
      <c r="C60" s="309"/>
      <c r="D60" s="309"/>
      <c r="E60" s="309"/>
      <c r="F60" s="309"/>
    </row>
    <row r="61" spans="1:6" x14ac:dyDescent="0.25">
      <c r="A61" s="314" t="s">
        <v>467</v>
      </c>
      <c r="B61" s="309"/>
      <c r="C61" s="309"/>
      <c r="D61" s="309"/>
      <c r="E61" s="309"/>
      <c r="F61" s="309"/>
    </row>
    <row r="62" spans="1:6" x14ac:dyDescent="0.25">
      <c r="A62" s="314" t="s">
        <v>468</v>
      </c>
      <c r="B62" s="309"/>
      <c r="C62" s="309"/>
      <c r="D62" s="309"/>
      <c r="E62" s="309"/>
      <c r="F62" s="309"/>
    </row>
    <row r="63" spans="1:6" x14ac:dyDescent="0.25">
      <c r="A63" s="314" t="s">
        <v>469</v>
      </c>
      <c r="B63" s="309"/>
      <c r="C63" s="309"/>
      <c r="D63" s="309"/>
      <c r="E63" s="309"/>
      <c r="F63" s="309"/>
    </row>
    <row r="64" spans="1:6" x14ac:dyDescent="0.25">
      <c r="A64" s="314" t="s">
        <v>470</v>
      </c>
    </row>
    <row r="65" spans="1:1" x14ac:dyDescent="0.25">
      <c r="A65" s="314" t="s">
        <v>471</v>
      </c>
    </row>
    <row r="66" spans="1:1" x14ac:dyDescent="0.25">
      <c r="A66" s="314" t="s">
        <v>472</v>
      </c>
    </row>
    <row r="68" spans="1:1" x14ac:dyDescent="0.25">
      <c r="A68" s="309" t="s">
        <v>473</v>
      </c>
    </row>
    <row r="69" spans="1:1" x14ac:dyDescent="0.25">
      <c r="A69" s="309" t="s">
        <v>474</v>
      </c>
    </row>
    <row r="70" spans="1:1" x14ac:dyDescent="0.25">
      <c r="A70" s="309" t="s">
        <v>475</v>
      </c>
    </row>
    <row r="71" spans="1:1" x14ac:dyDescent="0.25">
      <c r="A71" s="309" t="s">
        <v>476</v>
      </c>
    </row>
    <row r="72" spans="1:1" x14ac:dyDescent="0.25">
      <c r="A72" s="309" t="s">
        <v>477</v>
      </c>
    </row>
    <row r="73" spans="1:1" x14ac:dyDescent="0.25">
      <c r="A73" s="309" t="s">
        <v>478</v>
      </c>
    </row>
    <row r="75" spans="1:1" x14ac:dyDescent="0.25">
      <c r="A75" s="309" t="s">
        <v>383</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3:G106"/>
  <sheetViews>
    <sheetView workbookViewId="0">
      <selection activeCell="Q92" sqref="Q92"/>
    </sheetView>
  </sheetViews>
  <sheetFormatPr defaultRowHeight="15.75" x14ac:dyDescent="0.25"/>
  <cols>
    <col min="1" max="1" width="64.19921875" customWidth="1"/>
  </cols>
  <sheetData>
    <row r="3" spans="1:7" x14ac:dyDescent="0.25">
      <c r="A3" s="308" t="s">
        <v>479</v>
      </c>
      <c r="B3" s="308"/>
      <c r="C3" s="308"/>
      <c r="D3" s="308"/>
      <c r="E3" s="308"/>
      <c r="F3" s="308"/>
      <c r="G3" s="308"/>
    </row>
    <row r="4" spans="1:7" x14ac:dyDescent="0.25">
      <c r="A4" s="308"/>
      <c r="B4" s="308"/>
      <c r="C4" s="308"/>
      <c r="D4" s="308"/>
      <c r="E4" s="308"/>
      <c r="F4" s="308"/>
      <c r="G4" s="308"/>
    </row>
    <row r="5" spans="1:7" x14ac:dyDescent="0.25">
      <c r="A5" s="309" t="s">
        <v>385</v>
      </c>
    </row>
    <row r="6" spans="1:7" x14ac:dyDescent="0.25">
      <c r="A6" s="309" t="str">
        <f>CONCATENATE(inputPrYr!D10," estimated expenditures show that at the end of this year")</f>
        <v>2020 estimated expenditures show that at the end of this year</v>
      </c>
    </row>
    <row r="7" spans="1:7" x14ac:dyDescent="0.25">
      <c r="A7" s="309" t="s">
        <v>480</v>
      </c>
    </row>
    <row r="8" spans="1:7" x14ac:dyDescent="0.25">
      <c r="A8" s="309" t="s">
        <v>481</v>
      </c>
    </row>
    <row r="10" spans="1:7" x14ac:dyDescent="0.25">
      <c r="A10" t="s">
        <v>387</v>
      </c>
    </row>
    <row r="11" spans="1:7" x14ac:dyDescent="0.25">
      <c r="A11" t="s">
        <v>388</v>
      </c>
    </row>
    <row r="12" spans="1:7" x14ac:dyDescent="0.25">
      <c r="A12" t="s">
        <v>389</v>
      </c>
    </row>
    <row r="13" spans="1:7" x14ac:dyDescent="0.25">
      <c r="A13" s="308"/>
      <c r="B13" s="308"/>
      <c r="C13" s="308"/>
      <c r="D13" s="308"/>
      <c r="E13" s="308"/>
      <c r="F13" s="308"/>
      <c r="G13" s="308"/>
    </row>
    <row r="14" spans="1:7" x14ac:dyDescent="0.25">
      <c r="A14" s="310" t="s">
        <v>482</v>
      </c>
    </row>
    <row r="15" spans="1:7" x14ac:dyDescent="0.25">
      <c r="A15" s="309"/>
    </row>
    <row r="16" spans="1:7" x14ac:dyDescent="0.25">
      <c r="A16" s="309" t="s">
        <v>483</v>
      </c>
    </row>
    <row r="17" spans="1:7" x14ac:dyDescent="0.25">
      <c r="A17" s="309" t="s">
        <v>484</v>
      </c>
    </row>
    <row r="18" spans="1:7" x14ac:dyDescent="0.25">
      <c r="A18" s="309" t="s">
        <v>485</v>
      </c>
    </row>
    <row r="19" spans="1:7" x14ac:dyDescent="0.25">
      <c r="A19" s="309"/>
    </row>
    <row r="20" spans="1:7" x14ac:dyDescent="0.25">
      <c r="A20" s="309" t="s">
        <v>486</v>
      </c>
    </row>
    <row r="21" spans="1:7" x14ac:dyDescent="0.25">
      <c r="A21" s="309" t="s">
        <v>487</v>
      </c>
    </row>
    <row r="22" spans="1:7" x14ac:dyDescent="0.25">
      <c r="A22" s="309" t="s">
        <v>488</v>
      </c>
    </row>
    <row r="23" spans="1:7" x14ac:dyDescent="0.25">
      <c r="A23" s="309" t="s">
        <v>489</v>
      </c>
    </row>
    <row r="24" spans="1:7" x14ac:dyDescent="0.25">
      <c r="A24" s="309"/>
    </row>
    <row r="25" spans="1:7" x14ac:dyDescent="0.25">
      <c r="A25" s="310" t="s">
        <v>451</v>
      </c>
    </row>
    <row r="26" spans="1:7" x14ac:dyDescent="0.25">
      <c r="A26" s="310"/>
    </row>
    <row r="27" spans="1:7" x14ac:dyDescent="0.25">
      <c r="A27" s="309" t="s">
        <v>452</v>
      </c>
    </row>
    <row r="28" spans="1:7" x14ac:dyDescent="0.25">
      <c r="A28" s="309" t="s">
        <v>453</v>
      </c>
      <c r="B28" s="309"/>
      <c r="C28" s="309"/>
      <c r="D28" s="309"/>
      <c r="E28" s="309"/>
      <c r="F28" s="309"/>
    </row>
    <row r="29" spans="1:7" x14ac:dyDescent="0.25">
      <c r="A29" s="309" t="s">
        <v>454</v>
      </c>
      <c r="B29" s="309"/>
      <c r="C29" s="309"/>
      <c r="D29" s="309"/>
      <c r="E29" s="309"/>
      <c r="F29" s="309"/>
    </row>
    <row r="30" spans="1:7" x14ac:dyDescent="0.25">
      <c r="A30" s="309" t="s">
        <v>455</v>
      </c>
      <c r="B30" s="309"/>
      <c r="C30" s="309"/>
      <c r="D30" s="309"/>
      <c r="E30" s="309"/>
      <c r="F30" s="309"/>
    </row>
    <row r="31" spans="1:7" x14ac:dyDescent="0.25">
      <c r="A31" s="309"/>
    </row>
    <row r="32" spans="1:7" x14ac:dyDescent="0.25">
      <c r="A32" s="310" t="s">
        <v>456</v>
      </c>
      <c r="B32" s="310"/>
      <c r="C32" s="310"/>
      <c r="D32" s="310"/>
      <c r="E32" s="310"/>
      <c r="F32" s="310"/>
      <c r="G32" s="310"/>
    </row>
    <row r="33" spans="1:7" x14ac:dyDescent="0.25">
      <c r="A33" s="310" t="s">
        <v>457</v>
      </c>
      <c r="B33" s="310"/>
      <c r="C33" s="310"/>
      <c r="D33" s="310"/>
      <c r="E33" s="310"/>
      <c r="F33" s="310"/>
      <c r="G33" s="310"/>
    </row>
    <row r="34" spans="1:7" x14ac:dyDescent="0.25">
      <c r="A34" s="310"/>
      <c r="B34" s="310"/>
      <c r="C34" s="310"/>
      <c r="D34" s="310"/>
      <c r="E34" s="310"/>
      <c r="F34" s="310"/>
      <c r="G34" s="310"/>
    </row>
    <row r="35" spans="1:7" x14ac:dyDescent="0.25">
      <c r="A35" s="309" t="s">
        <v>490</v>
      </c>
      <c r="B35" s="309"/>
      <c r="C35" s="309"/>
      <c r="D35" s="309"/>
      <c r="E35" s="309"/>
      <c r="F35" s="309"/>
      <c r="G35" s="309"/>
    </row>
    <row r="36" spans="1:7" x14ac:dyDescent="0.25">
      <c r="A36" s="309" t="s">
        <v>491</v>
      </c>
      <c r="B36" s="309"/>
      <c r="C36" s="309"/>
      <c r="D36" s="309"/>
      <c r="E36" s="309"/>
      <c r="F36" s="309"/>
      <c r="G36" s="309"/>
    </row>
    <row r="37" spans="1:7" x14ac:dyDescent="0.25">
      <c r="A37" s="309" t="s">
        <v>492</v>
      </c>
      <c r="B37" s="309"/>
      <c r="C37" s="309"/>
      <c r="D37" s="309"/>
      <c r="E37" s="309"/>
      <c r="F37" s="309"/>
      <c r="G37" s="309"/>
    </row>
    <row r="38" spans="1:7" x14ac:dyDescent="0.25">
      <c r="A38" s="309" t="s">
        <v>493</v>
      </c>
      <c r="B38" s="309"/>
      <c r="C38" s="309"/>
      <c r="D38" s="309"/>
      <c r="E38" s="309"/>
      <c r="F38" s="309"/>
      <c r="G38" s="309"/>
    </row>
    <row r="39" spans="1:7" x14ac:dyDescent="0.25">
      <c r="A39" s="309" t="s">
        <v>494</v>
      </c>
      <c r="B39" s="309"/>
      <c r="C39" s="309"/>
      <c r="D39" s="309"/>
      <c r="E39" s="309"/>
      <c r="F39" s="309"/>
      <c r="G39" s="309"/>
    </row>
    <row r="40" spans="1:7" x14ac:dyDescent="0.25">
      <c r="A40" s="310"/>
      <c r="B40" s="310"/>
      <c r="C40" s="310"/>
      <c r="D40" s="310"/>
      <c r="E40" s="310"/>
      <c r="F40" s="310"/>
      <c r="G40" s="310"/>
    </row>
    <row r="41" spans="1:7" x14ac:dyDescent="0.25">
      <c r="A41" s="313" t="str">
        <f>CONCATENATE("So, let's look to see if any of your ",inputPrYr!D10-1," expenditures can")</f>
        <v>So, let's look to see if any of your 2019 expenditures can</v>
      </c>
      <c r="B41" s="309"/>
      <c r="C41" s="309"/>
      <c r="D41" s="309"/>
      <c r="E41" s="309"/>
      <c r="F41" s="309"/>
    </row>
    <row r="42" spans="1:7" x14ac:dyDescent="0.25">
      <c r="A42" s="313" t="s">
        <v>458</v>
      </c>
      <c r="B42" s="309"/>
      <c r="C42" s="309"/>
      <c r="D42" s="309"/>
      <c r="E42" s="309"/>
      <c r="F42" s="309"/>
    </row>
    <row r="43" spans="1:7" x14ac:dyDescent="0.25">
      <c r="A43" s="313" t="s">
        <v>342</v>
      </c>
      <c r="B43" s="309"/>
      <c r="C43" s="309"/>
      <c r="D43" s="309"/>
      <c r="E43" s="309"/>
      <c r="F43" s="309"/>
    </row>
    <row r="44" spans="1:7" x14ac:dyDescent="0.25">
      <c r="A44" s="313" t="s">
        <v>343</v>
      </c>
      <c r="B44" s="309"/>
      <c r="C44" s="309"/>
      <c r="D44" s="309"/>
      <c r="E44" s="309"/>
      <c r="F44" s="309"/>
    </row>
    <row r="45" spans="1:7" x14ac:dyDescent="0.25">
      <c r="A45" s="309"/>
    </row>
    <row r="46" spans="1:7" x14ac:dyDescent="0.25">
      <c r="A46" s="313" t="str">
        <f>CONCATENATE("Additionally, do your ",inputPrYr!D10-1," receipts contain a reimbursement")</f>
        <v>Additionally, do your 2019 receipts contain a reimbursement</v>
      </c>
      <c r="B46" s="309"/>
      <c r="C46" s="309"/>
      <c r="D46" s="309"/>
      <c r="E46" s="309"/>
      <c r="F46" s="309"/>
    </row>
    <row r="47" spans="1:7" x14ac:dyDescent="0.25">
      <c r="A47" s="313" t="s">
        <v>344</v>
      </c>
      <c r="B47" s="309"/>
      <c r="C47" s="309"/>
      <c r="D47" s="309"/>
      <c r="E47" s="309"/>
      <c r="F47" s="309"/>
    </row>
    <row r="48" spans="1:7" x14ac:dyDescent="0.25">
      <c r="A48" s="313" t="s">
        <v>345</v>
      </c>
      <c r="B48" s="309"/>
      <c r="C48" s="309"/>
      <c r="D48" s="309"/>
      <c r="E48" s="309"/>
      <c r="F48" s="309"/>
    </row>
    <row r="49" spans="1:7" x14ac:dyDescent="0.25">
      <c r="A49" s="309"/>
      <c r="B49" s="309"/>
      <c r="C49" s="309"/>
      <c r="D49" s="309"/>
      <c r="E49" s="309"/>
      <c r="F49" s="309"/>
      <c r="G49" s="309"/>
    </row>
    <row r="50" spans="1:7" x14ac:dyDescent="0.25">
      <c r="A50" s="309" t="s">
        <v>412</v>
      </c>
      <c r="B50" s="309"/>
      <c r="C50" s="309"/>
      <c r="D50" s="309"/>
      <c r="E50" s="309"/>
      <c r="F50" s="309"/>
      <c r="G50" s="309"/>
    </row>
    <row r="51" spans="1:7" x14ac:dyDescent="0.25">
      <c r="A51" s="309" t="s">
        <v>413</v>
      </c>
      <c r="B51" s="309"/>
      <c r="C51" s="309"/>
      <c r="D51" s="309"/>
      <c r="E51" s="309"/>
      <c r="F51" s="309"/>
      <c r="G51" s="309"/>
    </row>
    <row r="52" spans="1:7" x14ac:dyDescent="0.25">
      <c r="A52" s="309" t="s">
        <v>414</v>
      </c>
      <c r="B52" s="309"/>
      <c r="C52" s="309"/>
      <c r="D52" s="309"/>
      <c r="E52" s="309"/>
      <c r="F52" s="309"/>
      <c r="G52" s="309"/>
    </row>
    <row r="53" spans="1:7" x14ac:dyDescent="0.25">
      <c r="A53" s="309" t="s">
        <v>415</v>
      </c>
      <c r="B53" s="309"/>
      <c r="C53" s="309"/>
      <c r="D53" s="309"/>
      <c r="E53" s="309"/>
      <c r="F53" s="309"/>
      <c r="G53" s="309"/>
    </row>
    <row r="54" spans="1:7" x14ac:dyDescent="0.25">
      <c r="A54" s="309" t="s">
        <v>416</v>
      </c>
      <c r="B54" s="309"/>
      <c r="C54" s="309"/>
      <c r="D54" s="309"/>
      <c r="E54" s="309"/>
      <c r="F54" s="309"/>
      <c r="G54" s="309"/>
    </row>
    <row r="55" spans="1:7" x14ac:dyDescent="0.25">
      <c r="A55" s="309"/>
      <c r="B55" s="309"/>
      <c r="C55" s="309"/>
      <c r="D55" s="309"/>
      <c r="E55" s="309"/>
      <c r="F55" s="309"/>
      <c r="G55" s="309"/>
    </row>
    <row r="56" spans="1:7" x14ac:dyDescent="0.25">
      <c r="A56" s="313" t="s">
        <v>354</v>
      </c>
      <c r="B56" s="309"/>
      <c r="C56" s="309"/>
      <c r="D56" s="309"/>
      <c r="E56" s="309"/>
      <c r="F56" s="309"/>
    </row>
    <row r="57" spans="1:7" x14ac:dyDescent="0.25">
      <c r="A57" s="313" t="s">
        <v>355</v>
      </c>
      <c r="B57" s="309"/>
      <c r="C57" s="309"/>
      <c r="D57" s="309"/>
      <c r="E57" s="309"/>
      <c r="F57" s="309"/>
    </row>
    <row r="58" spans="1:7" x14ac:dyDescent="0.25">
      <c r="A58" s="313" t="s">
        <v>356</v>
      </c>
      <c r="B58" s="309"/>
      <c r="C58" s="309"/>
      <c r="D58" s="309"/>
      <c r="E58" s="309"/>
      <c r="F58" s="309"/>
    </row>
    <row r="59" spans="1:7" x14ac:dyDescent="0.25">
      <c r="A59" s="313"/>
      <c r="B59" s="309"/>
      <c r="C59" s="309"/>
      <c r="D59" s="309"/>
      <c r="E59" s="309"/>
      <c r="F59" s="309"/>
    </row>
    <row r="60" spans="1:7" x14ac:dyDescent="0.25">
      <c r="A60" s="309" t="s">
        <v>495</v>
      </c>
      <c r="B60" s="309"/>
      <c r="C60" s="309"/>
      <c r="D60" s="309"/>
      <c r="E60" s="309"/>
      <c r="F60" s="309"/>
      <c r="G60" s="309"/>
    </row>
    <row r="61" spans="1:7" x14ac:dyDescent="0.25">
      <c r="A61" s="309" t="s">
        <v>496</v>
      </c>
      <c r="B61" s="309"/>
      <c r="C61" s="309"/>
      <c r="D61" s="309"/>
      <c r="E61" s="309"/>
      <c r="F61" s="309"/>
      <c r="G61" s="309"/>
    </row>
    <row r="62" spans="1:7" x14ac:dyDescent="0.25">
      <c r="A62" s="309" t="s">
        <v>497</v>
      </c>
      <c r="B62" s="309"/>
      <c r="C62" s="309"/>
      <c r="D62" s="309"/>
      <c r="E62" s="309"/>
      <c r="F62" s="309"/>
      <c r="G62" s="309"/>
    </row>
    <row r="63" spans="1:7" x14ac:dyDescent="0.25">
      <c r="A63" s="309" t="s">
        <v>498</v>
      </c>
      <c r="B63" s="309"/>
      <c r="C63" s="309"/>
      <c r="D63" s="309"/>
      <c r="E63" s="309"/>
      <c r="F63" s="309"/>
      <c r="G63" s="309"/>
    </row>
    <row r="64" spans="1:7" x14ac:dyDescent="0.25">
      <c r="A64" s="309" t="s">
        <v>499</v>
      </c>
      <c r="B64" s="309"/>
      <c r="C64" s="309"/>
      <c r="D64" s="309"/>
      <c r="E64" s="309"/>
      <c r="F64" s="309"/>
      <c r="G64" s="309"/>
    </row>
    <row r="66" spans="1:6" x14ac:dyDescent="0.25">
      <c r="A66" s="313" t="s">
        <v>462</v>
      </c>
      <c r="B66" s="309"/>
      <c r="C66" s="309"/>
      <c r="D66" s="309"/>
      <c r="E66" s="309"/>
      <c r="F66" s="309"/>
    </row>
    <row r="67" spans="1:6" x14ac:dyDescent="0.25">
      <c r="A67" s="313" t="s">
        <v>463</v>
      </c>
      <c r="B67" s="309"/>
      <c r="C67" s="309"/>
      <c r="D67" s="309"/>
      <c r="E67" s="309"/>
      <c r="F67" s="309"/>
    </row>
    <row r="68" spans="1:6" x14ac:dyDescent="0.25">
      <c r="A68" s="313" t="s">
        <v>464</v>
      </c>
      <c r="B68" s="309"/>
      <c r="C68" s="309"/>
      <c r="D68" s="309"/>
      <c r="E68" s="309"/>
      <c r="F68" s="309"/>
    </row>
    <row r="69" spans="1:6" x14ac:dyDescent="0.25">
      <c r="A69" s="313" t="s">
        <v>465</v>
      </c>
      <c r="B69" s="309"/>
      <c r="C69" s="309"/>
      <c r="D69" s="309"/>
      <c r="E69" s="309"/>
      <c r="F69" s="309"/>
    </row>
    <row r="70" spans="1:6" x14ac:dyDescent="0.25">
      <c r="A70" s="313" t="s">
        <v>466</v>
      </c>
      <c r="B70" s="309"/>
      <c r="C70" s="309"/>
      <c r="D70" s="309"/>
      <c r="E70" s="309"/>
      <c r="F70" s="309"/>
    </row>
    <row r="71" spans="1:6" x14ac:dyDescent="0.25">
      <c r="A71" s="309"/>
    </row>
    <row r="72" spans="1:6" x14ac:dyDescent="0.25">
      <c r="A72" s="309" t="s">
        <v>383</v>
      </c>
    </row>
    <row r="73" spans="1:6" x14ac:dyDescent="0.25">
      <c r="A73" s="309"/>
    </row>
    <row r="74" spans="1:6" x14ac:dyDescent="0.25">
      <c r="A74" s="309"/>
    </row>
    <row r="75" spans="1:6" x14ac:dyDescent="0.25">
      <c r="A75" s="309"/>
    </row>
    <row r="78" spans="1:6" x14ac:dyDescent="0.25">
      <c r="A78" s="310"/>
    </row>
    <row r="80" spans="1:6"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3:H52"/>
  <sheetViews>
    <sheetView workbookViewId="0">
      <selection activeCell="Q92" sqref="Q92"/>
    </sheetView>
  </sheetViews>
  <sheetFormatPr defaultRowHeight="15.75" x14ac:dyDescent="0.25"/>
  <cols>
    <col min="1" max="1" width="64.19921875" customWidth="1"/>
  </cols>
  <sheetData>
    <row r="3" spans="1:7" x14ac:dyDescent="0.25">
      <c r="A3" s="308" t="s">
        <v>500</v>
      </c>
      <c r="B3" s="308"/>
      <c r="C3" s="308"/>
      <c r="D3" s="308"/>
      <c r="E3" s="308"/>
      <c r="F3" s="308"/>
      <c r="G3" s="308"/>
    </row>
    <row r="4" spans="1:7" x14ac:dyDescent="0.25">
      <c r="A4" s="308" t="s">
        <v>501</v>
      </c>
      <c r="B4" s="308"/>
      <c r="C4" s="308"/>
      <c r="D4" s="308"/>
      <c r="E4" s="308"/>
      <c r="F4" s="308"/>
      <c r="G4" s="308"/>
    </row>
    <row r="5" spans="1:7" x14ac:dyDescent="0.25">
      <c r="A5" s="308"/>
      <c r="B5" s="308"/>
      <c r="C5" s="308"/>
      <c r="D5" s="308"/>
      <c r="E5" s="308"/>
      <c r="F5" s="308"/>
      <c r="G5" s="308"/>
    </row>
    <row r="6" spans="1:7" x14ac:dyDescent="0.25">
      <c r="A6" s="308"/>
      <c r="B6" s="308"/>
      <c r="C6" s="308"/>
      <c r="D6" s="308"/>
      <c r="E6" s="308"/>
      <c r="F6" s="308"/>
      <c r="G6" s="308"/>
    </row>
    <row r="7" spans="1:7" x14ac:dyDescent="0.25">
      <c r="A7" s="309" t="s">
        <v>328</v>
      </c>
    </row>
    <row r="8" spans="1:7" x14ac:dyDescent="0.25">
      <c r="A8" s="309" t="str">
        <f>CONCATENATE("estimated ",inputPrYr!D10," 'total expenditures' exceed your ",inputPrYr!D10,"")</f>
        <v>estimated 2020 'total expenditures' exceed your 2020</v>
      </c>
    </row>
    <row r="9" spans="1:7" x14ac:dyDescent="0.25">
      <c r="A9" s="312" t="s">
        <v>502</v>
      </c>
    </row>
    <row r="10" spans="1:7" x14ac:dyDescent="0.25">
      <c r="A10" s="309"/>
    </row>
    <row r="11" spans="1:7" x14ac:dyDescent="0.25">
      <c r="A11" s="309" t="s">
        <v>503</v>
      </c>
    </row>
    <row r="12" spans="1:7" x14ac:dyDescent="0.25">
      <c r="A12" s="309" t="s">
        <v>504</v>
      </c>
    </row>
    <row r="13" spans="1:7" x14ac:dyDescent="0.25">
      <c r="A13" s="309" t="s">
        <v>505</v>
      </c>
    </row>
    <row r="14" spans="1:7" x14ac:dyDescent="0.25">
      <c r="A14" s="309"/>
    </row>
    <row r="15" spans="1:7" x14ac:dyDescent="0.25">
      <c r="A15" s="310" t="s">
        <v>506</v>
      </c>
    </row>
    <row r="16" spans="1:7" x14ac:dyDescent="0.25">
      <c r="A16" s="308"/>
      <c r="B16" s="308"/>
      <c r="C16" s="308"/>
      <c r="D16" s="308"/>
      <c r="E16" s="308"/>
      <c r="F16" s="308"/>
      <c r="G16" s="308"/>
    </row>
    <row r="17" spans="1:8" x14ac:dyDescent="0.25">
      <c r="A17" s="315" t="s">
        <v>507</v>
      </c>
      <c r="B17" s="307"/>
      <c r="C17" s="307"/>
      <c r="D17" s="307"/>
      <c r="E17" s="307"/>
      <c r="F17" s="307"/>
      <c r="G17" s="307"/>
      <c r="H17" s="307"/>
    </row>
    <row r="18" spans="1:8" x14ac:dyDescent="0.25">
      <c r="A18" s="309" t="s">
        <v>508</v>
      </c>
      <c r="B18" s="316"/>
      <c r="C18" s="316"/>
      <c r="D18" s="316"/>
      <c r="E18" s="316"/>
      <c r="F18" s="316"/>
      <c r="G18" s="316"/>
    </row>
    <row r="19" spans="1:8" x14ac:dyDescent="0.25">
      <c r="A19" s="309" t="s">
        <v>509</v>
      </c>
    </row>
    <row r="20" spans="1:8" x14ac:dyDescent="0.25">
      <c r="A20" s="309" t="s">
        <v>510</v>
      </c>
    </row>
    <row r="22" spans="1:8" x14ac:dyDescent="0.25">
      <c r="A22" s="310" t="s">
        <v>511</v>
      </c>
    </row>
    <row r="24" spans="1:8" x14ac:dyDescent="0.25">
      <c r="A24" s="309" t="s">
        <v>512</v>
      </c>
    </row>
    <row r="25" spans="1:8" x14ac:dyDescent="0.25">
      <c r="A25" s="309" t="s">
        <v>513</v>
      </c>
    </row>
    <row r="26" spans="1:8" x14ac:dyDescent="0.25">
      <c r="A26" s="309" t="s">
        <v>514</v>
      </c>
    </row>
    <row r="28" spans="1:8" x14ac:dyDescent="0.25">
      <c r="A28" s="310" t="s">
        <v>515</v>
      </c>
    </row>
    <row r="30" spans="1:8" x14ac:dyDescent="0.25">
      <c r="A30" t="s">
        <v>516</v>
      </c>
    </row>
    <row r="31" spans="1:8" x14ac:dyDescent="0.25">
      <c r="A31" t="s">
        <v>517</v>
      </c>
    </row>
    <row r="32" spans="1:8" x14ac:dyDescent="0.25">
      <c r="A32" t="s">
        <v>518</v>
      </c>
    </row>
    <row r="33" spans="1:1" x14ac:dyDescent="0.25">
      <c r="A33" s="309" t="s">
        <v>519</v>
      </c>
    </row>
    <row r="35" spans="1:1" x14ac:dyDescent="0.25">
      <c r="A35" t="s">
        <v>520</v>
      </c>
    </row>
    <row r="36" spans="1:1" x14ac:dyDescent="0.25">
      <c r="A36" t="s">
        <v>521</v>
      </c>
    </row>
    <row r="37" spans="1:1" x14ac:dyDescent="0.25">
      <c r="A37" t="s">
        <v>522</v>
      </c>
    </row>
    <row r="38" spans="1:1" x14ac:dyDescent="0.25">
      <c r="A38" t="s">
        <v>523</v>
      </c>
    </row>
    <row r="40" spans="1:1" x14ac:dyDescent="0.25">
      <c r="A40" t="s">
        <v>524</v>
      </c>
    </row>
    <row r="41" spans="1:1" x14ac:dyDescent="0.25">
      <c r="A41" t="s">
        <v>525</v>
      </c>
    </row>
    <row r="42" spans="1:1" x14ac:dyDescent="0.25">
      <c r="A42" t="s">
        <v>526</v>
      </c>
    </row>
    <row r="43" spans="1:1" x14ac:dyDescent="0.25">
      <c r="A43" t="s">
        <v>527</v>
      </c>
    </row>
    <row r="44" spans="1:1" x14ac:dyDescent="0.25">
      <c r="A44" t="s">
        <v>528</v>
      </c>
    </row>
    <row r="45" spans="1:1" x14ac:dyDescent="0.25">
      <c r="A45" t="s">
        <v>529</v>
      </c>
    </row>
    <row r="47" spans="1:1" x14ac:dyDescent="0.25">
      <c r="A47" t="s">
        <v>530</v>
      </c>
    </row>
    <row r="48" spans="1:1" x14ac:dyDescent="0.25">
      <c r="A48" t="s">
        <v>531</v>
      </c>
    </row>
    <row r="49" spans="1:1" x14ac:dyDescent="0.25">
      <c r="A49" s="309" t="s">
        <v>532</v>
      </c>
    </row>
    <row r="50" spans="1:1" x14ac:dyDescent="0.25">
      <c r="A50" s="309" t="s">
        <v>533</v>
      </c>
    </row>
    <row r="52" spans="1:1" x14ac:dyDescent="0.25">
      <c r="A52" t="s">
        <v>383</v>
      </c>
    </row>
  </sheetData>
  <sheetProtection sheet="1"/>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354"/>
  <sheetViews>
    <sheetView workbookViewId="0">
      <selection activeCell="Q92" sqref="Q92"/>
    </sheetView>
  </sheetViews>
  <sheetFormatPr defaultColWidth="8.796875" defaultRowHeight="14.25" x14ac:dyDescent="0.2"/>
  <cols>
    <col min="1" max="1" width="6.796875" style="415" customWidth="1"/>
    <col min="2" max="2" width="10.09765625" style="330" customWidth="1"/>
    <col min="3" max="3" width="6.69921875" style="330" customWidth="1"/>
    <col min="4" max="4" width="8.796875" style="330"/>
    <col min="5" max="5" width="1.3984375" style="330" customWidth="1"/>
    <col min="6" max="6" width="12.8984375" style="330" customWidth="1"/>
    <col min="7" max="7" width="2.296875" style="330" customWidth="1"/>
    <col min="8" max="8" width="8.796875" style="330" customWidth="1"/>
    <col min="9" max="9" width="1.796875" style="330" customWidth="1"/>
    <col min="10" max="10" width="7.69921875" style="330" customWidth="1"/>
    <col min="11" max="11" width="10.5" style="330" customWidth="1"/>
    <col min="12" max="12" width="6.796875" style="415" customWidth="1"/>
    <col min="13" max="14" width="8.796875" style="415"/>
    <col min="15" max="15" width="8.8984375" style="415" bestFit="1" customWidth="1"/>
    <col min="16" max="16384" width="8.796875" style="415"/>
  </cols>
  <sheetData>
    <row r="1" spans="1:12" x14ac:dyDescent="0.2">
      <c r="A1" s="329"/>
      <c r="B1" s="329"/>
      <c r="C1" s="329"/>
      <c r="D1" s="329"/>
      <c r="E1" s="329"/>
      <c r="F1" s="329"/>
      <c r="G1" s="329"/>
      <c r="H1" s="329"/>
      <c r="I1" s="329"/>
      <c r="J1" s="329"/>
      <c r="K1" s="329"/>
      <c r="L1" s="329"/>
    </row>
    <row r="2" spans="1:12" x14ac:dyDescent="0.2">
      <c r="A2" s="329"/>
      <c r="B2" s="329"/>
      <c r="C2" s="329"/>
      <c r="D2" s="329"/>
      <c r="E2" s="329"/>
      <c r="F2" s="329"/>
      <c r="G2" s="329"/>
      <c r="H2" s="329"/>
      <c r="I2" s="329"/>
      <c r="J2" s="329"/>
      <c r="K2" s="329"/>
      <c r="L2" s="329"/>
    </row>
    <row r="3" spans="1:12" x14ac:dyDescent="0.2">
      <c r="A3" s="329"/>
      <c r="B3" s="329"/>
      <c r="C3" s="329"/>
      <c r="D3" s="329"/>
      <c r="E3" s="329"/>
      <c r="F3" s="329"/>
      <c r="G3" s="329"/>
      <c r="H3" s="329"/>
      <c r="I3" s="329"/>
      <c r="J3" s="329"/>
      <c r="K3" s="329"/>
      <c r="L3" s="329"/>
    </row>
    <row r="4" spans="1:12" x14ac:dyDescent="0.2">
      <c r="A4" s="329"/>
      <c r="L4" s="329"/>
    </row>
    <row r="5" spans="1:12" ht="15" customHeight="1" x14ac:dyDescent="0.2">
      <c r="A5" s="329"/>
      <c r="L5" s="329"/>
    </row>
    <row r="6" spans="1:12" ht="33" customHeight="1" x14ac:dyDescent="0.2">
      <c r="A6" s="329"/>
      <c r="B6" s="990" t="s">
        <v>816</v>
      </c>
      <c r="C6" s="984"/>
      <c r="D6" s="984"/>
      <c r="E6" s="984"/>
      <c r="F6" s="984"/>
      <c r="G6" s="984"/>
      <c r="H6" s="984"/>
      <c r="I6" s="984"/>
      <c r="J6" s="984"/>
      <c r="K6" s="984"/>
      <c r="L6" s="331"/>
    </row>
    <row r="7" spans="1:12" ht="40.5" customHeight="1" x14ac:dyDescent="0.2">
      <c r="A7" s="329"/>
      <c r="B7" s="991" t="s">
        <v>565</v>
      </c>
      <c r="C7" s="992"/>
      <c r="D7" s="992"/>
      <c r="E7" s="992"/>
      <c r="F7" s="992"/>
      <c r="G7" s="992"/>
      <c r="H7" s="992"/>
      <c r="I7" s="992"/>
      <c r="J7" s="992"/>
      <c r="K7" s="992"/>
      <c r="L7" s="329"/>
    </row>
    <row r="8" spans="1:12" x14ac:dyDescent="0.2">
      <c r="A8" s="329"/>
      <c r="B8" s="987" t="s">
        <v>566</v>
      </c>
      <c r="C8" s="987"/>
      <c r="D8" s="987"/>
      <c r="E8" s="987"/>
      <c r="F8" s="987"/>
      <c r="G8" s="987"/>
      <c r="H8" s="987"/>
      <c r="I8" s="987"/>
      <c r="J8" s="987"/>
      <c r="K8" s="987"/>
      <c r="L8" s="329"/>
    </row>
    <row r="9" spans="1:12" x14ac:dyDescent="0.2">
      <c r="A9" s="329"/>
      <c r="L9" s="329"/>
    </row>
    <row r="10" spans="1:12" x14ac:dyDescent="0.2">
      <c r="A10" s="329"/>
      <c r="B10" s="987" t="s">
        <v>567</v>
      </c>
      <c r="C10" s="987"/>
      <c r="D10" s="987"/>
      <c r="E10" s="987"/>
      <c r="F10" s="987"/>
      <c r="G10" s="987"/>
      <c r="H10" s="987"/>
      <c r="I10" s="987"/>
      <c r="J10" s="987"/>
      <c r="K10" s="987"/>
      <c r="L10" s="329"/>
    </row>
    <row r="11" spans="1:12" x14ac:dyDescent="0.2">
      <c r="A11" s="329"/>
      <c r="B11" s="332"/>
      <c r="C11" s="332"/>
      <c r="D11" s="332"/>
      <c r="E11" s="332"/>
      <c r="F11" s="332"/>
      <c r="G11" s="332"/>
      <c r="H11" s="332"/>
      <c r="I11" s="332"/>
      <c r="J11" s="332"/>
      <c r="K11" s="332"/>
      <c r="L11" s="329"/>
    </row>
    <row r="12" spans="1:12" ht="32.25" customHeight="1" x14ac:dyDescent="0.2">
      <c r="A12" s="329"/>
      <c r="B12" s="979" t="s">
        <v>568</v>
      </c>
      <c r="C12" s="979"/>
      <c r="D12" s="979"/>
      <c r="E12" s="979"/>
      <c r="F12" s="979"/>
      <c r="G12" s="979"/>
      <c r="H12" s="979"/>
      <c r="I12" s="979"/>
      <c r="J12" s="979"/>
      <c r="K12" s="979"/>
      <c r="L12" s="329"/>
    </row>
    <row r="13" spans="1:12" x14ac:dyDescent="0.2">
      <c r="A13" s="329"/>
      <c r="L13" s="329"/>
    </row>
    <row r="14" spans="1:12" x14ac:dyDescent="0.2">
      <c r="A14" s="329"/>
      <c r="B14" s="333" t="s">
        <v>569</v>
      </c>
      <c r="L14" s="329"/>
    </row>
    <row r="15" spans="1:12" x14ac:dyDescent="0.2">
      <c r="A15" s="329"/>
      <c r="L15" s="329"/>
    </row>
    <row r="16" spans="1:12" x14ac:dyDescent="0.2">
      <c r="A16" s="329"/>
      <c r="B16" s="330" t="s">
        <v>570</v>
      </c>
      <c r="L16" s="329"/>
    </row>
    <row r="17" spans="1:12" x14ac:dyDescent="0.2">
      <c r="A17" s="329"/>
      <c r="B17" s="330" t="s">
        <v>571</v>
      </c>
      <c r="L17" s="329"/>
    </row>
    <row r="18" spans="1:12" x14ac:dyDescent="0.2">
      <c r="A18" s="329"/>
      <c r="L18" s="329"/>
    </row>
    <row r="19" spans="1:12" x14ac:dyDescent="0.2">
      <c r="A19" s="329"/>
      <c r="B19" s="333" t="s">
        <v>572</v>
      </c>
      <c r="L19" s="329"/>
    </row>
    <row r="20" spans="1:12" x14ac:dyDescent="0.2">
      <c r="A20" s="329"/>
      <c r="B20" s="333"/>
      <c r="L20" s="329"/>
    </row>
    <row r="21" spans="1:12" x14ac:dyDescent="0.2">
      <c r="A21" s="329"/>
      <c r="B21" s="330" t="s">
        <v>573</v>
      </c>
      <c r="L21" s="329"/>
    </row>
    <row r="22" spans="1:12" x14ac:dyDescent="0.2">
      <c r="A22" s="329"/>
      <c r="L22" s="329"/>
    </row>
    <row r="23" spans="1:12" x14ac:dyDescent="0.2">
      <c r="A23" s="329"/>
      <c r="B23" s="330" t="s">
        <v>574</v>
      </c>
      <c r="E23" s="330" t="s">
        <v>575</v>
      </c>
      <c r="F23" s="975">
        <v>3120000</v>
      </c>
      <c r="G23" s="975"/>
      <c r="L23" s="329"/>
    </row>
    <row r="24" spans="1:12" x14ac:dyDescent="0.2">
      <c r="A24" s="329"/>
      <c r="L24" s="329"/>
    </row>
    <row r="25" spans="1:12" x14ac:dyDescent="0.2">
      <c r="A25" s="329"/>
      <c r="C25" s="993">
        <f>F23</f>
        <v>3120000</v>
      </c>
      <c r="D25" s="993"/>
      <c r="E25" s="330" t="s">
        <v>576</v>
      </c>
      <c r="F25" s="334">
        <v>1000</v>
      </c>
      <c r="G25" s="334" t="s">
        <v>575</v>
      </c>
      <c r="H25" s="706">
        <f>F23/F25</f>
        <v>3120</v>
      </c>
      <c r="L25" s="329"/>
    </row>
    <row r="26" spans="1:12" ht="15" thickBot="1" x14ac:dyDescent="0.25">
      <c r="A26" s="329"/>
      <c r="L26" s="329"/>
    </row>
    <row r="27" spans="1:12" x14ac:dyDescent="0.2">
      <c r="A27" s="329"/>
      <c r="B27" s="335" t="s">
        <v>569</v>
      </c>
      <c r="C27" s="336"/>
      <c r="D27" s="336"/>
      <c r="E27" s="336"/>
      <c r="F27" s="336"/>
      <c r="G27" s="336"/>
      <c r="H27" s="336"/>
      <c r="I27" s="336"/>
      <c r="J27" s="336"/>
      <c r="K27" s="337"/>
      <c r="L27" s="329"/>
    </row>
    <row r="28" spans="1:12" x14ac:dyDescent="0.2">
      <c r="A28" s="329"/>
      <c r="B28" s="338">
        <f>F23</f>
        <v>3120000</v>
      </c>
      <c r="C28" s="339" t="s">
        <v>577</v>
      </c>
      <c r="D28" s="339"/>
      <c r="E28" s="339" t="s">
        <v>576</v>
      </c>
      <c r="F28" s="340">
        <v>1000</v>
      </c>
      <c r="G28" s="340" t="s">
        <v>575</v>
      </c>
      <c r="H28" s="723">
        <f>B28/F28</f>
        <v>3120</v>
      </c>
      <c r="I28" s="339" t="s">
        <v>578</v>
      </c>
      <c r="J28" s="339"/>
      <c r="K28" s="341"/>
      <c r="L28" s="329"/>
    </row>
    <row r="29" spans="1:12" ht="15" thickBot="1" x14ac:dyDescent="0.25">
      <c r="A29" s="329"/>
      <c r="B29" s="342"/>
      <c r="C29" s="343"/>
      <c r="D29" s="343"/>
      <c r="E29" s="343"/>
      <c r="F29" s="343"/>
      <c r="G29" s="343"/>
      <c r="H29" s="343"/>
      <c r="I29" s="343"/>
      <c r="J29" s="343"/>
      <c r="K29" s="344"/>
      <c r="L29" s="329"/>
    </row>
    <row r="30" spans="1:12" ht="40.5" customHeight="1" x14ac:dyDescent="0.2">
      <c r="A30" s="329"/>
      <c r="B30" s="977" t="s">
        <v>565</v>
      </c>
      <c r="C30" s="977"/>
      <c r="D30" s="977"/>
      <c r="E30" s="977"/>
      <c r="F30" s="977"/>
      <c r="G30" s="977"/>
      <c r="H30" s="977"/>
      <c r="I30" s="977"/>
      <c r="J30" s="977"/>
      <c r="K30" s="977"/>
      <c r="L30" s="329"/>
    </row>
    <row r="31" spans="1:12" x14ac:dyDescent="0.2">
      <c r="A31" s="329"/>
      <c r="B31" s="987" t="s">
        <v>579</v>
      </c>
      <c r="C31" s="987"/>
      <c r="D31" s="987"/>
      <c r="E31" s="987"/>
      <c r="F31" s="987"/>
      <c r="G31" s="987"/>
      <c r="H31" s="987"/>
      <c r="I31" s="987"/>
      <c r="J31" s="987"/>
      <c r="K31" s="987"/>
      <c r="L31" s="329"/>
    </row>
    <row r="32" spans="1:12" x14ac:dyDescent="0.2">
      <c r="A32" s="329"/>
      <c r="L32" s="329"/>
    </row>
    <row r="33" spans="1:12" x14ac:dyDescent="0.2">
      <c r="A33" s="329"/>
      <c r="B33" s="987" t="s">
        <v>580</v>
      </c>
      <c r="C33" s="987"/>
      <c r="D33" s="987"/>
      <c r="E33" s="987"/>
      <c r="F33" s="987"/>
      <c r="G33" s="987"/>
      <c r="H33" s="987"/>
      <c r="I33" s="987"/>
      <c r="J33" s="987"/>
      <c r="K33" s="987"/>
      <c r="L33" s="329"/>
    </row>
    <row r="34" spans="1:12" x14ac:dyDescent="0.2">
      <c r="A34" s="329"/>
      <c r="L34" s="329"/>
    </row>
    <row r="35" spans="1:12" ht="89.25" customHeight="1" x14ac:dyDescent="0.2">
      <c r="A35" s="329"/>
      <c r="B35" s="979" t="s">
        <v>581</v>
      </c>
      <c r="C35" s="974"/>
      <c r="D35" s="974"/>
      <c r="E35" s="974"/>
      <c r="F35" s="974"/>
      <c r="G35" s="974"/>
      <c r="H35" s="974"/>
      <c r="I35" s="974"/>
      <c r="J35" s="974"/>
      <c r="K35" s="974"/>
      <c r="L35" s="329"/>
    </row>
    <row r="36" spans="1:12" x14ac:dyDescent="0.2">
      <c r="A36" s="329"/>
      <c r="L36" s="329"/>
    </row>
    <row r="37" spans="1:12" x14ac:dyDescent="0.2">
      <c r="A37" s="329"/>
      <c r="B37" s="333" t="s">
        <v>582</v>
      </c>
      <c r="L37" s="329"/>
    </row>
    <row r="38" spans="1:12" x14ac:dyDescent="0.2">
      <c r="A38" s="329"/>
      <c r="L38" s="329"/>
    </row>
    <row r="39" spans="1:12" x14ac:dyDescent="0.2">
      <c r="A39" s="329"/>
      <c r="B39" s="330" t="s">
        <v>583</v>
      </c>
      <c r="L39" s="329"/>
    </row>
    <row r="40" spans="1:12" x14ac:dyDescent="0.2">
      <c r="A40" s="329"/>
      <c r="L40" s="329"/>
    </row>
    <row r="41" spans="1:12" x14ac:dyDescent="0.2">
      <c r="A41" s="329"/>
      <c r="C41" s="994">
        <v>3120000</v>
      </c>
      <c r="D41" s="994"/>
      <c r="E41" s="330" t="s">
        <v>576</v>
      </c>
      <c r="F41" s="334">
        <v>1000</v>
      </c>
      <c r="G41" s="334" t="s">
        <v>575</v>
      </c>
      <c r="H41" s="705">
        <f>C41/F41</f>
        <v>3120</v>
      </c>
      <c r="L41" s="329"/>
    </row>
    <row r="42" spans="1:12" x14ac:dyDescent="0.2">
      <c r="A42" s="329"/>
      <c r="L42" s="329"/>
    </row>
    <row r="43" spans="1:12" x14ac:dyDescent="0.2">
      <c r="A43" s="329"/>
      <c r="B43" s="330" t="s">
        <v>584</v>
      </c>
      <c r="L43" s="329"/>
    </row>
    <row r="44" spans="1:12" x14ac:dyDescent="0.2">
      <c r="A44" s="329"/>
      <c r="L44" s="329"/>
    </row>
    <row r="45" spans="1:12" x14ac:dyDescent="0.2">
      <c r="A45" s="329"/>
      <c r="B45" s="330" t="s">
        <v>585</v>
      </c>
      <c r="L45" s="329"/>
    </row>
    <row r="46" spans="1:12" ht="15" thickBot="1" x14ac:dyDescent="0.25">
      <c r="A46" s="329"/>
      <c r="L46" s="329"/>
    </row>
    <row r="47" spans="1:12" x14ac:dyDescent="0.2">
      <c r="A47" s="329"/>
      <c r="B47" s="345" t="s">
        <v>569</v>
      </c>
      <c r="C47" s="336"/>
      <c r="D47" s="336"/>
      <c r="E47" s="336"/>
      <c r="F47" s="336"/>
      <c r="G47" s="336"/>
      <c r="H47" s="336"/>
      <c r="I47" s="336"/>
      <c r="J47" s="336"/>
      <c r="K47" s="337"/>
      <c r="L47" s="329"/>
    </row>
    <row r="48" spans="1:12" x14ac:dyDescent="0.2">
      <c r="A48" s="329"/>
      <c r="B48" s="975">
        <v>3120000</v>
      </c>
      <c r="C48" s="975"/>
      <c r="D48" s="339" t="s">
        <v>586</v>
      </c>
      <c r="E48" s="339" t="s">
        <v>576</v>
      </c>
      <c r="F48" s="340">
        <v>1000</v>
      </c>
      <c r="G48" s="340" t="s">
        <v>575</v>
      </c>
      <c r="H48" s="723">
        <f>B48/F48</f>
        <v>3120</v>
      </c>
      <c r="I48" s="339" t="s">
        <v>587</v>
      </c>
      <c r="J48" s="339"/>
      <c r="K48" s="341"/>
      <c r="L48" s="329"/>
    </row>
    <row r="49" spans="1:24" x14ac:dyDescent="0.2">
      <c r="A49" s="329"/>
      <c r="B49" s="346"/>
      <c r="C49" s="339"/>
      <c r="D49" s="339"/>
      <c r="E49" s="339"/>
      <c r="F49" s="339"/>
      <c r="G49" s="339"/>
      <c r="H49" s="339"/>
      <c r="I49" s="339"/>
      <c r="J49" s="339"/>
      <c r="K49" s="341"/>
      <c r="L49" s="329"/>
    </row>
    <row r="50" spans="1:24" x14ac:dyDescent="0.2">
      <c r="A50" s="329"/>
      <c r="B50" s="347">
        <v>5000</v>
      </c>
      <c r="C50" s="339" t="s">
        <v>588</v>
      </c>
      <c r="D50" s="339"/>
      <c r="E50" s="339" t="s">
        <v>576</v>
      </c>
      <c r="F50" s="723">
        <f>H48</f>
        <v>3120</v>
      </c>
      <c r="G50" s="988" t="s">
        <v>589</v>
      </c>
      <c r="H50" s="989"/>
      <c r="I50" s="340" t="s">
        <v>575</v>
      </c>
      <c r="J50" s="348">
        <f>B50/F50</f>
        <v>1.6025641025641026</v>
      </c>
      <c r="K50" s="341"/>
      <c r="L50" s="329"/>
    </row>
    <row r="51" spans="1:24" ht="15" thickBot="1" x14ac:dyDescent="0.25">
      <c r="A51" s="329"/>
      <c r="B51" s="342"/>
      <c r="C51" s="343"/>
      <c r="D51" s="343"/>
      <c r="E51" s="343"/>
      <c r="F51" s="343"/>
      <c r="G51" s="343"/>
      <c r="H51" s="343"/>
      <c r="I51" s="985" t="s">
        <v>590</v>
      </c>
      <c r="J51" s="985"/>
      <c r="K51" s="986"/>
      <c r="L51" s="329"/>
      <c r="O51" s="349"/>
    </row>
    <row r="52" spans="1:24" ht="40.5" customHeight="1" x14ac:dyDescent="0.2">
      <c r="A52" s="329"/>
      <c r="B52" s="977" t="s">
        <v>565</v>
      </c>
      <c r="C52" s="977"/>
      <c r="D52" s="977"/>
      <c r="E52" s="977"/>
      <c r="F52" s="977"/>
      <c r="G52" s="977"/>
      <c r="H52" s="977"/>
      <c r="I52" s="977"/>
      <c r="J52" s="977"/>
      <c r="K52" s="977"/>
      <c r="L52" s="329"/>
    </row>
    <row r="53" spans="1:24" x14ac:dyDescent="0.2">
      <c r="A53" s="329"/>
      <c r="B53" s="987" t="s">
        <v>591</v>
      </c>
      <c r="C53" s="987"/>
      <c r="D53" s="987"/>
      <c r="E53" s="987"/>
      <c r="F53" s="987"/>
      <c r="G53" s="987"/>
      <c r="H53" s="987"/>
      <c r="I53" s="987"/>
      <c r="J53" s="987"/>
      <c r="K53" s="987"/>
      <c r="L53" s="329"/>
    </row>
    <row r="54" spans="1:24" x14ac:dyDescent="0.2">
      <c r="A54" s="329"/>
      <c r="B54" s="332"/>
      <c r="C54" s="332"/>
      <c r="D54" s="332"/>
      <c r="E54" s="332"/>
      <c r="F54" s="332"/>
      <c r="G54" s="332"/>
      <c r="H54" s="332"/>
      <c r="I54" s="332"/>
      <c r="J54" s="332"/>
      <c r="K54" s="332"/>
      <c r="L54" s="329"/>
    </row>
    <row r="55" spans="1:24" x14ac:dyDescent="0.2">
      <c r="A55" s="329"/>
      <c r="B55" s="978" t="s">
        <v>592</v>
      </c>
      <c r="C55" s="978"/>
      <c r="D55" s="978"/>
      <c r="E55" s="978"/>
      <c r="F55" s="978"/>
      <c r="G55" s="978"/>
      <c r="H55" s="978"/>
      <c r="I55" s="978"/>
      <c r="J55" s="978"/>
      <c r="K55" s="978"/>
      <c r="L55" s="329"/>
    </row>
    <row r="56" spans="1:24" ht="15" customHeight="1" x14ac:dyDescent="0.2">
      <c r="A56" s="329"/>
      <c r="L56" s="329"/>
    </row>
    <row r="57" spans="1:24" ht="74.25" customHeight="1" x14ac:dyDescent="0.2">
      <c r="A57" s="329"/>
      <c r="B57" s="979" t="s">
        <v>593</v>
      </c>
      <c r="C57" s="974"/>
      <c r="D57" s="974"/>
      <c r="E57" s="974"/>
      <c r="F57" s="974"/>
      <c r="G57" s="974"/>
      <c r="H57" s="974"/>
      <c r="I57" s="974"/>
      <c r="J57" s="974"/>
      <c r="K57" s="974"/>
      <c r="L57" s="329"/>
      <c r="M57" s="350"/>
      <c r="N57" s="351"/>
      <c r="O57" s="351"/>
      <c r="P57" s="351"/>
      <c r="Q57" s="351"/>
      <c r="R57" s="351"/>
      <c r="S57" s="351"/>
      <c r="T57" s="351"/>
      <c r="U57" s="351"/>
      <c r="V57" s="351"/>
      <c r="W57" s="351"/>
      <c r="X57" s="351"/>
    </row>
    <row r="58" spans="1:24" ht="15" customHeight="1" x14ac:dyDescent="0.2">
      <c r="A58" s="329"/>
      <c r="B58" s="979"/>
      <c r="C58" s="974"/>
      <c r="D58" s="974"/>
      <c r="E58" s="974"/>
      <c r="F58" s="974"/>
      <c r="G58" s="974"/>
      <c r="H58" s="974"/>
      <c r="I58" s="974"/>
      <c r="J58" s="974"/>
      <c r="K58" s="974"/>
      <c r="L58" s="329"/>
      <c r="M58" s="350"/>
      <c r="N58" s="351"/>
      <c r="O58" s="351"/>
      <c r="P58" s="351"/>
      <c r="Q58" s="351"/>
      <c r="R58" s="351"/>
      <c r="S58" s="351"/>
      <c r="T58" s="351"/>
      <c r="U58" s="351"/>
      <c r="V58" s="351"/>
      <c r="W58" s="351"/>
      <c r="X58" s="351"/>
    </row>
    <row r="59" spans="1:24" x14ac:dyDescent="0.2">
      <c r="A59" s="329"/>
      <c r="B59" s="333" t="s">
        <v>582</v>
      </c>
      <c r="L59" s="329"/>
      <c r="M59" s="351"/>
      <c r="N59" s="351"/>
      <c r="O59" s="351"/>
      <c r="P59" s="351"/>
      <c r="Q59" s="351"/>
      <c r="R59" s="351"/>
      <c r="S59" s="351"/>
      <c r="T59" s="351"/>
      <c r="U59" s="351"/>
      <c r="V59" s="351"/>
      <c r="W59" s="351"/>
      <c r="X59" s="351"/>
    </row>
    <row r="60" spans="1:24" x14ac:dyDescent="0.2">
      <c r="A60" s="329"/>
      <c r="L60" s="329"/>
      <c r="M60" s="351"/>
      <c r="N60" s="351"/>
      <c r="O60" s="351"/>
      <c r="P60" s="351"/>
      <c r="Q60" s="351"/>
      <c r="R60" s="351"/>
      <c r="S60" s="351"/>
      <c r="T60" s="351"/>
      <c r="U60" s="351"/>
      <c r="V60" s="351"/>
      <c r="W60" s="351"/>
      <c r="X60" s="351"/>
    </row>
    <row r="61" spans="1:24" x14ac:dyDescent="0.2">
      <c r="A61" s="329"/>
      <c r="B61" s="330" t="s">
        <v>594</v>
      </c>
      <c r="L61" s="329"/>
      <c r="M61" s="351"/>
      <c r="N61" s="351"/>
      <c r="O61" s="351"/>
      <c r="P61" s="351"/>
      <c r="Q61" s="351"/>
      <c r="R61" s="351"/>
      <c r="S61" s="351"/>
      <c r="T61" s="351"/>
      <c r="U61" s="351"/>
      <c r="V61" s="351"/>
      <c r="W61" s="351"/>
      <c r="X61" s="351"/>
    </row>
    <row r="62" spans="1:24" x14ac:dyDescent="0.2">
      <c r="A62" s="329"/>
      <c r="B62" s="330" t="s">
        <v>595</v>
      </c>
      <c r="L62" s="329"/>
      <c r="M62" s="351"/>
      <c r="N62" s="351"/>
      <c r="O62" s="351"/>
      <c r="P62" s="351"/>
      <c r="Q62" s="351"/>
      <c r="R62" s="351"/>
      <c r="S62" s="351"/>
      <c r="T62" s="351"/>
      <c r="U62" s="351"/>
      <c r="V62" s="351"/>
      <c r="W62" s="351"/>
      <c r="X62" s="351"/>
    </row>
    <row r="63" spans="1:24" x14ac:dyDescent="0.2">
      <c r="A63" s="329"/>
      <c r="B63" s="330" t="s">
        <v>596</v>
      </c>
      <c r="L63" s="329"/>
      <c r="M63" s="351"/>
      <c r="N63" s="351"/>
      <c r="O63" s="351"/>
      <c r="P63" s="351"/>
      <c r="Q63" s="351"/>
      <c r="R63" s="351"/>
      <c r="S63" s="351"/>
      <c r="T63" s="351"/>
      <c r="U63" s="351"/>
      <c r="V63" s="351"/>
      <c r="W63" s="351"/>
      <c r="X63" s="351"/>
    </row>
    <row r="64" spans="1:24" x14ac:dyDescent="0.2">
      <c r="A64" s="329"/>
      <c r="L64" s="329"/>
      <c r="M64" s="351"/>
      <c r="N64" s="351"/>
      <c r="O64" s="351"/>
      <c r="P64" s="351"/>
      <c r="Q64" s="351"/>
      <c r="R64" s="351"/>
      <c r="S64" s="351"/>
      <c r="T64" s="351"/>
      <c r="U64" s="351"/>
      <c r="V64" s="351"/>
      <c r="W64" s="351"/>
      <c r="X64" s="351"/>
    </row>
    <row r="65" spans="1:24" x14ac:dyDescent="0.2">
      <c r="A65" s="329"/>
      <c r="B65" s="330" t="s">
        <v>597</v>
      </c>
      <c r="L65" s="329"/>
      <c r="M65" s="351"/>
      <c r="N65" s="351"/>
      <c r="O65" s="351"/>
      <c r="P65" s="351"/>
      <c r="Q65" s="351"/>
      <c r="R65" s="351"/>
      <c r="S65" s="351"/>
      <c r="T65" s="351"/>
      <c r="U65" s="351"/>
      <c r="V65" s="351"/>
      <c r="W65" s="351"/>
      <c r="X65" s="351"/>
    </row>
    <row r="66" spans="1:24" x14ac:dyDescent="0.2">
      <c r="A66" s="329"/>
      <c r="B66" s="330" t="s">
        <v>598</v>
      </c>
      <c r="L66" s="329"/>
      <c r="M66" s="351"/>
      <c r="N66" s="351"/>
      <c r="O66" s="351"/>
      <c r="P66" s="351"/>
      <c r="Q66" s="351"/>
      <c r="R66" s="351"/>
      <c r="S66" s="351"/>
      <c r="T66" s="351"/>
      <c r="U66" s="351"/>
      <c r="V66" s="351"/>
      <c r="W66" s="351"/>
      <c r="X66" s="351"/>
    </row>
    <row r="67" spans="1:24" x14ac:dyDescent="0.2">
      <c r="A67" s="329"/>
      <c r="L67" s="329"/>
      <c r="M67" s="351"/>
      <c r="N67" s="351"/>
      <c r="O67" s="351"/>
      <c r="P67" s="351"/>
      <c r="Q67" s="351"/>
      <c r="R67" s="351"/>
      <c r="S67" s="351"/>
      <c r="T67" s="351"/>
      <c r="U67" s="351"/>
      <c r="V67" s="351"/>
      <c r="W67" s="351"/>
      <c r="X67" s="351"/>
    </row>
    <row r="68" spans="1:24" x14ac:dyDescent="0.2">
      <c r="A68" s="329"/>
      <c r="B68" s="330" t="s">
        <v>599</v>
      </c>
      <c r="L68" s="329"/>
      <c r="M68" s="352"/>
      <c r="N68" s="353"/>
      <c r="O68" s="353"/>
      <c r="P68" s="353"/>
      <c r="Q68" s="353"/>
      <c r="R68" s="353"/>
      <c r="S68" s="353"/>
      <c r="T68" s="353"/>
      <c r="U68" s="353"/>
      <c r="V68" s="353"/>
      <c r="W68" s="353"/>
      <c r="X68" s="351"/>
    </row>
    <row r="69" spans="1:24" x14ac:dyDescent="0.2">
      <c r="A69" s="329"/>
      <c r="B69" s="330" t="s">
        <v>600</v>
      </c>
      <c r="L69" s="329"/>
      <c r="M69" s="351"/>
      <c r="N69" s="351"/>
      <c r="O69" s="351"/>
      <c r="P69" s="351"/>
      <c r="Q69" s="351"/>
      <c r="R69" s="351"/>
      <c r="S69" s="351"/>
      <c r="T69" s="351"/>
      <c r="U69" s="351"/>
      <c r="V69" s="351"/>
      <c r="W69" s="351"/>
      <c r="X69" s="351"/>
    </row>
    <row r="70" spans="1:24" x14ac:dyDescent="0.2">
      <c r="A70" s="329"/>
      <c r="B70" s="330" t="s">
        <v>601</v>
      </c>
      <c r="L70" s="329"/>
      <c r="M70" s="351"/>
      <c r="N70" s="351"/>
      <c r="O70" s="351"/>
      <c r="P70" s="351"/>
      <c r="Q70" s="351"/>
      <c r="R70" s="351"/>
      <c r="S70" s="351"/>
      <c r="T70" s="351"/>
      <c r="U70" s="351"/>
      <c r="V70" s="351"/>
      <c r="W70" s="351"/>
      <c r="X70" s="351"/>
    </row>
    <row r="71" spans="1:24" ht="15" thickBot="1" x14ac:dyDescent="0.25">
      <c r="A71" s="329"/>
      <c r="B71" s="339"/>
      <c r="C71" s="339"/>
      <c r="D71" s="339"/>
      <c r="E71" s="339"/>
      <c r="F71" s="339"/>
      <c r="G71" s="339"/>
      <c r="H71" s="339"/>
      <c r="I71" s="339"/>
      <c r="J71" s="339"/>
      <c r="K71" s="339"/>
      <c r="L71" s="329"/>
    </row>
    <row r="72" spans="1:24" x14ac:dyDescent="0.2">
      <c r="A72" s="329"/>
      <c r="B72" s="335" t="s">
        <v>569</v>
      </c>
      <c r="C72" s="336"/>
      <c r="D72" s="336"/>
      <c r="E72" s="336"/>
      <c r="F72" s="336"/>
      <c r="G72" s="336"/>
      <c r="H72" s="336"/>
      <c r="I72" s="336"/>
      <c r="J72" s="336"/>
      <c r="K72" s="337"/>
      <c r="L72" s="354"/>
    </row>
    <row r="73" spans="1:24" x14ac:dyDescent="0.2">
      <c r="A73" s="329"/>
      <c r="B73" s="346"/>
      <c r="C73" s="339" t="s">
        <v>577</v>
      </c>
      <c r="D73" s="339"/>
      <c r="E73" s="339"/>
      <c r="F73" s="339"/>
      <c r="G73" s="339"/>
      <c r="H73" s="339"/>
      <c r="I73" s="339"/>
      <c r="J73" s="339"/>
      <c r="K73" s="341"/>
      <c r="L73" s="354"/>
    </row>
    <row r="74" spans="1:24" x14ac:dyDescent="0.2">
      <c r="A74" s="329"/>
      <c r="B74" s="346" t="s">
        <v>602</v>
      </c>
      <c r="C74" s="975">
        <v>3120000</v>
      </c>
      <c r="D74" s="975"/>
      <c r="E74" s="340" t="s">
        <v>576</v>
      </c>
      <c r="F74" s="340">
        <v>1000</v>
      </c>
      <c r="G74" s="340" t="s">
        <v>575</v>
      </c>
      <c r="H74" s="360">
        <f>C74/F74</f>
        <v>3120</v>
      </c>
      <c r="I74" s="339" t="s">
        <v>603</v>
      </c>
      <c r="J74" s="339"/>
      <c r="K74" s="341"/>
      <c r="L74" s="354"/>
    </row>
    <row r="75" spans="1:24" x14ac:dyDescent="0.2">
      <c r="A75" s="329"/>
      <c r="B75" s="346"/>
      <c r="C75" s="339"/>
      <c r="D75" s="339"/>
      <c r="E75" s="340"/>
      <c r="F75" s="339"/>
      <c r="G75" s="339"/>
      <c r="H75" s="339"/>
      <c r="I75" s="339"/>
      <c r="J75" s="339"/>
      <c r="K75" s="341"/>
      <c r="L75" s="354"/>
    </row>
    <row r="76" spans="1:24" x14ac:dyDescent="0.2">
      <c r="A76" s="329"/>
      <c r="B76" s="346"/>
      <c r="C76" s="339" t="s">
        <v>604</v>
      </c>
      <c r="D76" s="339"/>
      <c r="E76" s="340"/>
      <c r="F76" s="339" t="s">
        <v>603</v>
      </c>
      <c r="G76" s="339"/>
      <c r="H76" s="339"/>
      <c r="I76" s="339"/>
      <c r="J76" s="339"/>
      <c r="K76" s="341"/>
      <c r="L76" s="354"/>
    </row>
    <row r="77" spans="1:24" x14ac:dyDescent="0.2">
      <c r="A77" s="329"/>
      <c r="B77" s="346" t="s">
        <v>605</v>
      </c>
      <c r="C77" s="975">
        <v>5000</v>
      </c>
      <c r="D77" s="975"/>
      <c r="E77" s="340" t="s">
        <v>576</v>
      </c>
      <c r="F77" s="360">
        <f>H74</f>
        <v>3120</v>
      </c>
      <c r="G77" s="340" t="s">
        <v>575</v>
      </c>
      <c r="H77" s="348">
        <f>C77/F77</f>
        <v>1.6025641025641026</v>
      </c>
      <c r="I77" s="339" t="s">
        <v>606</v>
      </c>
      <c r="J77" s="339"/>
      <c r="K77" s="341"/>
      <c r="L77" s="354"/>
    </row>
    <row r="78" spans="1:24" x14ac:dyDescent="0.2">
      <c r="A78" s="329"/>
      <c r="B78" s="346"/>
      <c r="C78" s="339"/>
      <c r="D78" s="339"/>
      <c r="E78" s="340"/>
      <c r="F78" s="339"/>
      <c r="G78" s="339"/>
      <c r="H78" s="339"/>
      <c r="I78" s="339"/>
      <c r="J78" s="339"/>
      <c r="K78" s="341"/>
      <c r="L78" s="354"/>
    </row>
    <row r="79" spans="1:24" x14ac:dyDescent="0.2">
      <c r="A79" s="329"/>
      <c r="B79" s="356"/>
      <c r="C79" s="357" t="s">
        <v>607</v>
      </c>
      <c r="D79" s="357"/>
      <c r="E79" s="358"/>
      <c r="F79" s="357"/>
      <c r="G79" s="357"/>
      <c r="H79" s="357"/>
      <c r="I79" s="357"/>
      <c r="J79" s="357"/>
      <c r="K79" s="359"/>
      <c r="L79" s="354"/>
    </row>
    <row r="80" spans="1:24" x14ac:dyDescent="0.2">
      <c r="A80" s="329"/>
      <c r="B80" s="346" t="s">
        <v>608</v>
      </c>
      <c r="C80" s="975">
        <v>100000</v>
      </c>
      <c r="D80" s="975"/>
      <c r="E80" s="340" t="s">
        <v>213</v>
      </c>
      <c r="F80" s="340">
        <v>0.115</v>
      </c>
      <c r="G80" s="340" t="s">
        <v>575</v>
      </c>
      <c r="H80" s="355">
        <f>C80*F80</f>
        <v>11500</v>
      </c>
      <c r="I80" s="339" t="s">
        <v>609</v>
      </c>
      <c r="J80" s="339"/>
      <c r="K80" s="341"/>
      <c r="L80" s="354"/>
    </row>
    <row r="81" spans="1:12" x14ac:dyDescent="0.2">
      <c r="A81" s="329"/>
      <c r="B81" s="346"/>
      <c r="C81" s="339"/>
      <c r="D81" s="339"/>
      <c r="E81" s="340"/>
      <c r="F81" s="339"/>
      <c r="G81" s="339"/>
      <c r="H81" s="339"/>
      <c r="I81" s="339"/>
      <c r="J81" s="339"/>
      <c r="K81" s="341"/>
      <c r="L81" s="354"/>
    </row>
    <row r="82" spans="1:12" x14ac:dyDescent="0.2">
      <c r="A82" s="329"/>
      <c r="B82" s="356"/>
      <c r="C82" s="357" t="s">
        <v>610</v>
      </c>
      <c r="D82" s="357"/>
      <c r="E82" s="358"/>
      <c r="F82" s="357" t="s">
        <v>606</v>
      </c>
      <c r="G82" s="357"/>
      <c r="H82" s="357"/>
      <c r="I82" s="357"/>
      <c r="J82" s="357" t="s">
        <v>611</v>
      </c>
      <c r="K82" s="359"/>
      <c r="L82" s="354"/>
    </row>
    <row r="83" spans="1:12" x14ac:dyDescent="0.2">
      <c r="A83" s="329"/>
      <c r="B83" s="346" t="s">
        <v>612</v>
      </c>
      <c r="C83" s="976">
        <f>H80</f>
        <v>11500</v>
      </c>
      <c r="D83" s="976"/>
      <c r="E83" s="340" t="s">
        <v>213</v>
      </c>
      <c r="F83" s="348">
        <f>H77</f>
        <v>1.6025641025641026</v>
      </c>
      <c r="G83" s="340" t="s">
        <v>576</v>
      </c>
      <c r="H83" s="340">
        <v>1000</v>
      </c>
      <c r="I83" s="340" t="s">
        <v>575</v>
      </c>
      <c r="J83" s="360">
        <f>C83*F83/H83</f>
        <v>18.429487179487179</v>
      </c>
      <c r="K83" s="341"/>
      <c r="L83" s="354"/>
    </row>
    <row r="84" spans="1:12" ht="15" thickBot="1" x14ac:dyDescent="0.25">
      <c r="A84" s="329"/>
      <c r="B84" s="342"/>
      <c r="C84" s="361"/>
      <c r="D84" s="361"/>
      <c r="E84" s="362"/>
      <c r="F84" s="363"/>
      <c r="G84" s="362"/>
      <c r="H84" s="362"/>
      <c r="I84" s="362"/>
      <c r="J84" s="364"/>
      <c r="K84" s="344"/>
      <c r="L84" s="354"/>
    </row>
    <row r="85" spans="1:12" ht="40.5" customHeight="1" x14ac:dyDescent="0.2">
      <c r="A85" s="329"/>
      <c r="B85" s="977" t="s">
        <v>565</v>
      </c>
      <c r="C85" s="977"/>
      <c r="D85" s="977"/>
      <c r="E85" s="977"/>
      <c r="F85" s="977"/>
      <c r="G85" s="977"/>
      <c r="H85" s="977"/>
      <c r="I85" s="977"/>
      <c r="J85" s="977"/>
      <c r="K85" s="977"/>
      <c r="L85" s="329"/>
    </row>
    <row r="86" spans="1:12" x14ac:dyDescent="0.2">
      <c r="A86" s="329"/>
      <c r="B86" s="978" t="s">
        <v>613</v>
      </c>
      <c r="C86" s="978"/>
      <c r="D86" s="978"/>
      <c r="E86" s="978"/>
      <c r="F86" s="978"/>
      <c r="G86" s="978"/>
      <c r="H86" s="978"/>
      <c r="I86" s="978"/>
      <c r="J86" s="978"/>
      <c r="K86" s="978"/>
      <c r="L86" s="329"/>
    </row>
    <row r="87" spans="1:12" x14ac:dyDescent="0.2">
      <c r="A87" s="329"/>
      <c r="B87" s="365"/>
      <c r="C87" s="365"/>
      <c r="D87" s="365"/>
      <c r="E87" s="365"/>
      <c r="F87" s="365"/>
      <c r="G87" s="365"/>
      <c r="H87" s="365"/>
      <c r="I87" s="365"/>
      <c r="J87" s="365"/>
      <c r="K87" s="365"/>
      <c r="L87" s="329"/>
    </row>
    <row r="88" spans="1:12" x14ac:dyDescent="0.2">
      <c r="A88" s="329"/>
      <c r="B88" s="978" t="s">
        <v>614</v>
      </c>
      <c r="C88" s="978"/>
      <c r="D88" s="978"/>
      <c r="E88" s="978"/>
      <c r="F88" s="978"/>
      <c r="G88" s="978"/>
      <c r="H88" s="978"/>
      <c r="I88" s="978"/>
      <c r="J88" s="978"/>
      <c r="K88" s="978"/>
      <c r="L88" s="329"/>
    </row>
    <row r="89" spans="1:12" x14ac:dyDescent="0.2">
      <c r="A89" s="329"/>
      <c r="B89" s="366"/>
      <c r="C89" s="366"/>
      <c r="D89" s="366"/>
      <c r="E89" s="366"/>
      <c r="F89" s="366"/>
      <c r="G89" s="366"/>
      <c r="H89" s="366"/>
      <c r="I89" s="366"/>
      <c r="J89" s="366"/>
      <c r="K89" s="366"/>
      <c r="L89" s="329"/>
    </row>
    <row r="90" spans="1:12" ht="45" customHeight="1" x14ac:dyDescent="0.2">
      <c r="A90" s="329"/>
      <c r="B90" s="979" t="s">
        <v>615</v>
      </c>
      <c r="C90" s="979"/>
      <c r="D90" s="979"/>
      <c r="E90" s="979"/>
      <c r="F90" s="979"/>
      <c r="G90" s="979"/>
      <c r="H90" s="979"/>
      <c r="I90" s="979"/>
      <c r="J90" s="979"/>
      <c r="K90" s="979"/>
      <c r="L90" s="329"/>
    </row>
    <row r="91" spans="1:12" ht="15" customHeight="1" thickBot="1" x14ac:dyDescent="0.25">
      <c r="A91" s="329"/>
      <c r="L91" s="329"/>
    </row>
    <row r="92" spans="1:12" ht="15" customHeight="1" x14ac:dyDescent="0.2">
      <c r="A92" s="329"/>
      <c r="B92" s="367" t="s">
        <v>569</v>
      </c>
      <c r="C92" s="368"/>
      <c r="D92" s="368"/>
      <c r="E92" s="368"/>
      <c r="F92" s="368"/>
      <c r="G92" s="368"/>
      <c r="H92" s="368"/>
      <c r="I92" s="368"/>
      <c r="J92" s="368"/>
      <c r="K92" s="369"/>
      <c r="L92" s="329"/>
    </row>
    <row r="93" spans="1:12" ht="15" customHeight="1" x14ac:dyDescent="0.2">
      <c r="A93" s="329"/>
      <c r="B93" s="370"/>
      <c r="C93" s="371" t="s">
        <v>577</v>
      </c>
      <c r="D93" s="371"/>
      <c r="E93" s="371"/>
      <c r="F93" s="371"/>
      <c r="G93" s="371"/>
      <c r="H93" s="371"/>
      <c r="I93" s="371"/>
      <c r="J93" s="371"/>
      <c r="K93" s="372"/>
      <c r="L93" s="329"/>
    </row>
    <row r="94" spans="1:12" ht="15" customHeight="1" x14ac:dyDescent="0.2">
      <c r="A94" s="329"/>
      <c r="B94" s="370" t="s">
        <v>602</v>
      </c>
      <c r="C94" s="975">
        <v>3120000</v>
      </c>
      <c r="D94" s="975"/>
      <c r="E94" s="340" t="s">
        <v>576</v>
      </c>
      <c r="F94" s="340">
        <v>1000</v>
      </c>
      <c r="G94" s="340" t="s">
        <v>575</v>
      </c>
      <c r="H94" s="360">
        <f>C94/F94</f>
        <v>3120</v>
      </c>
      <c r="I94" s="371" t="s">
        <v>603</v>
      </c>
      <c r="J94" s="371"/>
      <c r="K94" s="372"/>
      <c r="L94" s="329"/>
    </row>
    <row r="95" spans="1:12" ht="15" customHeight="1" x14ac:dyDescent="0.2">
      <c r="A95" s="329"/>
      <c r="B95" s="370"/>
      <c r="C95" s="371"/>
      <c r="D95" s="371"/>
      <c r="E95" s="340"/>
      <c r="F95" s="371"/>
      <c r="G95" s="371"/>
      <c r="H95" s="371"/>
      <c r="I95" s="371"/>
      <c r="J95" s="371"/>
      <c r="K95" s="372"/>
      <c r="L95" s="329"/>
    </row>
    <row r="96" spans="1:12" ht="15" customHeight="1" x14ac:dyDescent="0.2">
      <c r="A96" s="329"/>
      <c r="B96" s="370"/>
      <c r="C96" s="371" t="s">
        <v>604</v>
      </c>
      <c r="D96" s="371"/>
      <c r="E96" s="340"/>
      <c r="F96" s="371" t="s">
        <v>603</v>
      </c>
      <c r="G96" s="371"/>
      <c r="H96" s="371"/>
      <c r="I96" s="371"/>
      <c r="J96" s="371"/>
      <c r="K96" s="372"/>
      <c r="L96" s="329"/>
    </row>
    <row r="97" spans="1:12" ht="15" customHeight="1" x14ac:dyDescent="0.2">
      <c r="A97" s="329"/>
      <c r="B97" s="370" t="s">
        <v>605</v>
      </c>
      <c r="C97" s="975">
        <v>50000</v>
      </c>
      <c r="D97" s="975"/>
      <c r="E97" s="340" t="s">
        <v>576</v>
      </c>
      <c r="F97" s="360">
        <f>H94</f>
        <v>3120</v>
      </c>
      <c r="G97" s="340" t="s">
        <v>575</v>
      </c>
      <c r="H97" s="348">
        <f>C97/F97</f>
        <v>16.025641025641026</v>
      </c>
      <c r="I97" s="371" t="s">
        <v>606</v>
      </c>
      <c r="J97" s="371"/>
      <c r="K97" s="372"/>
      <c r="L97" s="329"/>
    </row>
    <row r="98" spans="1:12" ht="15" customHeight="1" x14ac:dyDescent="0.2">
      <c r="A98" s="329"/>
      <c r="B98" s="370"/>
      <c r="C98" s="371"/>
      <c r="D98" s="371"/>
      <c r="E98" s="340"/>
      <c r="F98" s="371"/>
      <c r="G98" s="371"/>
      <c r="H98" s="371"/>
      <c r="I98" s="371"/>
      <c r="J98" s="371"/>
      <c r="K98" s="372"/>
      <c r="L98" s="329"/>
    </row>
    <row r="99" spans="1:12" ht="15" customHeight="1" x14ac:dyDescent="0.2">
      <c r="A99" s="329"/>
      <c r="B99" s="373"/>
      <c r="C99" s="374" t="s">
        <v>616</v>
      </c>
      <c r="D99" s="374"/>
      <c r="E99" s="358"/>
      <c r="F99" s="374"/>
      <c r="G99" s="374"/>
      <c r="H99" s="374"/>
      <c r="I99" s="374"/>
      <c r="J99" s="374"/>
      <c r="K99" s="375"/>
      <c r="L99" s="329"/>
    </row>
    <row r="100" spans="1:12" ht="15" customHeight="1" x14ac:dyDescent="0.2">
      <c r="A100" s="329"/>
      <c r="B100" s="370" t="s">
        <v>608</v>
      </c>
      <c r="C100" s="975">
        <v>2500000</v>
      </c>
      <c r="D100" s="975"/>
      <c r="E100" s="340" t="s">
        <v>213</v>
      </c>
      <c r="F100" s="376">
        <v>0.3</v>
      </c>
      <c r="G100" s="340" t="s">
        <v>575</v>
      </c>
      <c r="H100" s="355">
        <f>C100*F100</f>
        <v>750000</v>
      </c>
      <c r="I100" s="371" t="s">
        <v>609</v>
      </c>
      <c r="J100" s="371"/>
      <c r="K100" s="372"/>
      <c r="L100" s="329"/>
    </row>
    <row r="101" spans="1:12" ht="15" customHeight="1" x14ac:dyDescent="0.2">
      <c r="A101" s="329"/>
      <c r="B101" s="370"/>
      <c r="C101" s="371"/>
      <c r="D101" s="371"/>
      <c r="E101" s="340"/>
      <c r="F101" s="371"/>
      <c r="G101" s="371"/>
      <c r="H101" s="371"/>
      <c r="I101" s="371"/>
      <c r="J101" s="371"/>
      <c r="K101" s="372"/>
      <c r="L101" s="329"/>
    </row>
    <row r="102" spans="1:12" ht="15" customHeight="1" x14ac:dyDescent="0.2">
      <c r="A102" s="329"/>
      <c r="B102" s="373"/>
      <c r="C102" s="374" t="s">
        <v>610</v>
      </c>
      <c r="D102" s="374"/>
      <c r="E102" s="358"/>
      <c r="F102" s="374" t="s">
        <v>606</v>
      </c>
      <c r="G102" s="374"/>
      <c r="H102" s="374"/>
      <c r="I102" s="374"/>
      <c r="J102" s="374" t="s">
        <v>611</v>
      </c>
      <c r="K102" s="375"/>
      <c r="L102" s="329"/>
    </row>
    <row r="103" spans="1:12" ht="15" customHeight="1" x14ac:dyDescent="0.2">
      <c r="A103" s="329"/>
      <c r="B103" s="370" t="s">
        <v>612</v>
      </c>
      <c r="C103" s="976">
        <f>H100</f>
        <v>750000</v>
      </c>
      <c r="D103" s="976"/>
      <c r="E103" s="340" t="s">
        <v>213</v>
      </c>
      <c r="F103" s="348">
        <f>H97</f>
        <v>16.025641025641026</v>
      </c>
      <c r="G103" s="340" t="s">
        <v>576</v>
      </c>
      <c r="H103" s="340">
        <v>1000</v>
      </c>
      <c r="I103" s="340" t="s">
        <v>575</v>
      </c>
      <c r="J103" s="360">
        <f>C103*F103/H103</f>
        <v>12019.23076923077</v>
      </c>
      <c r="K103" s="372"/>
      <c r="L103" s="329"/>
    </row>
    <row r="104" spans="1:12" ht="15" customHeight="1" thickBot="1" x14ac:dyDescent="0.25">
      <c r="A104" s="329"/>
      <c r="B104" s="377"/>
      <c r="C104" s="361"/>
      <c r="D104" s="361"/>
      <c r="E104" s="362"/>
      <c r="F104" s="363"/>
      <c r="G104" s="362"/>
      <c r="H104" s="362"/>
      <c r="I104" s="362"/>
      <c r="J104" s="364"/>
      <c r="K104" s="378"/>
      <c r="L104" s="329"/>
    </row>
    <row r="105" spans="1:12" ht="40.5" customHeight="1" x14ac:dyDescent="0.2">
      <c r="A105" s="329"/>
      <c r="B105" s="977" t="s">
        <v>565</v>
      </c>
      <c r="C105" s="983"/>
      <c r="D105" s="983"/>
      <c r="E105" s="983"/>
      <c r="F105" s="983"/>
      <c r="G105" s="983"/>
      <c r="H105" s="983"/>
      <c r="I105" s="983"/>
      <c r="J105" s="983"/>
      <c r="K105" s="983"/>
      <c r="L105" s="329"/>
    </row>
    <row r="106" spans="1:12" ht="15" customHeight="1" x14ac:dyDescent="0.2">
      <c r="A106" s="329"/>
      <c r="B106" s="981" t="s">
        <v>617</v>
      </c>
      <c r="C106" s="984"/>
      <c r="D106" s="984"/>
      <c r="E106" s="984"/>
      <c r="F106" s="984"/>
      <c r="G106" s="984"/>
      <c r="H106" s="984"/>
      <c r="I106" s="984"/>
      <c r="J106" s="984"/>
      <c r="K106" s="984"/>
      <c r="L106" s="329"/>
    </row>
    <row r="107" spans="1:12" ht="15" customHeight="1" x14ac:dyDescent="0.2">
      <c r="A107" s="329"/>
      <c r="B107" s="371"/>
      <c r="C107" s="379"/>
      <c r="D107" s="379"/>
      <c r="E107" s="340"/>
      <c r="F107" s="348"/>
      <c r="G107" s="340"/>
      <c r="H107" s="340"/>
      <c r="I107" s="340"/>
      <c r="J107" s="360"/>
      <c r="K107" s="371"/>
      <c r="L107" s="329"/>
    </row>
    <row r="108" spans="1:12" ht="15" customHeight="1" x14ac:dyDescent="0.2">
      <c r="A108" s="329"/>
      <c r="B108" s="981" t="s">
        <v>618</v>
      </c>
      <c r="C108" s="982"/>
      <c r="D108" s="982"/>
      <c r="E108" s="982"/>
      <c r="F108" s="982"/>
      <c r="G108" s="982"/>
      <c r="H108" s="982"/>
      <c r="I108" s="982"/>
      <c r="J108" s="982"/>
      <c r="K108" s="982"/>
      <c r="L108" s="329"/>
    </row>
    <row r="109" spans="1:12" ht="15" customHeight="1" x14ac:dyDescent="0.2">
      <c r="A109" s="329"/>
      <c r="B109" s="371"/>
      <c r="C109" s="379"/>
      <c r="D109" s="379"/>
      <c r="E109" s="340"/>
      <c r="F109" s="348"/>
      <c r="G109" s="340"/>
      <c r="H109" s="340"/>
      <c r="I109" s="340"/>
      <c r="J109" s="360"/>
      <c r="K109" s="371"/>
      <c r="L109" s="329"/>
    </row>
    <row r="110" spans="1:12" ht="59.25" customHeight="1" x14ac:dyDescent="0.2">
      <c r="A110" s="329"/>
      <c r="B110" s="973" t="s">
        <v>619</v>
      </c>
      <c r="C110" s="974"/>
      <c r="D110" s="974"/>
      <c r="E110" s="974"/>
      <c r="F110" s="974"/>
      <c r="G110" s="974"/>
      <c r="H110" s="974"/>
      <c r="I110" s="974"/>
      <c r="J110" s="974"/>
      <c r="K110" s="974"/>
      <c r="L110" s="329"/>
    </row>
    <row r="111" spans="1:12" ht="15" thickBot="1" x14ac:dyDescent="0.25">
      <c r="A111" s="329"/>
      <c r="B111" s="332"/>
      <c r="C111" s="332"/>
      <c r="D111" s="332"/>
      <c r="E111" s="332"/>
      <c r="F111" s="332"/>
      <c r="G111" s="332"/>
      <c r="H111" s="332"/>
      <c r="I111" s="332"/>
      <c r="J111" s="332"/>
      <c r="K111" s="332"/>
      <c r="L111" s="380"/>
    </row>
    <row r="112" spans="1:12" x14ac:dyDescent="0.2">
      <c r="A112" s="329"/>
      <c r="B112" s="335" t="s">
        <v>569</v>
      </c>
      <c r="C112" s="336"/>
      <c r="D112" s="336"/>
      <c r="E112" s="336"/>
      <c r="F112" s="336"/>
      <c r="G112" s="336"/>
      <c r="H112" s="336"/>
      <c r="I112" s="336"/>
      <c r="J112" s="336"/>
      <c r="K112" s="337"/>
      <c r="L112" s="329"/>
    </row>
    <row r="113" spans="1:12" x14ac:dyDescent="0.2">
      <c r="A113" s="329"/>
      <c r="B113" s="346"/>
      <c r="C113" s="339" t="s">
        <v>577</v>
      </c>
      <c r="D113" s="339"/>
      <c r="E113" s="339"/>
      <c r="F113" s="339"/>
      <c r="G113" s="339"/>
      <c r="H113" s="339"/>
      <c r="I113" s="339"/>
      <c r="J113" s="339"/>
      <c r="K113" s="341"/>
      <c r="L113" s="329"/>
    </row>
    <row r="114" spans="1:12" x14ac:dyDescent="0.2">
      <c r="A114" s="329"/>
      <c r="B114" s="346" t="s">
        <v>602</v>
      </c>
      <c r="C114" s="975">
        <v>3120000</v>
      </c>
      <c r="D114" s="975"/>
      <c r="E114" s="340" t="s">
        <v>576</v>
      </c>
      <c r="F114" s="340">
        <v>1000</v>
      </c>
      <c r="G114" s="340" t="s">
        <v>575</v>
      </c>
      <c r="H114" s="360">
        <f>C114/F114</f>
        <v>3120</v>
      </c>
      <c r="I114" s="339" t="s">
        <v>603</v>
      </c>
      <c r="J114" s="339"/>
      <c r="K114" s="341"/>
      <c r="L114" s="329"/>
    </row>
    <row r="115" spans="1:12" x14ac:dyDescent="0.2">
      <c r="A115" s="329"/>
      <c r="B115" s="346"/>
      <c r="C115" s="339"/>
      <c r="D115" s="339"/>
      <c r="E115" s="340"/>
      <c r="F115" s="339"/>
      <c r="G115" s="339"/>
      <c r="H115" s="339"/>
      <c r="I115" s="339"/>
      <c r="J115" s="339"/>
      <c r="K115" s="341"/>
      <c r="L115" s="329"/>
    </row>
    <row r="116" spans="1:12" x14ac:dyDescent="0.2">
      <c r="A116" s="329"/>
      <c r="B116" s="346"/>
      <c r="C116" s="339" t="s">
        <v>604</v>
      </c>
      <c r="D116" s="339"/>
      <c r="E116" s="340"/>
      <c r="F116" s="339" t="s">
        <v>603</v>
      </c>
      <c r="G116" s="339"/>
      <c r="H116" s="339"/>
      <c r="I116" s="339"/>
      <c r="J116" s="339"/>
      <c r="K116" s="341"/>
      <c r="L116" s="329"/>
    </row>
    <row r="117" spans="1:12" x14ac:dyDescent="0.2">
      <c r="A117" s="329"/>
      <c r="B117" s="346" t="s">
        <v>605</v>
      </c>
      <c r="C117" s="975">
        <v>50000</v>
      </c>
      <c r="D117" s="975"/>
      <c r="E117" s="340" t="s">
        <v>576</v>
      </c>
      <c r="F117" s="360">
        <f>H114</f>
        <v>3120</v>
      </c>
      <c r="G117" s="340" t="s">
        <v>575</v>
      </c>
      <c r="H117" s="348">
        <f>C117/F117</f>
        <v>16.025641025641026</v>
      </c>
      <c r="I117" s="339" t="s">
        <v>606</v>
      </c>
      <c r="J117" s="339"/>
      <c r="K117" s="341"/>
      <c r="L117" s="329"/>
    </row>
    <row r="118" spans="1:12" x14ac:dyDescent="0.2">
      <c r="A118" s="329"/>
      <c r="B118" s="346"/>
      <c r="C118" s="339"/>
      <c r="D118" s="339"/>
      <c r="E118" s="340"/>
      <c r="F118" s="339"/>
      <c r="G118" s="339"/>
      <c r="H118" s="339"/>
      <c r="I118" s="339"/>
      <c r="J118" s="339"/>
      <c r="K118" s="341"/>
      <c r="L118" s="329"/>
    </row>
    <row r="119" spans="1:12" x14ac:dyDescent="0.2">
      <c r="A119" s="329"/>
      <c r="B119" s="356"/>
      <c r="C119" s="357" t="s">
        <v>616</v>
      </c>
      <c r="D119" s="357"/>
      <c r="E119" s="358"/>
      <c r="F119" s="357"/>
      <c r="G119" s="357"/>
      <c r="H119" s="357"/>
      <c r="I119" s="357"/>
      <c r="J119" s="357"/>
      <c r="K119" s="359"/>
      <c r="L119" s="329"/>
    </row>
    <row r="120" spans="1:12" x14ac:dyDescent="0.2">
      <c r="A120" s="329"/>
      <c r="B120" s="346" t="s">
        <v>608</v>
      </c>
      <c r="C120" s="975">
        <v>2500000</v>
      </c>
      <c r="D120" s="975"/>
      <c r="E120" s="340" t="s">
        <v>213</v>
      </c>
      <c r="F120" s="376">
        <v>0.25</v>
      </c>
      <c r="G120" s="340" t="s">
        <v>575</v>
      </c>
      <c r="H120" s="355">
        <f>C120*F120</f>
        <v>625000</v>
      </c>
      <c r="I120" s="339" t="s">
        <v>609</v>
      </c>
      <c r="J120" s="339"/>
      <c r="K120" s="341"/>
      <c r="L120" s="329"/>
    </row>
    <row r="121" spans="1:12" x14ac:dyDescent="0.2">
      <c r="A121" s="329"/>
      <c r="B121" s="346"/>
      <c r="C121" s="339"/>
      <c r="D121" s="339"/>
      <c r="E121" s="340"/>
      <c r="F121" s="339"/>
      <c r="G121" s="339"/>
      <c r="H121" s="339"/>
      <c r="I121" s="339"/>
      <c r="J121" s="339"/>
      <c r="K121" s="341"/>
      <c r="L121" s="329"/>
    </row>
    <row r="122" spans="1:12" x14ac:dyDescent="0.2">
      <c r="A122" s="329"/>
      <c r="B122" s="356"/>
      <c r="C122" s="357" t="s">
        <v>610</v>
      </c>
      <c r="D122" s="357"/>
      <c r="E122" s="358"/>
      <c r="F122" s="357" t="s">
        <v>606</v>
      </c>
      <c r="G122" s="357"/>
      <c r="H122" s="357"/>
      <c r="I122" s="357"/>
      <c r="J122" s="357" t="s">
        <v>611</v>
      </c>
      <c r="K122" s="359"/>
      <c r="L122" s="329"/>
    </row>
    <row r="123" spans="1:12" x14ac:dyDescent="0.2">
      <c r="A123" s="329"/>
      <c r="B123" s="346" t="s">
        <v>612</v>
      </c>
      <c r="C123" s="976">
        <f>H120</f>
        <v>625000</v>
      </c>
      <c r="D123" s="976"/>
      <c r="E123" s="340" t="s">
        <v>213</v>
      </c>
      <c r="F123" s="348">
        <f>H117</f>
        <v>16.025641025641026</v>
      </c>
      <c r="G123" s="340" t="s">
        <v>576</v>
      </c>
      <c r="H123" s="340">
        <v>1000</v>
      </c>
      <c r="I123" s="340" t="s">
        <v>575</v>
      </c>
      <c r="J123" s="360">
        <f>C123*F123/H123</f>
        <v>10016.025641025641</v>
      </c>
      <c r="K123" s="341"/>
      <c r="L123" s="329"/>
    </row>
    <row r="124" spans="1:12" ht="15" thickBot="1" x14ac:dyDescent="0.25">
      <c r="A124" s="329"/>
      <c r="B124" s="342"/>
      <c r="C124" s="361"/>
      <c r="D124" s="361"/>
      <c r="E124" s="362"/>
      <c r="F124" s="363"/>
      <c r="G124" s="362"/>
      <c r="H124" s="362"/>
      <c r="I124" s="362"/>
      <c r="J124" s="364"/>
      <c r="K124" s="344"/>
      <c r="L124" s="329"/>
    </row>
    <row r="125" spans="1:12" ht="40.5" customHeight="1" x14ac:dyDescent="0.2">
      <c r="A125" s="329"/>
      <c r="B125" s="977" t="s">
        <v>565</v>
      </c>
      <c r="C125" s="977"/>
      <c r="D125" s="977"/>
      <c r="E125" s="977"/>
      <c r="F125" s="977"/>
      <c r="G125" s="977"/>
      <c r="H125" s="977"/>
      <c r="I125" s="977"/>
      <c r="J125" s="977"/>
      <c r="K125" s="977"/>
      <c r="L125" s="380"/>
    </row>
    <row r="126" spans="1:12" x14ac:dyDescent="0.2">
      <c r="A126" s="329"/>
      <c r="B126" s="978" t="s">
        <v>620</v>
      </c>
      <c r="C126" s="978"/>
      <c r="D126" s="978"/>
      <c r="E126" s="978"/>
      <c r="F126" s="978"/>
      <c r="G126" s="978"/>
      <c r="H126" s="978"/>
      <c r="I126" s="978"/>
      <c r="J126" s="978"/>
      <c r="K126" s="978"/>
      <c r="L126" s="380"/>
    </row>
    <row r="127" spans="1:12" x14ac:dyDescent="0.2">
      <c r="A127" s="329"/>
      <c r="B127" s="332"/>
      <c r="C127" s="332"/>
      <c r="D127" s="332"/>
      <c r="E127" s="332"/>
      <c r="F127" s="332"/>
      <c r="G127" s="332"/>
      <c r="H127" s="332"/>
      <c r="I127" s="332"/>
      <c r="J127" s="332"/>
      <c r="K127" s="332"/>
      <c r="L127" s="380"/>
    </row>
    <row r="128" spans="1:12" x14ac:dyDescent="0.2">
      <c r="A128" s="329"/>
      <c r="B128" s="978" t="s">
        <v>621</v>
      </c>
      <c r="C128" s="978"/>
      <c r="D128" s="978"/>
      <c r="E128" s="978"/>
      <c r="F128" s="978"/>
      <c r="G128" s="978"/>
      <c r="H128" s="978"/>
      <c r="I128" s="978"/>
      <c r="J128" s="978"/>
      <c r="K128" s="978"/>
      <c r="L128" s="380"/>
    </row>
    <row r="129" spans="1:12" x14ac:dyDescent="0.2">
      <c r="A129" s="329"/>
      <c r="B129" s="366"/>
      <c r="C129" s="366"/>
      <c r="D129" s="366"/>
      <c r="E129" s="366"/>
      <c r="F129" s="366"/>
      <c r="G129" s="366"/>
      <c r="H129" s="366"/>
      <c r="I129" s="366"/>
      <c r="J129" s="366"/>
      <c r="K129" s="366"/>
      <c r="L129" s="380"/>
    </row>
    <row r="130" spans="1:12" ht="74.25" customHeight="1" x14ac:dyDescent="0.2">
      <c r="A130" s="329"/>
      <c r="B130" s="979" t="s">
        <v>622</v>
      </c>
      <c r="C130" s="979"/>
      <c r="D130" s="979"/>
      <c r="E130" s="979"/>
      <c r="F130" s="979"/>
      <c r="G130" s="979"/>
      <c r="H130" s="979"/>
      <c r="I130" s="979"/>
      <c r="J130" s="979"/>
      <c r="K130" s="979"/>
      <c r="L130" s="380"/>
    </row>
    <row r="131" spans="1:12" ht="15" thickBot="1" x14ac:dyDescent="0.25">
      <c r="A131" s="329"/>
      <c r="L131" s="329"/>
    </row>
    <row r="132" spans="1:12" x14ac:dyDescent="0.2">
      <c r="A132" s="329"/>
      <c r="B132" s="335" t="s">
        <v>569</v>
      </c>
      <c r="C132" s="336"/>
      <c r="D132" s="336"/>
      <c r="E132" s="336"/>
      <c r="F132" s="336"/>
      <c r="G132" s="336"/>
      <c r="H132" s="336"/>
      <c r="I132" s="336"/>
      <c r="J132" s="336"/>
      <c r="K132" s="337"/>
      <c r="L132" s="329"/>
    </row>
    <row r="133" spans="1:12" x14ac:dyDescent="0.2">
      <c r="A133" s="329"/>
      <c r="B133" s="346"/>
      <c r="C133" s="980" t="s">
        <v>623</v>
      </c>
      <c r="D133" s="980"/>
      <c r="E133" s="339"/>
      <c r="F133" s="340" t="s">
        <v>624</v>
      </c>
      <c r="G133" s="339"/>
      <c r="H133" s="980" t="s">
        <v>609</v>
      </c>
      <c r="I133" s="980"/>
      <c r="J133" s="339"/>
      <c r="K133" s="341"/>
      <c r="L133" s="329"/>
    </row>
    <row r="134" spans="1:12" x14ac:dyDescent="0.2">
      <c r="A134" s="329"/>
      <c r="B134" s="346" t="s">
        <v>602</v>
      </c>
      <c r="C134" s="975">
        <v>100000</v>
      </c>
      <c r="D134" s="975"/>
      <c r="E134" s="340" t="s">
        <v>213</v>
      </c>
      <c r="F134" s="340">
        <v>0.115</v>
      </c>
      <c r="G134" s="340" t="s">
        <v>575</v>
      </c>
      <c r="H134" s="967">
        <f>C134*F134</f>
        <v>11500</v>
      </c>
      <c r="I134" s="967"/>
      <c r="J134" s="339"/>
      <c r="K134" s="341"/>
      <c r="L134" s="329"/>
    </row>
    <row r="135" spans="1:12" x14ac:dyDescent="0.2">
      <c r="A135" s="329"/>
      <c r="B135" s="346"/>
      <c r="C135" s="339"/>
      <c r="D135" s="339"/>
      <c r="E135" s="339"/>
      <c r="F135" s="339"/>
      <c r="G135" s="339"/>
      <c r="H135" s="339"/>
      <c r="I135" s="339"/>
      <c r="J135" s="339"/>
      <c r="K135" s="341"/>
      <c r="L135" s="329"/>
    </row>
    <row r="136" spans="1:12" x14ac:dyDescent="0.2">
      <c r="A136" s="329"/>
      <c r="B136" s="356"/>
      <c r="C136" s="972" t="s">
        <v>609</v>
      </c>
      <c r="D136" s="972"/>
      <c r="E136" s="357"/>
      <c r="F136" s="358" t="s">
        <v>625</v>
      </c>
      <c r="G136" s="358"/>
      <c r="H136" s="357"/>
      <c r="I136" s="357"/>
      <c r="J136" s="357" t="s">
        <v>626</v>
      </c>
      <c r="K136" s="359"/>
      <c r="L136" s="329"/>
    </row>
    <row r="137" spans="1:12" x14ac:dyDescent="0.2">
      <c r="A137" s="329"/>
      <c r="B137" s="346" t="s">
        <v>605</v>
      </c>
      <c r="C137" s="967">
        <f>H134</f>
        <v>11500</v>
      </c>
      <c r="D137" s="967"/>
      <c r="E137" s="340" t="s">
        <v>213</v>
      </c>
      <c r="F137" s="381">
        <v>52.869</v>
      </c>
      <c r="G137" s="340" t="s">
        <v>576</v>
      </c>
      <c r="H137" s="340">
        <v>1000</v>
      </c>
      <c r="I137" s="340" t="s">
        <v>575</v>
      </c>
      <c r="J137" s="382">
        <f>C137*F137/H137</f>
        <v>607.99350000000004</v>
      </c>
      <c r="K137" s="341"/>
      <c r="L137" s="329"/>
    </row>
    <row r="138" spans="1:12" ht="15" thickBot="1" x14ac:dyDescent="0.25">
      <c r="A138" s="329"/>
      <c r="B138" s="342"/>
      <c r="C138" s="383"/>
      <c r="D138" s="383"/>
      <c r="E138" s="362"/>
      <c r="F138" s="384"/>
      <c r="G138" s="362"/>
      <c r="H138" s="362"/>
      <c r="I138" s="362"/>
      <c r="J138" s="385"/>
      <c r="K138" s="344"/>
      <c r="L138" s="329"/>
    </row>
    <row r="139" spans="1:12" ht="40.5" customHeight="1" x14ac:dyDescent="0.2">
      <c r="A139" s="329"/>
      <c r="B139" s="386" t="s">
        <v>565</v>
      </c>
      <c r="C139" s="387"/>
      <c r="D139" s="387"/>
      <c r="E139" s="388"/>
      <c r="F139" s="389"/>
      <c r="G139" s="388"/>
      <c r="H139" s="388"/>
      <c r="I139" s="388"/>
      <c r="J139" s="390"/>
      <c r="K139" s="391"/>
      <c r="L139" s="329"/>
    </row>
    <row r="140" spans="1:12" x14ac:dyDescent="0.2">
      <c r="A140" s="329"/>
      <c r="B140" s="392" t="s">
        <v>627</v>
      </c>
      <c r="C140" s="393"/>
      <c r="D140" s="393"/>
      <c r="E140" s="394"/>
      <c r="F140" s="395"/>
      <c r="G140" s="394"/>
      <c r="H140" s="394"/>
      <c r="I140" s="394"/>
      <c r="J140" s="396"/>
      <c r="K140" s="397"/>
      <c r="L140" s="329"/>
    </row>
    <row r="141" spans="1:12" x14ac:dyDescent="0.2">
      <c r="A141" s="329"/>
      <c r="B141" s="346"/>
      <c r="C141" s="355"/>
      <c r="D141" s="355"/>
      <c r="E141" s="340"/>
      <c r="F141" s="398"/>
      <c r="G141" s="340"/>
      <c r="H141" s="340"/>
      <c r="I141" s="340"/>
      <c r="J141" s="382"/>
      <c r="K141" s="341"/>
      <c r="L141" s="329"/>
    </row>
    <row r="142" spans="1:12" x14ac:dyDescent="0.2">
      <c r="A142" s="329"/>
      <c r="B142" s="392" t="s">
        <v>628</v>
      </c>
      <c r="C142" s="393"/>
      <c r="D142" s="393"/>
      <c r="E142" s="394"/>
      <c r="F142" s="395"/>
      <c r="G142" s="394"/>
      <c r="H142" s="394"/>
      <c r="I142" s="394"/>
      <c r="J142" s="396"/>
      <c r="K142" s="397"/>
      <c r="L142" s="329"/>
    </row>
    <row r="143" spans="1:12" x14ac:dyDescent="0.2">
      <c r="A143" s="329"/>
      <c r="B143" s="346"/>
      <c r="C143" s="355"/>
      <c r="D143" s="355"/>
      <c r="E143" s="340"/>
      <c r="F143" s="398"/>
      <c r="G143" s="340"/>
      <c r="H143" s="340"/>
      <c r="I143" s="340"/>
      <c r="J143" s="382"/>
      <c r="K143" s="341"/>
      <c r="L143" s="329"/>
    </row>
    <row r="144" spans="1:12" ht="76.5" customHeight="1" x14ac:dyDescent="0.2">
      <c r="A144" s="329"/>
      <c r="B144" s="964" t="s">
        <v>629</v>
      </c>
      <c r="C144" s="965"/>
      <c r="D144" s="965"/>
      <c r="E144" s="965"/>
      <c r="F144" s="965"/>
      <c r="G144" s="965"/>
      <c r="H144" s="965"/>
      <c r="I144" s="965"/>
      <c r="J144" s="965"/>
      <c r="K144" s="966"/>
      <c r="L144" s="329"/>
    </row>
    <row r="145" spans="1:12" ht="15" thickBot="1" x14ac:dyDescent="0.25">
      <c r="A145" s="329"/>
      <c r="B145" s="346"/>
      <c r="C145" s="355"/>
      <c r="D145" s="355"/>
      <c r="E145" s="340"/>
      <c r="F145" s="398"/>
      <c r="G145" s="340"/>
      <c r="H145" s="340"/>
      <c r="I145" s="340"/>
      <c r="J145" s="382"/>
      <c r="K145" s="341"/>
      <c r="L145" s="329"/>
    </row>
    <row r="146" spans="1:12" x14ac:dyDescent="0.2">
      <c r="A146" s="329"/>
      <c r="B146" s="335" t="s">
        <v>569</v>
      </c>
      <c r="C146" s="399"/>
      <c r="D146" s="399"/>
      <c r="E146" s="400"/>
      <c r="F146" s="401"/>
      <c r="G146" s="400"/>
      <c r="H146" s="400"/>
      <c r="I146" s="400"/>
      <c r="J146" s="402"/>
      <c r="K146" s="337"/>
      <c r="L146" s="329"/>
    </row>
    <row r="147" spans="1:12" x14ac:dyDescent="0.2">
      <c r="A147" s="329"/>
      <c r="B147" s="346"/>
      <c r="C147" s="967" t="s">
        <v>630</v>
      </c>
      <c r="D147" s="967"/>
      <c r="E147" s="340"/>
      <c r="F147" s="398" t="s">
        <v>631</v>
      </c>
      <c r="G147" s="340"/>
      <c r="H147" s="340"/>
      <c r="I147" s="340"/>
      <c r="J147" s="968" t="s">
        <v>632</v>
      </c>
      <c r="K147" s="969"/>
      <c r="L147" s="329"/>
    </row>
    <row r="148" spans="1:12" x14ac:dyDescent="0.2">
      <c r="A148" s="329"/>
      <c r="B148" s="346"/>
      <c r="C148" s="970">
        <v>52.869</v>
      </c>
      <c r="D148" s="970"/>
      <c r="E148" s="340" t="s">
        <v>213</v>
      </c>
      <c r="F148" s="975">
        <v>3120000</v>
      </c>
      <c r="G148" s="975"/>
      <c r="H148" s="340">
        <v>1000</v>
      </c>
      <c r="I148" s="340" t="s">
        <v>575</v>
      </c>
      <c r="J148" s="967">
        <f>C148*(F148/1000)</f>
        <v>164951.28</v>
      </c>
      <c r="K148" s="971"/>
      <c r="L148" s="329"/>
    </row>
    <row r="149" spans="1:12" ht="15" thickBot="1" x14ac:dyDescent="0.25">
      <c r="A149" s="329"/>
      <c r="B149" s="342"/>
      <c r="C149" s="383"/>
      <c r="D149" s="383"/>
      <c r="E149" s="362"/>
      <c r="F149" s="384"/>
      <c r="G149" s="362"/>
      <c r="H149" s="362"/>
      <c r="I149" s="362"/>
      <c r="J149" s="385"/>
      <c r="K149" s="344"/>
      <c r="L149" s="329"/>
    </row>
    <row r="150" spans="1:12" ht="15" thickBot="1" x14ac:dyDescent="0.25">
      <c r="A150" s="329"/>
      <c r="B150" s="342"/>
      <c r="C150" s="343"/>
      <c r="D150" s="343"/>
      <c r="E150" s="343"/>
      <c r="F150" s="343"/>
      <c r="G150" s="343"/>
      <c r="H150" s="343"/>
      <c r="I150" s="343"/>
      <c r="J150" s="343"/>
      <c r="K150" s="344"/>
      <c r="L150" s="329"/>
    </row>
    <row r="151" spans="1:12" x14ac:dyDescent="0.2">
      <c r="A151" s="329"/>
      <c r="B151" s="329"/>
      <c r="C151" s="329"/>
      <c r="D151" s="329"/>
      <c r="E151" s="329"/>
      <c r="F151" s="329"/>
      <c r="G151" s="329"/>
      <c r="H151" s="329"/>
      <c r="I151" s="329"/>
      <c r="J151" s="329"/>
      <c r="K151" s="329"/>
      <c r="L151" s="329"/>
    </row>
    <row r="152" spans="1:12" x14ac:dyDescent="0.2">
      <c r="A152" s="329"/>
      <c r="B152" s="329"/>
      <c r="C152" s="329"/>
      <c r="D152" s="329"/>
      <c r="E152" s="329"/>
      <c r="F152" s="329"/>
      <c r="G152" s="329"/>
      <c r="H152" s="329"/>
      <c r="I152" s="329"/>
      <c r="J152" s="329"/>
      <c r="K152" s="329"/>
      <c r="L152" s="329"/>
    </row>
    <row r="153" spans="1:12" x14ac:dyDescent="0.2">
      <c r="A153" s="329"/>
      <c r="B153" s="329"/>
      <c r="C153" s="329"/>
      <c r="D153" s="329"/>
      <c r="E153" s="329"/>
      <c r="F153" s="329"/>
      <c r="G153" s="329"/>
      <c r="H153" s="329"/>
      <c r="I153" s="329"/>
      <c r="J153" s="329"/>
      <c r="K153" s="329"/>
      <c r="L153" s="329"/>
    </row>
    <row r="154" spans="1:12" x14ac:dyDescent="0.2">
      <c r="A154" s="403"/>
      <c r="B154" s="403"/>
      <c r="C154" s="403"/>
      <c r="D154" s="403"/>
      <c r="E154" s="403"/>
      <c r="F154" s="403"/>
      <c r="G154" s="403"/>
      <c r="H154" s="403"/>
      <c r="I154" s="403"/>
      <c r="J154" s="403"/>
      <c r="K154" s="403"/>
      <c r="L154" s="403"/>
    </row>
    <row r="155" spans="1:12" x14ac:dyDescent="0.2">
      <c r="A155" s="403"/>
      <c r="B155" s="403"/>
      <c r="C155" s="403"/>
      <c r="D155" s="403"/>
      <c r="E155" s="403"/>
      <c r="F155" s="403"/>
      <c r="G155" s="403"/>
      <c r="H155" s="403"/>
      <c r="I155" s="403"/>
      <c r="J155" s="403"/>
      <c r="K155" s="403"/>
      <c r="L155" s="403"/>
    </row>
    <row r="156" spans="1:12" x14ac:dyDescent="0.2">
      <c r="A156" s="403"/>
      <c r="B156" s="403"/>
      <c r="C156" s="403"/>
      <c r="D156" s="403"/>
      <c r="E156" s="403"/>
      <c r="F156" s="403"/>
      <c r="G156" s="403"/>
      <c r="H156" s="403"/>
      <c r="I156" s="403"/>
      <c r="J156" s="403"/>
      <c r="K156" s="403"/>
      <c r="L156" s="403"/>
    </row>
    <row r="157" spans="1:12" x14ac:dyDescent="0.2">
      <c r="A157" s="403"/>
      <c r="B157" s="403"/>
      <c r="C157" s="403"/>
      <c r="D157" s="403"/>
      <c r="E157" s="403"/>
      <c r="F157" s="403"/>
      <c r="G157" s="403"/>
      <c r="H157" s="403"/>
      <c r="I157" s="403"/>
      <c r="J157" s="403"/>
      <c r="K157" s="403"/>
      <c r="L157" s="403"/>
    </row>
    <row r="158" spans="1:12" x14ac:dyDescent="0.2">
      <c r="A158" s="403"/>
      <c r="B158" s="403"/>
      <c r="C158" s="403"/>
      <c r="D158" s="403"/>
      <c r="E158" s="403"/>
      <c r="F158" s="403"/>
      <c r="G158" s="403"/>
      <c r="H158" s="403"/>
      <c r="I158" s="403"/>
      <c r="J158" s="403"/>
      <c r="K158" s="403"/>
      <c r="L158" s="403"/>
    </row>
    <row r="159" spans="1:12" x14ac:dyDescent="0.2">
      <c r="A159" s="403"/>
      <c r="B159" s="403"/>
      <c r="C159" s="403"/>
      <c r="D159" s="403"/>
      <c r="E159" s="403"/>
      <c r="F159" s="403"/>
      <c r="G159" s="403"/>
      <c r="H159" s="403"/>
      <c r="I159" s="403"/>
      <c r="J159" s="403"/>
      <c r="K159" s="403"/>
      <c r="L159" s="403"/>
    </row>
    <row r="160" spans="1:12" x14ac:dyDescent="0.2">
      <c r="A160" s="403"/>
      <c r="B160" s="403"/>
      <c r="C160" s="403"/>
      <c r="D160" s="403"/>
      <c r="E160" s="403"/>
      <c r="F160" s="403"/>
      <c r="G160" s="403"/>
      <c r="H160" s="403"/>
      <c r="I160" s="403"/>
      <c r="J160" s="403"/>
      <c r="K160" s="403"/>
      <c r="L160" s="403"/>
    </row>
    <row r="161" spans="1:12" x14ac:dyDescent="0.2">
      <c r="A161" s="403"/>
      <c r="B161" s="403"/>
      <c r="C161" s="403"/>
      <c r="D161" s="403"/>
      <c r="E161" s="403"/>
      <c r="F161" s="403"/>
      <c r="G161" s="403"/>
      <c r="H161" s="403"/>
      <c r="I161" s="403"/>
      <c r="J161" s="403"/>
      <c r="K161" s="403"/>
      <c r="L161" s="403"/>
    </row>
    <row r="162" spans="1:12" x14ac:dyDescent="0.2">
      <c r="A162" s="403"/>
      <c r="B162" s="403"/>
      <c r="C162" s="403"/>
      <c r="D162" s="403"/>
      <c r="E162" s="403"/>
      <c r="F162" s="403"/>
      <c r="G162" s="403"/>
      <c r="H162" s="403"/>
      <c r="I162" s="403"/>
      <c r="J162" s="403"/>
      <c r="K162" s="403"/>
      <c r="L162" s="403"/>
    </row>
    <row r="163" spans="1:12" x14ac:dyDescent="0.2">
      <c r="A163" s="403"/>
      <c r="B163" s="403"/>
      <c r="C163" s="403"/>
      <c r="D163" s="403"/>
      <c r="E163" s="403"/>
      <c r="F163" s="403"/>
      <c r="G163" s="403"/>
      <c r="H163" s="403"/>
      <c r="I163" s="403"/>
      <c r="J163" s="403"/>
      <c r="K163" s="403"/>
      <c r="L163" s="403"/>
    </row>
    <row r="164" spans="1:12" x14ac:dyDescent="0.2">
      <c r="A164" s="403"/>
      <c r="B164" s="403"/>
      <c r="C164" s="403"/>
      <c r="D164" s="403"/>
      <c r="E164" s="403"/>
      <c r="F164" s="403"/>
      <c r="G164" s="403"/>
      <c r="H164" s="403"/>
      <c r="I164" s="403"/>
      <c r="J164" s="403"/>
      <c r="K164" s="403"/>
      <c r="L164" s="403"/>
    </row>
    <row r="165" spans="1:12" x14ac:dyDescent="0.2">
      <c r="A165" s="403"/>
      <c r="B165" s="403"/>
      <c r="C165" s="403"/>
      <c r="D165" s="403"/>
      <c r="E165" s="403"/>
      <c r="F165" s="403"/>
      <c r="G165" s="403"/>
      <c r="H165" s="403"/>
      <c r="I165" s="403"/>
      <c r="J165" s="403"/>
      <c r="K165" s="403"/>
      <c r="L165" s="403"/>
    </row>
    <row r="166" spans="1:12" x14ac:dyDescent="0.2">
      <c r="A166" s="403"/>
      <c r="B166" s="403"/>
      <c r="C166" s="403"/>
      <c r="D166" s="403"/>
      <c r="E166" s="403"/>
      <c r="F166" s="403"/>
      <c r="G166" s="403"/>
      <c r="H166" s="403"/>
      <c r="I166" s="403"/>
      <c r="J166" s="403"/>
      <c r="K166" s="403"/>
      <c r="L166" s="403"/>
    </row>
    <row r="167" spans="1:12" x14ac:dyDescent="0.2">
      <c r="A167" s="403"/>
      <c r="B167" s="403"/>
      <c r="C167" s="403"/>
      <c r="D167" s="403"/>
      <c r="E167" s="403"/>
      <c r="F167" s="403"/>
      <c r="G167" s="403"/>
      <c r="H167" s="403"/>
      <c r="I167" s="403"/>
      <c r="J167" s="403"/>
      <c r="K167" s="403"/>
      <c r="L167" s="403"/>
    </row>
    <row r="168" spans="1:12" x14ac:dyDescent="0.2">
      <c r="A168" s="403"/>
      <c r="B168" s="403"/>
      <c r="C168" s="403"/>
      <c r="D168" s="403"/>
      <c r="E168" s="403"/>
      <c r="F168" s="403"/>
      <c r="G168" s="403"/>
      <c r="H168" s="403"/>
      <c r="I168" s="403"/>
      <c r="J168" s="403"/>
      <c r="K168" s="403"/>
      <c r="L168" s="403"/>
    </row>
    <row r="169" spans="1:12" x14ac:dyDescent="0.2">
      <c r="A169" s="403"/>
      <c r="B169" s="403"/>
      <c r="C169" s="403"/>
      <c r="D169" s="403"/>
      <c r="E169" s="403"/>
      <c r="F169" s="403"/>
      <c r="G169" s="403"/>
      <c r="H169" s="403"/>
      <c r="I169" s="403"/>
      <c r="J169" s="403"/>
      <c r="K169" s="403"/>
      <c r="L169" s="403"/>
    </row>
    <row r="170" spans="1:12" x14ac:dyDescent="0.2">
      <c r="A170" s="403"/>
      <c r="B170" s="403"/>
      <c r="C170" s="403"/>
      <c r="D170" s="403"/>
      <c r="E170" s="403"/>
      <c r="F170" s="403"/>
      <c r="G170" s="403"/>
      <c r="H170" s="403"/>
      <c r="I170" s="403"/>
      <c r="J170" s="403"/>
      <c r="K170" s="403"/>
      <c r="L170" s="403"/>
    </row>
    <row r="171" spans="1:12" x14ac:dyDescent="0.2">
      <c r="A171" s="403"/>
      <c r="B171" s="403"/>
      <c r="C171" s="403"/>
      <c r="D171" s="403"/>
      <c r="E171" s="403"/>
      <c r="F171" s="403"/>
      <c r="G171" s="403"/>
      <c r="H171" s="403"/>
      <c r="I171" s="403"/>
      <c r="J171" s="403"/>
      <c r="K171" s="403"/>
      <c r="L171" s="403"/>
    </row>
    <row r="172" spans="1:12" x14ac:dyDescent="0.2">
      <c r="A172" s="403"/>
      <c r="B172" s="403"/>
      <c r="C172" s="403"/>
      <c r="D172" s="403"/>
      <c r="E172" s="403"/>
      <c r="F172" s="403"/>
      <c r="G172" s="403"/>
      <c r="H172" s="403"/>
      <c r="I172" s="403"/>
      <c r="J172" s="403"/>
      <c r="K172" s="403"/>
      <c r="L172" s="403"/>
    </row>
    <row r="173" spans="1:12" x14ac:dyDescent="0.2">
      <c r="A173" s="403"/>
      <c r="B173" s="403"/>
      <c r="C173" s="403"/>
      <c r="D173" s="403"/>
      <c r="E173" s="403"/>
      <c r="F173" s="403"/>
      <c r="G173" s="403"/>
      <c r="H173" s="403"/>
      <c r="I173" s="403"/>
      <c r="J173" s="403"/>
      <c r="K173" s="403"/>
      <c r="L173" s="403"/>
    </row>
    <row r="174" spans="1:12" x14ac:dyDescent="0.2">
      <c r="A174" s="403"/>
      <c r="B174" s="403"/>
      <c r="C174" s="403"/>
      <c r="D174" s="403"/>
      <c r="E174" s="403"/>
      <c r="F174" s="403"/>
      <c r="G174" s="403"/>
      <c r="H174" s="403"/>
      <c r="I174" s="403"/>
      <c r="J174" s="403"/>
      <c r="K174" s="403"/>
      <c r="L174" s="403"/>
    </row>
    <row r="175" spans="1:12" x14ac:dyDescent="0.2">
      <c r="A175" s="403"/>
      <c r="B175" s="403"/>
      <c r="C175" s="403"/>
      <c r="D175" s="403"/>
      <c r="E175" s="403"/>
      <c r="F175" s="403"/>
      <c r="G175" s="403"/>
      <c r="H175" s="403"/>
      <c r="I175" s="403"/>
      <c r="J175" s="403"/>
      <c r="K175" s="403"/>
      <c r="L175" s="403"/>
    </row>
    <row r="176" spans="1:12" x14ac:dyDescent="0.2">
      <c r="A176" s="403"/>
      <c r="B176" s="403"/>
      <c r="C176" s="403"/>
      <c r="D176" s="403"/>
      <c r="E176" s="403"/>
      <c r="F176" s="403"/>
      <c r="G176" s="403"/>
      <c r="H176" s="403"/>
      <c r="I176" s="403"/>
      <c r="J176" s="403"/>
      <c r="K176" s="403"/>
      <c r="L176" s="403"/>
    </row>
    <row r="177" spans="1:12" x14ac:dyDescent="0.2">
      <c r="A177" s="403"/>
      <c r="B177" s="403"/>
      <c r="C177" s="403"/>
      <c r="D177" s="403"/>
      <c r="E177" s="403"/>
      <c r="F177" s="403"/>
      <c r="G177" s="403"/>
      <c r="H177" s="403"/>
      <c r="I177" s="403"/>
      <c r="J177" s="403"/>
      <c r="K177" s="403"/>
      <c r="L177" s="403"/>
    </row>
    <row r="178" spans="1:12" x14ac:dyDescent="0.2">
      <c r="A178" s="403"/>
      <c r="B178" s="403"/>
      <c r="C178" s="403"/>
      <c r="D178" s="403"/>
      <c r="E178" s="403"/>
      <c r="F178" s="403"/>
      <c r="G178" s="403"/>
      <c r="H178" s="403"/>
      <c r="I178" s="403"/>
      <c r="J178" s="403"/>
      <c r="K178" s="403"/>
      <c r="L178" s="403"/>
    </row>
    <row r="179" spans="1:12" x14ac:dyDescent="0.2">
      <c r="A179" s="403"/>
      <c r="B179" s="403"/>
      <c r="C179" s="403"/>
      <c r="D179" s="403"/>
      <c r="E179" s="403"/>
      <c r="F179" s="403"/>
      <c r="G179" s="403"/>
      <c r="H179" s="403"/>
      <c r="I179" s="403"/>
      <c r="J179" s="403"/>
      <c r="K179" s="403"/>
      <c r="L179" s="403"/>
    </row>
    <row r="180" spans="1:12" x14ac:dyDescent="0.2">
      <c r="A180" s="403"/>
      <c r="B180" s="403"/>
      <c r="C180" s="403"/>
      <c r="D180" s="403"/>
      <c r="E180" s="403"/>
      <c r="F180" s="403"/>
      <c r="G180" s="403"/>
      <c r="H180" s="403"/>
      <c r="I180" s="403"/>
      <c r="J180" s="403"/>
      <c r="K180" s="403"/>
      <c r="L180" s="403"/>
    </row>
    <row r="181" spans="1:12" x14ac:dyDescent="0.2">
      <c r="A181" s="403"/>
      <c r="B181" s="403"/>
      <c r="C181" s="403"/>
      <c r="D181" s="403"/>
      <c r="E181" s="403"/>
      <c r="F181" s="403"/>
      <c r="G181" s="403"/>
      <c r="H181" s="403"/>
      <c r="I181" s="403"/>
      <c r="J181" s="403"/>
      <c r="K181" s="403"/>
      <c r="L181" s="403"/>
    </row>
    <row r="182" spans="1:12" x14ac:dyDescent="0.2">
      <c r="A182" s="403"/>
      <c r="B182" s="403"/>
      <c r="C182" s="403"/>
      <c r="D182" s="403"/>
      <c r="E182" s="403"/>
      <c r="F182" s="403"/>
      <c r="G182" s="403"/>
      <c r="H182" s="403"/>
      <c r="I182" s="403"/>
      <c r="J182" s="403"/>
      <c r="K182" s="403"/>
      <c r="L182" s="403"/>
    </row>
    <row r="183" spans="1:12" x14ac:dyDescent="0.2">
      <c r="A183" s="403"/>
      <c r="B183" s="403"/>
      <c r="C183" s="403"/>
      <c r="D183" s="403"/>
      <c r="E183" s="403"/>
      <c r="F183" s="403"/>
      <c r="G183" s="403"/>
      <c r="H183" s="403"/>
      <c r="I183" s="403"/>
      <c r="J183" s="403"/>
      <c r="K183" s="403"/>
      <c r="L183" s="403"/>
    </row>
    <row r="184" spans="1:12" x14ac:dyDescent="0.2">
      <c r="A184" s="403"/>
      <c r="B184" s="403"/>
      <c r="C184" s="403"/>
      <c r="D184" s="403"/>
      <c r="E184" s="403"/>
      <c r="F184" s="403"/>
      <c r="G184" s="403"/>
      <c r="H184" s="403"/>
      <c r="I184" s="403"/>
      <c r="J184" s="403"/>
      <c r="K184" s="403"/>
      <c r="L184" s="403"/>
    </row>
    <row r="185" spans="1:12" x14ac:dyDescent="0.2">
      <c r="A185" s="403"/>
      <c r="B185" s="403"/>
      <c r="C185" s="403"/>
      <c r="D185" s="403"/>
      <c r="E185" s="403"/>
      <c r="F185" s="403"/>
      <c r="G185" s="403"/>
      <c r="H185" s="403"/>
      <c r="I185" s="403"/>
      <c r="J185" s="403"/>
      <c r="K185" s="403"/>
      <c r="L185" s="403"/>
    </row>
    <row r="186" spans="1:12" x14ac:dyDescent="0.2">
      <c r="A186" s="403"/>
      <c r="B186" s="403"/>
      <c r="C186" s="403"/>
      <c r="D186" s="403"/>
      <c r="E186" s="403"/>
      <c r="F186" s="403"/>
      <c r="G186" s="403"/>
      <c r="H186" s="403"/>
      <c r="I186" s="403"/>
      <c r="J186" s="403"/>
      <c r="K186" s="403"/>
      <c r="L186" s="403"/>
    </row>
    <row r="187" spans="1:12" x14ac:dyDescent="0.2">
      <c r="A187" s="403"/>
      <c r="B187" s="403"/>
      <c r="C187" s="403"/>
      <c r="D187" s="403"/>
      <c r="E187" s="403"/>
      <c r="F187" s="403"/>
      <c r="G187" s="403"/>
      <c r="H187" s="403"/>
      <c r="I187" s="403"/>
      <c r="J187" s="403"/>
      <c r="K187" s="403"/>
      <c r="L187" s="403"/>
    </row>
    <row r="188" spans="1:12" x14ac:dyDescent="0.2">
      <c r="A188" s="403"/>
      <c r="B188" s="403"/>
      <c r="C188" s="403"/>
      <c r="D188" s="403"/>
      <c r="E188" s="403"/>
      <c r="F188" s="403"/>
      <c r="G188" s="403"/>
      <c r="H188" s="403"/>
      <c r="I188" s="403"/>
      <c r="J188" s="403"/>
      <c r="K188" s="403"/>
      <c r="L188" s="403"/>
    </row>
    <row r="189" spans="1:12" x14ac:dyDescent="0.2">
      <c r="A189" s="403"/>
      <c r="B189" s="403"/>
      <c r="C189" s="403"/>
      <c r="D189" s="403"/>
      <c r="E189" s="403"/>
      <c r="F189" s="403"/>
      <c r="G189" s="403"/>
      <c r="H189" s="403"/>
      <c r="I189" s="403"/>
      <c r="J189" s="403"/>
      <c r="K189" s="403"/>
      <c r="L189" s="403"/>
    </row>
    <row r="190" spans="1:12" x14ac:dyDescent="0.2">
      <c r="A190" s="403"/>
      <c r="B190" s="403"/>
      <c r="C190" s="403"/>
      <c r="D190" s="403"/>
      <c r="E190" s="403"/>
      <c r="F190" s="403"/>
      <c r="G190" s="403"/>
      <c r="H190" s="403"/>
      <c r="I190" s="403"/>
      <c r="J190" s="403"/>
      <c r="K190" s="403"/>
      <c r="L190" s="403"/>
    </row>
    <row r="191" spans="1:12" x14ac:dyDescent="0.2">
      <c r="A191" s="403"/>
      <c r="B191" s="403"/>
      <c r="C191" s="403"/>
      <c r="D191" s="403"/>
      <c r="E191" s="403"/>
      <c r="F191" s="403"/>
      <c r="G191" s="403"/>
      <c r="H191" s="403"/>
      <c r="I191" s="403"/>
      <c r="J191" s="403"/>
      <c r="K191" s="403"/>
      <c r="L191" s="403"/>
    </row>
    <row r="192" spans="1:12" x14ac:dyDescent="0.2">
      <c r="A192" s="403"/>
      <c r="B192" s="403"/>
      <c r="C192" s="403"/>
      <c r="D192" s="403"/>
      <c r="E192" s="403"/>
      <c r="F192" s="403"/>
      <c r="G192" s="403"/>
      <c r="H192" s="403"/>
      <c r="I192" s="403"/>
      <c r="J192" s="403"/>
      <c r="K192" s="403"/>
      <c r="L192" s="403"/>
    </row>
    <row r="193" spans="1:12" x14ac:dyDescent="0.2">
      <c r="A193" s="403"/>
      <c r="B193" s="403"/>
      <c r="C193" s="403"/>
      <c r="D193" s="403"/>
      <c r="E193" s="403"/>
      <c r="F193" s="403"/>
      <c r="G193" s="403"/>
      <c r="H193" s="403"/>
      <c r="I193" s="403"/>
      <c r="J193" s="403"/>
      <c r="K193" s="403"/>
      <c r="L193" s="403"/>
    </row>
    <row r="194" spans="1:12" x14ac:dyDescent="0.2">
      <c r="A194" s="403"/>
      <c r="B194" s="403"/>
      <c r="C194" s="403"/>
      <c r="D194" s="403"/>
      <c r="E194" s="403"/>
      <c r="F194" s="403"/>
      <c r="G194" s="403"/>
      <c r="H194" s="403"/>
      <c r="I194" s="403"/>
      <c r="J194" s="403"/>
      <c r="K194" s="403"/>
      <c r="L194" s="403"/>
    </row>
    <row r="195" spans="1:12" x14ac:dyDescent="0.2">
      <c r="A195" s="403"/>
      <c r="B195" s="403"/>
      <c r="C195" s="403"/>
      <c r="D195" s="403"/>
      <c r="E195" s="403"/>
      <c r="F195" s="403"/>
      <c r="G195" s="403"/>
      <c r="H195" s="403"/>
      <c r="I195" s="403"/>
      <c r="J195" s="403"/>
      <c r="K195" s="403"/>
      <c r="L195" s="403"/>
    </row>
    <row r="196" spans="1:12" x14ac:dyDescent="0.2">
      <c r="A196" s="403"/>
      <c r="B196" s="403"/>
      <c r="C196" s="403"/>
      <c r="D196" s="403"/>
      <c r="E196" s="403"/>
      <c r="F196" s="403"/>
      <c r="G196" s="403"/>
      <c r="H196" s="403"/>
      <c r="I196" s="403"/>
      <c r="J196" s="403"/>
      <c r="K196" s="403"/>
      <c r="L196" s="403"/>
    </row>
    <row r="197" spans="1:12" x14ac:dyDescent="0.2">
      <c r="A197" s="403"/>
      <c r="B197" s="403"/>
      <c r="C197" s="403"/>
      <c r="D197" s="403"/>
      <c r="E197" s="403"/>
      <c r="F197" s="403"/>
      <c r="G197" s="403"/>
      <c r="H197" s="403"/>
      <c r="I197" s="403"/>
      <c r="J197" s="403"/>
      <c r="K197" s="403"/>
      <c r="L197" s="403"/>
    </row>
    <row r="198" spans="1:12" x14ac:dyDescent="0.2">
      <c r="A198" s="403"/>
      <c r="B198" s="403"/>
      <c r="C198" s="403"/>
      <c r="D198" s="403"/>
      <c r="E198" s="403"/>
      <c r="F198" s="403"/>
      <c r="G198" s="403"/>
      <c r="H198" s="403"/>
      <c r="I198" s="403"/>
      <c r="J198" s="403"/>
      <c r="K198" s="403"/>
      <c r="L198" s="403"/>
    </row>
    <row r="199" spans="1:12" x14ac:dyDescent="0.2">
      <c r="A199" s="403"/>
      <c r="B199" s="403"/>
      <c r="C199" s="403"/>
      <c r="D199" s="403"/>
      <c r="E199" s="403"/>
      <c r="F199" s="403"/>
      <c r="G199" s="403"/>
      <c r="H199" s="403"/>
      <c r="I199" s="403"/>
      <c r="J199" s="403"/>
      <c r="K199" s="403"/>
      <c r="L199" s="403"/>
    </row>
    <row r="200" spans="1:12" x14ac:dyDescent="0.2">
      <c r="A200" s="403"/>
      <c r="B200" s="403"/>
      <c r="C200" s="403"/>
      <c r="D200" s="403"/>
      <c r="E200" s="403"/>
      <c r="F200" s="403"/>
      <c r="G200" s="403"/>
      <c r="H200" s="403"/>
      <c r="I200" s="403"/>
      <c r="J200" s="403"/>
      <c r="K200" s="403"/>
      <c r="L200" s="403"/>
    </row>
    <row r="201" spans="1:12" x14ac:dyDescent="0.2">
      <c r="A201" s="403"/>
      <c r="B201" s="403"/>
      <c r="C201" s="403"/>
      <c r="D201" s="403"/>
      <c r="E201" s="403"/>
      <c r="F201" s="403"/>
      <c r="G201" s="403"/>
      <c r="H201" s="403"/>
      <c r="I201" s="403"/>
      <c r="J201" s="403"/>
      <c r="K201" s="403"/>
      <c r="L201" s="403"/>
    </row>
    <row r="202" spans="1:12" x14ac:dyDescent="0.2">
      <c r="A202" s="403"/>
      <c r="B202" s="403"/>
      <c r="C202" s="403"/>
      <c r="D202" s="403"/>
      <c r="E202" s="403"/>
      <c r="F202" s="403"/>
      <c r="G202" s="403"/>
      <c r="H202" s="403"/>
      <c r="I202" s="403"/>
      <c r="J202" s="403"/>
      <c r="K202" s="403"/>
      <c r="L202" s="403"/>
    </row>
    <row r="203" spans="1:12" x14ac:dyDescent="0.2">
      <c r="A203" s="403"/>
      <c r="B203" s="403"/>
      <c r="C203" s="403"/>
      <c r="D203" s="403"/>
      <c r="E203" s="403"/>
      <c r="F203" s="403"/>
      <c r="G203" s="403"/>
      <c r="H203" s="403"/>
      <c r="I203" s="403"/>
      <c r="J203" s="403"/>
      <c r="K203" s="403"/>
      <c r="L203" s="403"/>
    </row>
    <row r="204" spans="1:12" x14ac:dyDescent="0.2">
      <c r="A204" s="403"/>
      <c r="B204" s="403"/>
      <c r="C204" s="403"/>
      <c r="D204" s="403"/>
      <c r="E204" s="403"/>
      <c r="F204" s="403"/>
      <c r="G204" s="403"/>
      <c r="H204" s="403"/>
      <c r="I204" s="403"/>
      <c r="J204" s="403"/>
      <c r="K204" s="403"/>
      <c r="L204" s="403"/>
    </row>
    <row r="205" spans="1:12" x14ac:dyDescent="0.2">
      <c r="A205" s="403"/>
      <c r="B205" s="403"/>
      <c r="C205" s="403"/>
      <c r="D205" s="403"/>
      <c r="E205" s="403"/>
      <c r="F205" s="403"/>
      <c r="G205" s="403"/>
      <c r="H205" s="403"/>
      <c r="I205" s="403"/>
      <c r="J205" s="403"/>
      <c r="K205" s="403"/>
      <c r="L205" s="403"/>
    </row>
    <row r="206" spans="1:12" x14ac:dyDescent="0.2">
      <c r="A206" s="403"/>
      <c r="B206" s="403"/>
      <c r="C206" s="403"/>
      <c r="D206" s="403"/>
      <c r="E206" s="403"/>
      <c r="F206" s="403"/>
      <c r="G206" s="403"/>
      <c r="H206" s="403"/>
      <c r="I206" s="403"/>
      <c r="J206" s="403"/>
      <c r="K206" s="403"/>
      <c r="L206" s="403"/>
    </row>
    <row r="207" spans="1:12" x14ac:dyDescent="0.2">
      <c r="A207" s="403"/>
      <c r="B207" s="403"/>
      <c r="C207" s="403"/>
      <c r="D207" s="403"/>
      <c r="E207" s="403"/>
      <c r="F207" s="403"/>
      <c r="G207" s="403"/>
      <c r="H207" s="403"/>
      <c r="I207" s="403"/>
      <c r="J207" s="403"/>
      <c r="K207" s="403"/>
      <c r="L207" s="403"/>
    </row>
    <row r="208" spans="1:12" x14ac:dyDescent="0.2">
      <c r="A208" s="403"/>
      <c r="B208" s="403"/>
      <c r="C208" s="403"/>
      <c r="D208" s="403"/>
      <c r="E208" s="403"/>
      <c r="F208" s="403"/>
      <c r="G208" s="403"/>
      <c r="H208" s="403"/>
      <c r="I208" s="403"/>
      <c r="J208" s="403"/>
      <c r="K208" s="403"/>
      <c r="L208" s="403"/>
    </row>
    <row r="209" spans="1:12" x14ac:dyDescent="0.2">
      <c r="A209" s="403"/>
      <c r="B209" s="403"/>
      <c r="C209" s="403"/>
      <c r="D209" s="403"/>
      <c r="E209" s="403"/>
      <c r="F209" s="403"/>
      <c r="G209" s="403"/>
      <c r="H209" s="403"/>
      <c r="I209" s="403"/>
      <c r="J209" s="403"/>
      <c r="K209" s="403"/>
      <c r="L209" s="403"/>
    </row>
    <row r="210" spans="1:12" x14ac:dyDescent="0.2">
      <c r="A210" s="403"/>
      <c r="B210" s="403"/>
      <c r="C210" s="403"/>
      <c r="D210" s="403"/>
      <c r="E210" s="403"/>
      <c r="F210" s="403"/>
      <c r="G210" s="403"/>
      <c r="H210" s="403"/>
      <c r="I210" s="403"/>
      <c r="J210" s="403"/>
      <c r="K210" s="403"/>
      <c r="L210" s="403"/>
    </row>
    <row r="211" spans="1:12" x14ac:dyDescent="0.2">
      <c r="A211" s="403"/>
      <c r="B211" s="403"/>
      <c r="C211" s="403"/>
      <c r="D211" s="403"/>
      <c r="E211" s="403"/>
      <c r="F211" s="403"/>
      <c r="G211" s="403"/>
      <c r="H211" s="403"/>
      <c r="I211" s="403"/>
      <c r="J211" s="403"/>
      <c r="K211" s="403"/>
      <c r="L211" s="403"/>
    </row>
    <row r="212" spans="1:12" x14ac:dyDescent="0.2">
      <c r="A212" s="403"/>
      <c r="B212" s="403"/>
      <c r="C212" s="403"/>
      <c r="D212" s="403"/>
      <c r="E212" s="403"/>
      <c r="F212" s="403"/>
      <c r="G212" s="403"/>
      <c r="H212" s="403"/>
      <c r="I212" s="403"/>
      <c r="J212" s="403"/>
      <c r="K212" s="403"/>
      <c r="L212" s="403"/>
    </row>
    <row r="213" spans="1:12" x14ac:dyDescent="0.2">
      <c r="A213" s="403"/>
      <c r="B213" s="403"/>
      <c r="C213" s="403"/>
      <c r="D213" s="403"/>
      <c r="E213" s="403"/>
      <c r="F213" s="403"/>
      <c r="G213" s="403"/>
      <c r="H213" s="403"/>
      <c r="I213" s="403"/>
      <c r="J213" s="403"/>
      <c r="K213" s="403"/>
      <c r="L213" s="403"/>
    </row>
    <row r="214" spans="1:12" x14ac:dyDescent="0.2">
      <c r="A214" s="403"/>
      <c r="B214" s="403"/>
      <c r="C214" s="403"/>
      <c r="D214" s="403"/>
      <c r="E214" s="403"/>
      <c r="F214" s="403"/>
      <c r="G214" s="403"/>
      <c r="H214" s="403"/>
      <c r="I214" s="403"/>
      <c r="J214" s="403"/>
      <c r="K214" s="403"/>
      <c r="L214" s="403"/>
    </row>
    <row r="215" spans="1:12" x14ac:dyDescent="0.2">
      <c r="A215" s="403"/>
      <c r="B215" s="403"/>
      <c r="C215" s="403"/>
      <c r="D215" s="403"/>
      <c r="E215" s="403"/>
      <c r="F215" s="403"/>
      <c r="G215" s="403"/>
      <c r="H215" s="403"/>
      <c r="I215" s="403"/>
      <c r="J215" s="403"/>
      <c r="K215" s="403"/>
      <c r="L215" s="403"/>
    </row>
    <row r="216" spans="1:12" x14ac:dyDescent="0.2">
      <c r="A216" s="403"/>
      <c r="B216" s="403"/>
      <c r="C216" s="403"/>
      <c r="D216" s="403"/>
      <c r="E216" s="403"/>
      <c r="F216" s="403"/>
      <c r="G216" s="403"/>
      <c r="H216" s="403"/>
      <c r="I216" s="403"/>
      <c r="J216" s="403"/>
      <c r="K216" s="403"/>
      <c r="L216" s="403"/>
    </row>
    <row r="217" spans="1:12" x14ac:dyDescent="0.2">
      <c r="A217" s="403"/>
      <c r="B217" s="403"/>
      <c r="C217" s="403"/>
      <c r="D217" s="403"/>
      <c r="E217" s="403"/>
      <c r="F217" s="403"/>
      <c r="G217" s="403"/>
      <c r="H217" s="403"/>
      <c r="I217" s="403"/>
      <c r="J217" s="403"/>
      <c r="K217" s="403"/>
      <c r="L217" s="403"/>
    </row>
    <row r="218" spans="1:12" x14ac:dyDescent="0.2">
      <c r="A218" s="403"/>
      <c r="B218" s="403"/>
      <c r="C218" s="403"/>
      <c r="D218" s="403"/>
      <c r="E218" s="403"/>
      <c r="F218" s="403"/>
      <c r="G218" s="403"/>
      <c r="H218" s="403"/>
      <c r="I218" s="403"/>
      <c r="J218" s="403"/>
      <c r="K218" s="403"/>
      <c r="L218" s="403"/>
    </row>
    <row r="219" spans="1:12" x14ac:dyDescent="0.2">
      <c r="A219" s="403"/>
      <c r="B219" s="403"/>
      <c r="C219" s="403"/>
      <c r="D219" s="403"/>
      <c r="E219" s="403"/>
      <c r="F219" s="403"/>
      <c r="G219" s="403"/>
      <c r="H219" s="403"/>
      <c r="I219" s="403"/>
      <c r="J219" s="403"/>
      <c r="K219" s="403"/>
      <c r="L219" s="403"/>
    </row>
    <row r="220" spans="1:12" x14ac:dyDescent="0.2">
      <c r="A220" s="403"/>
      <c r="B220" s="403"/>
      <c r="C220" s="403"/>
      <c r="D220" s="403"/>
      <c r="E220" s="403"/>
      <c r="F220" s="403"/>
      <c r="G220" s="403"/>
      <c r="H220" s="403"/>
      <c r="I220" s="403"/>
      <c r="J220" s="403"/>
      <c r="K220" s="403"/>
      <c r="L220" s="403"/>
    </row>
    <row r="221" spans="1:12" x14ac:dyDescent="0.2">
      <c r="A221" s="403"/>
      <c r="B221" s="403"/>
      <c r="C221" s="403"/>
      <c r="D221" s="403"/>
      <c r="E221" s="403"/>
      <c r="F221" s="403"/>
      <c r="G221" s="403"/>
      <c r="H221" s="403"/>
      <c r="I221" s="403"/>
      <c r="J221" s="403"/>
      <c r="K221" s="403"/>
      <c r="L221" s="403"/>
    </row>
    <row r="222" spans="1:12" x14ac:dyDescent="0.2">
      <c r="A222" s="403"/>
      <c r="B222" s="403"/>
      <c r="C222" s="403"/>
      <c r="D222" s="403"/>
      <c r="E222" s="403"/>
      <c r="F222" s="403"/>
      <c r="G222" s="403"/>
      <c r="H222" s="403"/>
      <c r="I222" s="403"/>
      <c r="J222" s="403"/>
      <c r="K222" s="403"/>
      <c r="L222" s="403"/>
    </row>
    <row r="223" spans="1:12" x14ac:dyDescent="0.2">
      <c r="A223" s="403"/>
      <c r="B223" s="403"/>
      <c r="C223" s="403"/>
      <c r="D223" s="403"/>
      <c r="E223" s="403"/>
      <c r="F223" s="403"/>
      <c r="G223" s="403"/>
      <c r="H223" s="403"/>
      <c r="I223" s="403"/>
      <c r="J223" s="403"/>
      <c r="K223" s="403"/>
      <c r="L223" s="403"/>
    </row>
    <row r="224" spans="1:12" x14ac:dyDescent="0.2">
      <c r="A224" s="403"/>
      <c r="B224" s="403"/>
      <c r="C224" s="403"/>
      <c r="D224" s="403"/>
      <c r="E224" s="403"/>
      <c r="F224" s="403"/>
      <c r="G224" s="403"/>
      <c r="H224" s="403"/>
      <c r="I224" s="403"/>
      <c r="J224" s="403"/>
      <c r="K224" s="403"/>
      <c r="L224" s="403"/>
    </row>
    <row r="225" spans="1:12" x14ac:dyDescent="0.2">
      <c r="A225" s="403"/>
      <c r="B225" s="403"/>
      <c r="C225" s="403"/>
      <c r="D225" s="403"/>
      <c r="E225" s="403"/>
      <c r="F225" s="403"/>
      <c r="G225" s="403"/>
      <c r="H225" s="403"/>
      <c r="I225" s="403"/>
      <c r="J225" s="403"/>
      <c r="K225" s="403"/>
      <c r="L225" s="403"/>
    </row>
    <row r="226" spans="1:12" x14ac:dyDescent="0.2">
      <c r="A226" s="403"/>
      <c r="B226" s="403"/>
      <c r="C226" s="403"/>
      <c r="D226" s="403"/>
      <c r="E226" s="403"/>
      <c r="F226" s="403"/>
      <c r="G226" s="403"/>
      <c r="H226" s="403"/>
      <c r="I226" s="403"/>
      <c r="J226" s="403"/>
      <c r="K226" s="403"/>
      <c r="L226" s="403"/>
    </row>
    <row r="227" spans="1:12" x14ac:dyDescent="0.2">
      <c r="A227" s="403"/>
      <c r="B227" s="403"/>
      <c r="C227" s="403"/>
      <c r="D227" s="403"/>
      <c r="E227" s="403"/>
      <c r="F227" s="403"/>
      <c r="G227" s="403"/>
      <c r="H227" s="403"/>
      <c r="I227" s="403"/>
      <c r="J227" s="403"/>
      <c r="K227" s="403"/>
      <c r="L227" s="403"/>
    </row>
    <row r="228" spans="1:12" x14ac:dyDescent="0.2">
      <c r="A228" s="403"/>
      <c r="B228" s="403"/>
      <c r="C228" s="403"/>
      <c r="D228" s="403"/>
      <c r="E228" s="403"/>
      <c r="F228" s="403"/>
      <c r="G228" s="403"/>
      <c r="H228" s="403"/>
      <c r="I228" s="403"/>
      <c r="J228" s="403"/>
      <c r="K228" s="403"/>
      <c r="L228" s="403"/>
    </row>
    <row r="229" spans="1:12" x14ac:dyDescent="0.2">
      <c r="A229" s="403"/>
      <c r="B229" s="403"/>
      <c r="C229" s="403"/>
      <c r="D229" s="403"/>
      <c r="E229" s="403"/>
      <c r="F229" s="403"/>
      <c r="G229" s="403"/>
      <c r="H229" s="403"/>
      <c r="I229" s="403"/>
      <c r="J229" s="403"/>
      <c r="K229" s="403"/>
      <c r="L229" s="403"/>
    </row>
    <row r="230" spans="1:12" x14ac:dyDescent="0.2">
      <c r="A230" s="403"/>
      <c r="B230" s="403"/>
      <c r="C230" s="403"/>
      <c r="D230" s="403"/>
      <c r="E230" s="403"/>
      <c r="F230" s="403"/>
      <c r="G230" s="403"/>
      <c r="H230" s="403"/>
      <c r="I230" s="403"/>
      <c r="J230" s="403"/>
      <c r="K230" s="403"/>
      <c r="L230" s="403"/>
    </row>
    <row r="231" spans="1:12" x14ac:dyDescent="0.2">
      <c r="A231" s="403"/>
      <c r="B231" s="403"/>
      <c r="C231" s="403"/>
      <c r="D231" s="403"/>
      <c r="E231" s="403"/>
      <c r="F231" s="403"/>
      <c r="G231" s="403"/>
      <c r="H231" s="403"/>
      <c r="I231" s="403"/>
      <c r="J231" s="403"/>
      <c r="K231" s="403"/>
      <c r="L231" s="403"/>
    </row>
    <row r="232" spans="1:12" x14ac:dyDescent="0.2">
      <c r="A232" s="403"/>
      <c r="B232" s="403"/>
      <c r="C232" s="403"/>
      <c r="D232" s="403"/>
      <c r="E232" s="403"/>
      <c r="F232" s="403"/>
      <c r="G232" s="403"/>
      <c r="H232" s="403"/>
      <c r="I232" s="403"/>
      <c r="J232" s="403"/>
      <c r="K232" s="403"/>
      <c r="L232" s="403"/>
    </row>
    <row r="233" spans="1:12" x14ac:dyDescent="0.2">
      <c r="A233" s="403"/>
      <c r="B233" s="403"/>
      <c r="C233" s="403"/>
      <c r="D233" s="403"/>
      <c r="E233" s="403"/>
      <c r="F233" s="403"/>
      <c r="G233" s="403"/>
      <c r="H233" s="403"/>
      <c r="I233" s="403"/>
      <c r="J233" s="403"/>
      <c r="K233" s="403"/>
      <c r="L233" s="403"/>
    </row>
    <row r="234" spans="1:12" x14ac:dyDescent="0.2">
      <c r="A234" s="403"/>
      <c r="B234" s="403"/>
      <c r="C234" s="403"/>
      <c r="D234" s="403"/>
      <c r="E234" s="403"/>
      <c r="F234" s="403"/>
      <c r="G234" s="403"/>
      <c r="H234" s="403"/>
      <c r="I234" s="403"/>
      <c r="J234" s="403"/>
      <c r="K234" s="403"/>
      <c r="L234" s="403"/>
    </row>
    <row r="235" spans="1:12" x14ac:dyDescent="0.2">
      <c r="A235" s="403"/>
      <c r="B235" s="403"/>
      <c r="C235" s="403"/>
      <c r="D235" s="403"/>
      <c r="E235" s="403"/>
      <c r="F235" s="403"/>
      <c r="G235" s="403"/>
      <c r="H235" s="403"/>
      <c r="I235" s="403"/>
      <c r="J235" s="403"/>
      <c r="K235" s="403"/>
      <c r="L235" s="403"/>
    </row>
    <row r="236" spans="1:12" x14ac:dyDescent="0.2">
      <c r="A236" s="403"/>
      <c r="B236" s="403"/>
      <c r="C236" s="403"/>
      <c r="D236" s="403"/>
      <c r="E236" s="403"/>
      <c r="F236" s="403"/>
      <c r="G236" s="403"/>
      <c r="H236" s="403"/>
      <c r="I236" s="403"/>
      <c r="J236" s="403"/>
      <c r="K236" s="403"/>
      <c r="L236" s="403"/>
    </row>
    <row r="237" spans="1:12" x14ac:dyDescent="0.2">
      <c r="A237" s="403"/>
      <c r="B237" s="403"/>
      <c r="C237" s="403"/>
      <c r="D237" s="403"/>
      <c r="E237" s="403"/>
      <c r="F237" s="403"/>
      <c r="G237" s="403"/>
      <c r="H237" s="403"/>
      <c r="I237" s="403"/>
      <c r="J237" s="403"/>
      <c r="K237" s="403"/>
      <c r="L237" s="403"/>
    </row>
    <row r="238" spans="1:12" x14ac:dyDescent="0.2">
      <c r="A238" s="403"/>
      <c r="B238" s="403"/>
      <c r="C238" s="403"/>
      <c r="D238" s="403"/>
      <c r="E238" s="403"/>
      <c r="F238" s="403"/>
      <c r="G238" s="403"/>
      <c r="H238" s="403"/>
      <c r="I238" s="403"/>
      <c r="J238" s="403"/>
      <c r="K238" s="403"/>
      <c r="L238" s="403"/>
    </row>
    <row r="239" spans="1:12" x14ac:dyDescent="0.2">
      <c r="A239" s="403"/>
      <c r="B239" s="403"/>
      <c r="C239" s="403"/>
      <c r="D239" s="403"/>
      <c r="E239" s="403"/>
      <c r="F239" s="403"/>
      <c r="G239" s="403"/>
      <c r="H239" s="403"/>
      <c r="I239" s="403"/>
      <c r="J239" s="403"/>
      <c r="K239" s="403"/>
      <c r="L239" s="403"/>
    </row>
    <row r="240" spans="1:12" x14ac:dyDescent="0.2">
      <c r="A240" s="403"/>
      <c r="B240" s="403"/>
      <c r="C240" s="403"/>
      <c r="D240" s="403"/>
      <c r="E240" s="403"/>
      <c r="F240" s="403"/>
      <c r="G240" s="403"/>
      <c r="H240" s="403"/>
      <c r="I240" s="403"/>
      <c r="J240" s="403"/>
      <c r="K240" s="403"/>
      <c r="L240" s="403"/>
    </row>
    <row r="241" spans="1:12" x14ac:dyDescent="0.2">
      <c r="A241" s="403"/>
      <c r="B241" s="403"/>
      <c r="C241" s="403"/>
      <c r="D241" s="403"/>
      <c r="E241" s="403"/>
      <c r="F241" s="403"/>
      <c r="G241" s="403"/>
      <c r="H241" s="403"/>
      <c r="I241" s="403"/>
      <c r="J241" s="403"/>
      <c r="K241" s="403"/>
      <c r="L241" s="403"/>
    </row>
    <row r="242" spans="1:12" x14ac:dyDescent="0.2">
      <c r="A242" s="403"/>
      <c r="B242" s="403"/>
      <c r="C242" s="403"/>
      <c r="D242" s="403"/>
      <c r="E242" s="403"/>
      <c r="F242" s="403"/>
      <c r="G242" s="403"/>
      <c r="H242" s="403"/>
      <c r="I242" s="403"/>
      <c r="J242" s="403"/>
      <c r="K242" s="403"/>
      <c r="L242" s="403"/>
    </row>
    <row r="243" spans="1:12" x14ac:dyDescent="0.2">
      <c r="A243" s="403"/>
      <c r="B243" s="403"/>
      <c r="C243" s="403"/>
      <c r="D243" s="403"/>
      <c r="E243" s="403"/>
      <c r="F243" s="403"/>
      <c r="G243" s="403"/>
      <c r="H243" s="403"/>
      <c r="I243" s="403"/>
      <c r="J243" s="403"/>
      <c r="K243" s="403"/>
      <c r="L243" s="403"/>
    </row>
    <row r="244" spans="1:12" x14ac:dyDescent="0.2">
      <c r="A244" s="403"/>
      <c r="B244" s="403"/>
      <c r="C244" s="403"/>
      <c r="D244" s="403"/>
      <c r="E244" s="403"/>
      <c r="F244" s="403"/>
      <c r="G244" s="403"/>
      <c r="H244" s="403"/>
      <c r="I244" s="403"/>
      <c r="J244" s="403"/>
      <c r="K244" s="403"/>
      <c r="L244" s="403"/>
    </row>
    <row r="245" spans="1:12" x14ac:dyDescent="0.2">
      <c r="A245" s="403"/>
      <c r="B245" s="403"/>
      <c r="C245" s="403"/>
      <c r="D245" s="403"/>
      <c r="E245" s="403"/>
      <c r="F245" s="403"/>
      <c r="G245" s="403"/>
      <c r="H245" s="403"/>
      <c r="I245" s="403"/>
      <c r="J245" s="403"/>
      <c r="K245" s="403"/>
      <c r="L245" s="403"/>
    </row>
    <row r="246" spans="1:12" x14ac:dyDescent="0.2">
      <c r="A246" s="403"/>
      <c r="B246" s="403"/>
      <c r="C246" s="403"/>
      <c r="D246" s="403"/>
      <c r="E246" s="403"/>
      <c r="F246" s="403"/>
      <c r="G246" s="403"/>
      <c r="H246" s="403"/>
      <c r="I246" s="403"/>
      <c r="J246" s="403"/>
      <c r="K246" s="403"/>
      <c r="L246" s="403"/>
    </row>
    <row r="247" spans="1:12" x14ac:dyDescent="0.2">
      <c r="A247" s="403"/>
      <c r="B247" s="403"/>
      <c r="C247" s="403"/>
      <c r="D247" s="403"/>
      <c r="E247" s="403"/>
      <c r="F247" s="403"/>
      <c r="G247" s="403"/>
      <c r="H247" s="403"/>
      <c r="I247" s="403"/>
      <c r="J247" s="403"/>
      <c r="K247" s="403"/>
      <c r="L247" s="403"/>
    </row>
    <row r="248" spans="1:12" x14ac:dyDescent="0.2">
      <c r="A248" s="403"/>
      <c r="B248" s="403"/>
      <c r="C248" s="403"/>
      <c r="D248" s="403"/>
      <c r="E248" s="403"/>
      <c r="F248" s="403"/>
      <c r="G248" s="403"/>
      <c r="H248" s="403"/>
      <c r="I248" s="403"/>
      <c r="J248" s="403"/>
      <c r="K248" s="403"/>
      <c r="L248" s="403"/>
    </row>
    <row r="249" spans="1:12" x14ac:dyDescent="0.2">
      <c r="A249" s="403"/>
      <c r="B249" s="403"/>
      <c r="C249" s="403"/>
      <c r="D249" s="403"/>
      <c r="E249" s="403"/>
      <c r="F249" s="403"/>
      <c r="G249" s="403"/>
      <c r="H249" s="403"/>
      <c r="I249" s="403"/>
      <c r="J249" s="403"/>
      <c r="K249" s="403"/>
      <c r="L249" s="403"/>
    </row>
    <row r="250" spans="1:12" x14ac:dyDescent="0.2">
      <c r="A250" s="403"/>
      <c r="B250" s="403"/>
      <c r="C250" s="403"/>
      <c r="D250" s="403"/>
      <c r="E250" s="403"/>
      <c r="F250" s="403"/>
      <c r="G250" s="403"/>
      <c r="H250" s="403"/>
      <c r="I250" s="403"/>
      <c r="J250" s="403"/>
      <c r="K250" s="403"/>
      <c r="L250" s="403"/>
    </row>
    <row r="251" spans="1:12" x14ac:dyDescent="0.2">
      <c r="A251" s="403"/>
      <c r="B251" s="403"/>
      <c r="C251" s="403"/>
      <c r="D251" s="403"/>
      <c r="E251" s="403"/>
      <c r="F251" s="403"/>
      <c r="G251" s="403"/>
      <c r="H251" s="403"/>
      <c r="I251" s="403"/>
      <c r="J251" s="403"/>
      <c r="K251" s="403"/>
      <c r="L251" s="403"/>
    </row>
    <row r="252" spans="1:12" x14ac:dyDescent="0.2">
      <c r="A252" s="403"/>
      <c r="B252" s="403"/>
      <c r="C252" s="403"/>
      <c r="D252" s="403"/>
      <c r="E252" s="403"/>
      <c r="F252" s="403"/>
      <c r="G252" s="403"/>
      <c r="H252" s="403"/>
      <c r="I252" s="403"/>
      <c r="J252" s="403"/>
      <c r="K252" s="403"/>
      <c r="L252" s="403"/>
    </row>
    <row r="253" spans="1:12" x14ac:dyDescent="0.2">
      <c r="A253" s="403"/>
      <c r="B253" s="403"/>
      <c r="C253" s="403"/>
      <c r="D253" s="403"/>
      <c r="E253" s="403"/>
      <c r="F253" s="403"/>
      <c r="G253" s="403"/>
      <c r="H253" s="403"/>
      <c r="I253" s="403"/>
      <c r="J253" s="403"/>
      <c r="K253" s="403"/>
      <c r="L253" s="403"/>
    </row>
    <row r="254" spans="1:12" x14ac:dyDescent="0.2">
      <c r="A254" s="403"/>
      <c r="B254" s="403"/>
      <c r="C254" s="403"/>
      <c r="D254" s="403"/>
      <c r="E254" s="403"/>
      <c r="F254" s="403"/>
      <c r="G254" s="403"/>
      <c r="H254" s="403"/>
      <c r="I254" s="403"/>
      <c r="J254" s="403"/>
      <c r="K254" s="403"/>
      <c r="L254" s="403"/>
    </row>
    <row r="255" spans="1:12" x14ac:dyDescent="0.2">
      <c r="A255" s="403"/>
      <c r="B255" s="403"/>
      <c r="C255" s="403"/>
      <c r="D255" s="403"/>
      <c r="E255" s="403"/>
      <c r="F255" s="403"/>
      <c r="G255" s="403"/>
      <c r="H255" s="403"/>
      <c r="I255" s="403"/>
      <c r="J255" s="403"/>
      <c r="K255" s="403"/>
      <c r="L255" s="403"/>
    </row>
    <row r="256" spans="1:12" x14ac:dyDescent="0.2">
      <c r="A256" s="403"/>
      <c r="B256" s="403"/>
      <c r="C256" s="403"/>
      <c r="D256" s="403"/>
      <c r="E256" s="403"/>
      <c r="F256" s="403"/>
      <c r="G256" s="403"/>
      <c r="H256" s="403"/>
      <c r="I256" s="403"/>
      <c r="J256" s="403"/>
      <c r="K256" s="403"/>
      <c r="L256" s="403"/>
    </row>
    <row r="257" spans="1:12" x14ac:dyDescent="0.2">
      <c r="A257" s="403"/>
      <c r="B257" s="403"/>
      <c r="C257" s="403"/>
      <c r="D257" s="403"/>
      <c r="E257" s="403"/>
      <c r="F257" s="403"/>
      <c r="G257" s="403"/>
      <c r="H257" s="403"/>
      <c r="I257" s="403"/>
      <c r="J257" s="403"/>
      <c r="K257" s="403"/>
      <c r="L257" s="403"/>
    </row>
    <row r="258" spans="1:12" x14ac:dyDescent="0.2">
      <c r="A258" s="403"/>
      <c r="B258" s="403"/>
      <c r="C258" s="403"/>
      <c r="D258" s="403"/>
      <c r="E258" s="403"/>
      <c r="F258" s="403"/>
      <c r="G258" s="403"/>
      <c r="H258" s="403"/>
      <c r="I258" s="403"/>
      <c r="J258" s="403"/>
      <c r="K258" s="403"/>
      <c r="L258" s="403"/>
    </row>
    <row r="259" spans="1:12" x14ac:dyDescent="0.2">
      <c r="A259" s="403"/>
      <c r="B259" s="403"/>
      <c r="C259" s="403"/>
      <c r="D259" s="403"/>
      <c r="E259" s="403"/>
      <c r="F259" s="403"/>
      <c r="G259" s="403"/>
      <c r="H259" s="403"/>
      <c r="I259" s="403"/>
      <c r="J259" s="403"/>
      <c r="K259" s="403"/>
      <c r="L259" s="403"/>
    </row>
    <row r="260" spans="1:12" x14ac:dyDescent="0.2">
      <c r="A260" s="403"/>
      <c r="B260" s="403"/>
      <c r="C260" s="403"/>
      <c r="D260" s="403"/>
      <c r="E260" s="403"/>
      <c r="F260" s="403"/>
      <c r="G260" s="403"/>
      <c r="H260" s="403"/>
      <c r="I260" s="403"/>
      <c r="J260" s="403"/>
      <c r="K260" s="403"/>
      <c r="L260" s="403"/>
    </row>
    <row r="261" spans="1:12" x14ac:dyDescent="0.2">
      <c r="A261" s="403"/>
      <c r="B261" s="403"/>
      <c r="C261" s="403"/>
      <c r="D261" s="403"/>
      <c r="E261" s="403"/>
      <c r="F261" s="403"/>
      <c r="G261" s="403"/>
      <c r="H261" s="403"/>
      <c r="I261" s="403"/>
      <c r="J261" s="403"/>
      <c r="K261" s="403"/>
      <c r="L261" s="403"/>
    </row>
    <row r="262" spans="1:12" x14ac:dyDescent="0.2">
      <c r="A262" s="403"/>
      <c r="B262" s="403"/>
      <c r="C262" s="403"/>
      <c r="D262" s="403"/>
      <c r="E262" s="403"/>
      <c r="F262" s="403"/>
      <c r="G262" s="403"/>
      <c r="H262" s="403"/>
      <c r="I262" s="403"/>
      <c r="J262" s="403"/>
      <c r="K262" s="403"/>
      <c r="L262" s="403"/>
    </row>
    <row r="263" spans="1:12" x14ac:dyDescent="0.2">
      <c r="A263" s="403"/>
      <c r="B263" s="403"/>
      <c r="C263" s="403"/>
      <c r="D263" s="403"/>
      <c r="E263" s="403"/>
      <c r="F263" s="403"/>
      <c r="G263" s="403"/>
      <c r="H263" s="403"/>
      <c r="I263" s="403"/>
      <c r="J263" s="403"/>
      <c r="K263" s="403"/>
      <c r="L263" s="403"/>
    </row>
    <row r="264" spans="1:12" x14ac:dyDescent="0.2">
      <c r="A264" s="403"/>
      <c r="B264" s="403"/>
      <c r="C264" s="403"/>
      <c r="D264" s="403"/>
      <c r="E264" s="403"/>
      <c r="F264" s="403"/>
      <c r="G264" s="403"/>
      <c r="H264" s="403"/>
      <c r="I264" s="403"/>
      <c r="J264" s="403"/>
      <c r="K264" s="403"/>
      <c r="L264" s="403"/>
    </row>
    <row r="265" spans="1:12" x14ac:dyDescent="0.2">
      <c r="A265" s="403"/>
      <c r="B265" s="403"/>
      <c r="C265" s="403"/>
      <c r="D265" s="403"/>
      <c r="E265" s="403"/>
      <c r="F265" s="403"/>
      <c r="G265" s="403"/>
      <c r="H265" s="403"/>
      <c r="I265" s="403"/>
      <c r="J265" s="403"/>
      <c r="K265" s="403"/>
      <c r="L265" s="403"/>
    </row>
    <row r="266" spans="1:12" x14ac:dyDescent="0.2">
      <c r="A266" s="403"/>
      <c r="B266" s="403"/>
      <c r="C266" s="403"/>
      <c r="D266" s="403"/>
      <c r="E266" s="403"/>
      <c r="F266" s="403"/>
      <c r="G266" s="403"/>
      <c r="H266" s="403"/>
      <c r="I266" s="403"/>
      <c r="J266" s="403"/>
      <c r="K266" s="403"/>
      <c r="L266" s="403"/>
    </row>
    <row r="267" spans="1:12" x14ac:dyDescent="0.2">
      <c r="A267" s="403"/>
      <c r="B267" s="403"/>
      <c r="C267" s="403"/>
      <c r="D267" s="403"/>
      <c r="E267" s="403"/>
      <c r="F267" s="403"/>
      <c r="G267" s="403"/>
      <c r="H267" s="403"/>
      <c r="I267" s="403"/>
      <c r="J267" s="403"/>
      <c r="K267" s="403"/>
      <c r="L267" s="403"/>
    </row>
    <row r="268" spans="1:12" x14ac:dyDescent="0.2">
      <c r="A268" s="403"/>
      <c r="B268" s="403"/>
      <c r="C268" s="403"/>
      <c r="D268" s="403"/>
      <c r="E268" s="403"/>
      <c r="F268" s="403"/>
      <c r="G268" s="403"/>
      <c r="H268" s="403"/>
      <c r="I268" s="403"/>
      <c r="J268" s="403"/>
      <c r="K268" s="403"/>
      <c r="L268" s="403"/>
    </row>
    <row r="269" spans="1:12" x14ac:dyDescent="0.2">
      <c r="A269" s="403"/>
      <c r="B269" s="403"/>
      <c r="C269" s="403"/>
      <c r="D269" s="403"/>
      <c r="E269" s="403"/>
      <c r="F269" s="403"/>
      <c r="G269" s="403"/>
      <c r="H269" s="403"/>
      <c r="I269" s="403"/>
      <c r="J269" s="403"/>
      <c r="K269" s="403"/>
      <c r="L269" s="403"/>
    </row>
    <row r="270" spans="1:12" x14ac:dyDescent="0.2">
      <c r="A270" s="403"/>
      <c r="B270" s="403"/>
      <c r="C270" s="403"/>
      <c r="D270" s="403"/>
      <c r="E270" s="403"/>
      <c r="F270" s="403"/>
      <c r="G270" s="403"/>
      <c r="H270" s="403"/>
      <c r="I270" s="403"/>
      <c r="J270" s="403"/>
      <c r="K270" s="403"/>
      <c r="L270" s="403"/>
    </row>
    <row r="271" spans="1:12" x14ac:dyDescent="0.2">
      <c r="A271" s="403"/>
      <c r="B271" s="403"/>
      <c r="C271" s="403"/>
      <c r="D271" s="403"/>
      <c r="E271" s="403"/>
      <c r="F271" s="403"/>
      <c r="G271" s="403"/>
      <c r="H271" s="403"/>
      <c r="I271" s="403"/>
      <c r="J271" s="403"/>
      <c r="K271" s="403"/>
      <c r="L271" s="403"/>
    </row>
    <row r="272" spans="1:12" x14ac:dyDescent="0.2">
      <c r="A272" s="403"/>
      <c r="B272" s="403"/>
      <c r="C272" s="403"/>
      <c r="D272" s="403"/>
      <c r="E272" s="403"/>
      <c r="F272" s="403"/>
      <c r="G272" s="403"/>
      <c r="H272" s="403"/>
      <c r="I272" s="403"/>
      <c r="J272" s="403"/>
      <c r="K272" s="403"/>
      <c r="L272" s="403"/>
    </row>
    <row r="273" spans="1:12" x14ac:dyDescent="0.2">
      <c r="A273" s="403"/>
      <c r="B273" s="403"/>
      <c r="C273" s="403"/>
      <c r="D273" s="403"/>
      <c r="E273" s="403"/>
      <c r="F273" s="403"/>
      <c r="G273" s="403"/>
      <c r="H273" s="403"/>
      <c r="I273" s="403"/>
      <c r="J273" s="403"/>
      <c r="K273" s="403"/>
      <c r="L273" s="403"/>
    </row>
    <row r="274" spans="1:12" x14ac:dyDescent="0.2">
      <c r="A274" s="403"/>
      <c r="B274" s="403"/>
      <c r="C274" s="403"/>
      <c r="D274" s="403"/>
      <c r="E274" s="403"/>
      <c r="F274" s="403"/>
      <c r="G274" s="403"/>
      <c r="H274" s="403"/>
      <c r="I274" s="403"/>
      <c r="J274" s="403"/>
      <c r="K274" s="403"/>
      <c r="L274" s="403"/>
    </row>
    <row r="275" spans="1:12" x14ac:dyDescent="0.2">
      <c r="A275" s="403"/>
      <c r="B275" s="403"/>
      <c r="C275" s="403"/>
      <c r="D275" s="403"/>
      <c r="E275" s="403"/>
      <c r="F275" s="403"/>
      <c r="G275" s="403"/>
      <c r="H275" s="403"/>
      <c r="I275" s="403"/>
      <c r="J275" s="403"/>
      <c r="K275" s="403"/>
      <c r="L275" s="403"/>
    </row>
    <row r="276" spans="1:12" x14ac:dyDescent="0.2">
      <c r="A276" s="403"/>
      <c r="B276" s="403"/>
      <c r="C276" s="403"/>
      <c r="D276" s="403"/>
      <c r="E276" s="403"/>
      <c r="F276" s="403"/>
      <c r="G276" s="403"/>
      <c r="H276" s="403"/>
      <c r="I276" s="403"/>
      <c r="J276" s="403"/>
      <c r="K276" s="403"/>
      <c r="L276" s="403"/>
    </row>
    <row r="277" spans="1:12" x14ac:dyDescent="0.2">
      <c r="A277" s="403"/>
      <c r="B277" s="403"/>
      <c r="C277" s="403"/>
      <c r="D277" s="403"/>
      <c r="E277" s="403"/>
      <c r="F277" s="403"/>
      <c r="G277" s="403"/>
      <c r="H277" s="403"/>
      <c r="I277" s="403"/>
      <c r="J277" s="403"/>
      <c r="K277" s="403"/>
      <c r="L277" s="403"/>
    </row>
    <row r="278" spans="1:12" x14ac:dyDescent="0.2">
      <c r="A278" s="403"/>
      <c r="B278" s="403"/>
      <c r="C278" s="403"/>
      <c r="D278" s="403"/>
      <c r="E278" s="403"/>
      <c r="F278" s="403"/>
      <c r="G278" s="403"/>
      <c r="H278" s="403"/>
      <c r="I278" s="403"/>
      <c r="J278" s="403"/>
      <c r="K278" s="403"/>
      <c r="L278" s="403"/>
    </row>
    <row r="279" spans="1:12" x14ac:dyDescent="0.2">
      <c r="A279" s="403"/>
      <c r="B279" s="403"/>
      <c r="C279" s="403"/>
      <c r="D279" s="403"/>
      <c r="E279" s="403"/>
      <c r="F279" s="403"/>
      <c r="G279" s="403"/>
      <c r="H279" s="403"/>
      <c r="I279" s="403"/>
      <c r="J279" s="403"/>
      <c r="K279" s="403"/>
      <c r="L279" s="403"/>
    </row>
    <row r="280" spans="1:12" x14ac:dyDescent="0.2">
      <c r="A280" s="403"/>
      <c r="B280" s="403"/>
      <c r="C280" s="403"/>
      <c r="D280" s="403"/>
      <c r="E280" s="403"/>
      <c r="F280" s="403"/>
      <c r="G280" s="403"/>
      <c r="H280" s="403"/>
      <c r="I280" s="403"/>
      <c r="J280" s="403"/>
      <c r="K280" s="403"/>
      <c r="L280" s="403"/>
    </row>
    <row r="281" spans="1:12" x14ac:dyDescent="0.2">
      <c r="A281" s="403"/>
      <c r="B281" s="403"/>
      <c r="C281" s="403"/>
      <c r="D281" s="403"/>
      <c r="E281" s="403"/>
      <c r="F281" s="403"/>
      <c r="G281" s="403"/>
      <c r="H281" s="403"/>
      <c r="I281" s="403"/>
      <c r="J281" s="403"/>
      <c r="K281" s="403"/>
      <c r="L281" s="403"/>
    </row>
    <row r="282" spans="1:12" x14ac:dyDescent="0.2">
      <c r="A282" s="403"/>
      <c r="B282" s="403"/>
      <c r="C282" s="403"/>
      <c r="D282" s="403"/>
      <c r="E282" s="403"/>
      <c r="F282" s="403"/>
      <c r="G282" s="403"/>
      <c r="H282" s="403"/>
      <c r="I282" s="403"/>
      <c r="J282" s="403"/>
      <c r="K282" s="403"/>
      <c r="L282" s="403"/>
    </row>
    <row r="283" spans="1:12" x14ac:dyDescent="0.2">
      <c r="A283" s="403"/>
      <c r="B283" s="403"/>
      <c r="C283" s="403"/>
      <c r="D283" s="403"/>
      <c r="E283" s="403"/>
      <c r="F283" s="403"/>
      <c r="G283" s="403"/>
      <c r="H283" s="403"/>
      <c r="I283" s="403"/>
      <c r="J283" s="403"/>
      <c r="K283" s="403"/>
      <c r="L283" s="403"/>
    </row>
    <row r="284" spans="1:12" x14ac:dyDescent="0.2">
      <c r="A284" s="403"/>
      <c r="B284" s="403"/>
      <c r="C284" s="403"/>
      <c r="D284" s="403"/>
      <c r="E284" s="403"/>
      <c r="F284" s="403"/>
      <c r="G284" s="403"/>
      <c r="H284" s="403"/>
      <c r="I284" s="403"/>
      <c r="J284" s="403"/>
      <c r="K284" s="403"/>
      <c r="L284" s="403"/>
    </row>
    <row r="285" spans="1:12" x14ac:dyDescent="0.2">
      <c r="A285" s="403"/>
      <c r="B285" s="403"/>
      <c r="C285" s="403"/>
      <c r="D285" s="403"/>
      <c r="E285" s="403"/>
      <c r="F285" s="403"/>
      <c r="G285" s="403"/>
      <c r="H285" s="403"/>
      <c r="I285" s="403"/>
      <c r="J285" s="403"/>
      <c r="K285" s="403"/>
      <c r="L285" s="403"/>
    </row>
    <row r="286" spans="1:12" x14ac:dyDescent="0.2">
      <c r="A286" s="403"/>
      <c r="B286" s="403"/>
      <c r="C286" s="403"/>
      <c r="D286" s="403"/>
      <c r="E286" s="403"/>
      <c r="F286" s="403"/>
      <c r="G286" s="403"/>
      <c r="H286" s="403"/>
      <c r="I286" s="403"/>
      <c r="J286" s="403"/>
      <c r="K286" s="403"/>
      <c r="L286" s="403"/>
    </row>
    <row r="287" spans="1:12" x14ac:dyDescent="0.2">
      <c r="A287" s="403"/>
      <c r="B287" s="403"/>
      <c r="C287" s="403"/>
      <c r="D287" s="403"/>
      <c r="E287" s="403"/>
      <c r="F287" s="403"/>
      <c r="G287" s="403"/>
      <c r="H287" s="403"/>
      <c r="I287" s="403"/>
      <c r="J287" s="403"/>
      <c r="K287" s="403"/>
      <c r="L287" s="403"/>
    </row>
    <row r="288" spans="1:12" x14ac:dyDescent="0.2">
      <c r="A288" s="403"/>
      <c r="B288" s="403"/>
      <c r="C288" s="403"/>
      <c r="D288" s="403"/>
      <c r="E288" s="403"/>
      <c r="F288" s="403"/>
      <c r="G288" s="403"/>
      <c r="H288" s="403"/>
      <c r="I288" s="403"/>
      <c r="J288" s="403"/>
      <c r="K288" s="403"/>
      <c r="L288" s="403"/>
    </row>
    <row r="289" spans="1:12" x14ac:dyDescent="0.2">
      <c r="A289" s="403"/>
      <c r="B289" s="403"/>
      <c r="C289" s="403"/>
      <c r="D289" s="403"/>
      <c r="E289" s="403"/>
      <c r="F289" s="403"/>
      <c r="G289" s="403"/>
      <c r="H289" s="403"/>
      <c r="I289" s="403"/>
      <c r="J289" s="403"/>
      <c r="K289" s="403"/>
      <c r="L289" s="403"/>
    </row>
    <row r="290" spans="1:12" x14ac:dyDescent="0.2">
      <c r="A290" s="403"/>
      <c r="B290" s="403"/>
      <c r="C290" s="403"/>
      <c r="D290" s="403"/>
      <c r="E290" s="403"/>
      <c r="F290" s="403"/>
      <c r="G290" s="403"/>
      <c r="H290" s="403"/>
      <c r="I290" s="403"/>
      <c r="J290" s="403"/>
      <c r="K290" s="403"/>
      <c r="L290" s="403"/>
    </row>
    <row r="291" spans="1:12" x14ac:dyDescent="0.2">
      <c r="A291" s="403"/>
      <c r="B291" s="403"/>
      <c r="C291" s="403"/>
      <c r="D291" s="403"/>
      <c r="E291" s="403"/>
      <c r="F291" s="403"/>
      <c r="G291" s="403"/>
      <c r="H291" s="403"/>
      <c r="I291" s="403"/>
      <c r="J291" s="403"/>
      <c r="K291" s="403"/>
      <c r="L291" s="403"/>
    </row>
    <row r="292" spans="1:12" x14ac:dyDescent="0.2">
      <c r="A292" s="403"/>
      <c r="B292" s="403"/>
      <c r="C292" s="403"/>
      <c r="D292" s="403"/>
      <c r="E292" s="403"/>
      <c r="F292" s="403"/>
      <c r="G292" s="403"/>
      <c r="H292" s="403"/>
      <c r="I292" s="403"/>
      <c r="J292" s="403"/>
      <c r="K292" s="403"/>
      <c r="L292" s="403"/>
    </row>
    <row r="293" spans="1:12" x14ac:dyDescent="0.2">
      <c r="A293" s="403"/>
      <c r="B293" s="403"/>
      <c r="C293" s="403"/>
      <c r="D293" s="403"/>
      <c r="E293" s="403"/>
      <c r="F293" s="403"/>
      <c r="G293" s="403"/>
      <c r="H293" s="403"/>
      <c r="I293" s="403"/>
      <c r="J293" s="403"/>
      <c r="K293" s="403"/>
      <c r="L293" s="403"/>
    </row>
    <row r="294" spans="1:12" x14ac:dyDescent="0.2">
      <c r="A294" s="403"/>
      <c r="B294" s="403"/>
      <c r="C294" s="403"/>
      <c r="D294" s="403"/>
      <c r="E294" s="403"/>
      <c r="F294" s="403"/>
      <c r="G294" s="403"/>
      <c r="H294" s="403"/>
      <c r="I294" s="403"/>
      <c r="J294" s="403"/>
      <c r="K294" s="403"/>
      <c r="L294" s="403"/>
    </row>
    <row r="295" spans="1:12" x14ac:dyDescent="0.2">
      <c r="A295" s="403"/>
      <c r="B295" s="403"/>
      <c r="C295" s="403"/>
      <c r="D295" s="403"/>
      <c r="E295" s="403"/>
      <c r="F295" s="403"/>
      <c r="G295" s="403"/>
      <c r="H295" s="403"/>
      <c r="I295" s="403"/>
      <c r="J295" s="403"/>
      <c r="K295" s="403"/>
      <c r="L295" s="403"/>
    </row>
    <row r="296" spans="1:12" x14ac:dyDescent="0.2">
      <c r="A296" s="403"/>
      <c r="B296" s="403"/>
      <c r="C296" s="403"/>
      <c r="D296" s="403"/>
      <c r="E296" s="403"/>
      <c r="F296" s="403"/>
      <c r="G296" s="403"/>
      <c r="H296" s="403"/>
      <c r="I296" s="403"/>
      <c r="J296" s="403"/>
      <c r="K296" s="403"/>
      <c r="L296" s="403"/>
    </row>
    <row r="297" spans="1:12" x14ac:dyDescent="0.2">
      <c r="A297" s="403"/>
      <c r="B297" s="403"/>
      <c r="C297" s="403"/>
      <c r="D297" s="403"/>
      <c r="E297" s="403"/>
      <c r="F297" s="403"/>
      <c r="G297" s="403"/>
      <c r="H297" s="403"/>
      <c r="I297" s="403"/>
      <c r="J297" s="403"/>
      <c r="K297" s="403"/>
      <c r="L297" s="403"/>
    </row>
    <row r="298" spans="1:12" x14ac:dyDescent="0.2">
      <c r="A298" s="403"/>
      <c r="B298" s="403"/>
      <c r="C298" s="403"/>
      <c r="D298" s="403"/>
      <c r="E298" s="403"/>
      <c r="F298" s="403"/>
      <c r="G298" s="403"/>
      <c r="H298" s="403"/>
      <c r="I298" s="403"/>
      <c r="J298" s="403"/>
      <c r="K298" s="403"/>
      <c r="L298" s="403"/>
    </row>
    <row r="299" spans="1:12" x14ac:dyDescent="0.2">
      <c r="A299" s="403"/>
      <c r="B299" s="403"/>
      <c r="C299" s="403"/>
      <c r="D299" s="403"/>
      <c r="E299" s="403"/>
      <c r="F299" s="403"/>
      <c r="G299" s="403"/>
      <c r="H299" s="403"/>
      <c r="I299" s="403"/>
      <c r="J299" s="403"/>
      <c r="K299" s="403"/>
      <c r="L299" s="403"/>
    </row>
    <row r="300" spans="1:12" x14ac:dyDescent="0.2">
      <c r="A300" s="403"/>
      <c r="B300" s="403"/>
      <c r="C300" s="403"/>
      <c r="D300" s="403"/>
      <c r="E300" s="403"/>
      <c r="F300" s="403"/>
      <c r="G300" s="403"/>
      <c r="H300" s="403"/>
      <c r="I300" s="403"/>
      <c r="J300" s="403"/>
      <c r="K300" s="403"/>
      <c r="L300" s="403"/>
    </row>
    <row r="301" spans="1:12" x14ac:dyDescent="0.2">
      <c r="A301" s="403"/>
      <c r="B301" s="403"/>
      <c r="C301" s="403"/>
      <c r="D301" s="403"/>
      <c r="E301" s="403"/>
      <c r="F301" s="403"/>
      <c r="G301" s="403"/>
      <c r="H301" s="403"/>
      <c r="I301" s="403"/>
      <c r="J301" s="403"/>
      <c r="K301" s="403"/>
      <c r="L301" s="403"/>
    </row>
    <row r="302" spans="1:12" x14ac:dyDescent="0.2">
      <c r="A302" s="403"/>
      <c r="B302" s="403"/>
      <c r="C302" s="403"/>
      <c r="D302" s="403"/>
      <c r="E302" s="403"/>
      <c r="F302" s="403"/>
      <c r="G302" s="403"/>
      <c r="H302" s="403"/>
      <c r="I302" s="403"/>
      <c r="J302" s="403"/>
      <c r="K302" s="403"/>
      <c r="L302" s="403"/>
    </row>
    <row r="303" spans="1:12" x14ac:dyDescent="0.2">
      <c r="A303" s="403"/>
      <c r="B303" s="403"/>
      <c r="C303" s="403"/>
      <c r="D303" s="403"/>
      <c r="E303" s="403"/>
      <c r="F303" s="403"/>
      <c r="G303" s="403"/>
      <c r="H303" s="403"/>
      <c r="I303" s="403"/>
      <c r="J303" s="403"/>
      <c r="K303" s="403"/>
      <c r="L303" s="403"/>
    </row>
    <row r="304" spans="1:12" x14ac:dyDescent="0.2">
      <c r="A304" s="403"/>
      <c r="B304" s="403"/>
      <c r="C304" s="403"/>
      <c r="D304" s="403"/>
      <c r="E304" s="403"/>
      <c r="F304" s="403"/>
      <c r="G304" s="403"/>
      <c r="H304" s="403"/>
      <c r="I304" s="403"/>
      <c r="J304" s="403"/>
      <c r="K304" s="403"/>
      <c r="L304" s="403"/>
    </row>
    <row r="305" spans="1:12" x14ac:dyDescent="0.2">
      <c r="A305" s="403"/>
      <c r="B305" s="403"/>
      <c r="C305" s="403"/>
      <c r="D305" s="403"/>
      <c r="E305" s="403"/>
      <c r="F305" s="403"/>
      <c r="G305" s="403"/>
      <c r="H305" s="403"/>
      <c r="I305" s="403"/>
      <c r="J305" s="403"/>
      <c r="K305" s="403"/>
      <c r="L305" s="403"/>
    </row>
    <row r="306" spans="1:12" x14ac:dyDescent="0.2">
      <c r="A306" s="403"/>
      <c r="B306" s="403"/>
      <c r="C306" s="403"/>
      <c r="D306" s="403"/>
      <c r="E306" s="403"/>
      <c r="F306" s="403"/>
      <c r="G306" s="403"/>
      <c r="H306" s="403"/>
      <c r="I306" s="403"/>
      <c r="J306" s="403"/>
      <c r="K306" s="403"/>
      <c r="L306" s="403"/>
    </row>
    <row r="307" spans="1:12" x14ac:dyDescent="0.2">
      <c r="A307" s="403"/>
      <c r="B307" s="403"/>
      <c r="C307" s="403"/>
      <c r="D307" s="403"/>
      <c r="E307" s="403"/>
      <c r="F307" s="403"/>
      <c r="G307" s="403"/>
      <c r="H307" s="403"/>
      <c r="I307" s="403"/>
      <c r="J307" s="403"/>
      <c r="K307" s="403"/>
      <c r="L307" s="403"/>
    </row>
    <row r="308" spans="1:12" x14ac:dyDescent="0.2">
      <c r="A308" s="403"/>
      <c r="B308" s="403"/>
      <c r="C308" s="403"/>
      <c r="D308" s="403"/>
      <c r="E308" s="403"/>
      <c r="F308" s="403"/>
      <c r="G308" s="403"/>
      <c r="H308" s="403"/>
      <c r="I308" s="403"/>
      <c r="J308" s="403"/>
      <c r="K308" s="403"/>
      <c r="L308" s="403"/>
    </row>
    <row r="309" spans="1:12" x14ac:dyDescent="0.2">
      <c r="A309" s="403"/>
      <c r="B309" s="403"/>
      <c r="C309" s="403"/>
      <c r="D309" s="403"/>
      <c r="E309" s="403"/>
      <c r="F309" s="403"/>
      <c r="G309" s="403"/>
      <c r="H309" s="403"/>
      <c r="I309" s="403"/>
      <c r="J309" s="403"/>
      <c r="K309" s="403"/>
      <c r="L309" s="403"/>
    </row>
    <row r="310" spans="1:12" x14ac:dyDescent="0.2">
      <c r="A310" s="403"/>
      <c r="B310" s="403"/>
      <c r="C310" s="403"/>
      <c r="D310" s="403"/>
      <c r="E310" s="403"/>
      <c r="F310" s="403"/>
      <c r="G310" s="403"/>
      <c r="H310" s="403"/>
      <c r="I310" s="403"/>
      <c r="J310" s="403"/>
      <c r="K310" s="403"/>
      <c r="L310" s="403"/>
    </row>
    <row r="311" spans="1:12" x14ac:dyDescent="0.2">
      <c r="A311" s="403"/>
      <c r="B311" s="403"/>
      <c r="C311" s="403"/>
      <c r="D311" s="403"/>
      <c r="E311" s="403"/>
      <c r="F311" s="403"/>
      <c r="G311" s="403"/>
      <c r="H311" s="403"/>
      <c r="I311" s="403"/>
      <c r="J311" s="403"/>
      <c r="K311" s="403"/>
      <c r="L311" s="403"/>
    </row>
    <row r="312" spans="1:12" x14ac:dyDescent="0.2">
      <c r="A312" s="403"/>
      <c r="B312" s="403"/>
      <c r="C312" s="403"/>
      <c r="D312" s="403"/>
      <c r="E312" s="403"/>
      <c r="F312" s="403"/>
      <c r="G312" s="403"/>
      <c r="H312" s="403"/>
      <c r="I312" s="403"/>
      <c r="J312" s="403"/>
      <c r="K312" s="403"/>
      <c r="L312" s="403"/>
    </row>
    <row r="313" spans="1:12" x14ac:dyDescent="0.2">
      <c r="A313" s="403"/>
      <c r="B313" s="403"/>
      <c r="C313" s="403"/>
      <c r="D313" s="403"/>
      <c r="E313" s="403"/>
      <c r="F313" s="403"/>
      <c r="G313" s="403"/>
      <c r="H313" s="403"/>
      <c r="I313" s="403"/>
      <c r="J313" s="403"/>
      <c r="K313" s="403"/>
      <c r="L313" s="403"/>
    </row>
    <row r="314" spans="1:12" x14ac:dyDescent="0.2">
      <c r="A314" s="403"/>
      <c r="B314" s="403"/>
      <c r="C314" s="403"/>
      <c r="D314" s="403"/>
      <c r="E314" s="403"/>
      <c r="F314" s="403"/>
      <c r="G314" s="403"/>
      <c r="H314" s="403"/>
      <c r="I314" s="403"/>
      <c r="J314" s="403"/>
      <c r="K314" s="403"/>
      <c r="L314" s="403"/>
    </row>
    <row r="315" spans="1:12" x14ac:dyDescent="0.2">
      <c r="A315" s="403"/>
      <c r="B315" s="403"/>
      <c r="C315" s="403"/>
      <c r="D315" s="403"/>
      <c r="E315" s="403"/>
      <c r="F315" s="403"/>
      <c r="G315" s="403"/>
      <c r="H315" s="403"/>
      <c r="I315" s="403"/>
      <c r="J315" s="403"/>
      <c r="K315" s="403"/>
      <c r="L315" s="403"/>
    </row>
    <row r="316" spans="1:12" x14ac:dyDescent="0.2">
      <c r="A316" s="403"/>
      <c r="B316" s="403"/>
      <c r="C316" s="403"/>
      <c r="D316" s="403"/>
      <c r="E316" s="403"/>
      <c r="F316" s="403"/>
      <c r="G316" s="403"/>
      <c r="H316" s="403"/>
      <c r="I316" s="403"/>
      <c r="J316" s="403"/>
      <c r="K316" s="403"/>
      <c r="L316" s="403"/>
    </row>
    <row r="317" spans="1:12" x14ac:dyDescent="0.2">
      <c r="A317" s="403"/>
      <c r="B317" s="403"/>
      <c r="C317" s="403"/>
      <c r="D317" s="403"/>
      <c r="E317" s="403"/>
      <c r="F317" s="403"/>
      <c r="G317" s="403"/>
      <c r="H317" s="403"/>
      <c r="I317" s="403"/>
      <c r="J317" s="403"/>
      <c r="K317" s="403"/>
      <c r="L317" s="403"/>
    </row>
    <row r="318" spans="1:12" x14ac:dyDescent="0.2">
      <c r="A318" s="403"/>
      <c r="B318" s="403"/>
      <c r="C318" s="403"/>
      <c r="D318" s="403"/>
      <c r="E318" s="403"/>
      <c r="F318" s="403"/>
      <c r="G318" s="403"/>
      <c r="H318" s="403"/>
      <c r="I318" s="403"/>
      <c r="J318" s="403"/>
      <c r="K318" s="403"/>
      <c r="L318" s="403"/>
    </row>
    <row r="319" spans="1:12" x14ac:dyDescent="0.2">
      <c r="A319" s="403"/>
      <c r="B319" s="403"/>
      <c r="C319" s="403"/>
      <c r="D319" s="403"/>
      <c r="E319" s="403"/>
      <c r="F319" s="403"/>
      <c r="G319" s="403"/>
      <c r="H319" s="403"/>
      <c r="I319" s="403"/>
      <c r="J319" s="403"/>
      <c r="K319" s="403"/>
      <c r="L319" s="403"/>
    </row>
    <row r="320" spans="1:12" x14ac:dyDescent="0.2">
      <c r="A320" s="403"/>
      <c r="B320" s="403"/>
      <c r="C320" s="403"/>
      <c r="D320" s="403"/>
      <c r="E320" s="403"/>
      <c r="F320" s="403"/>
      <c r="G320" s="403"/>
      <c r="H320" s="403"/>
      <c r="I320" s="403"/>
      <c r="J320" s="403"/>
      <c r="K320" s="403"/>
      <c r="L320" s="403"/>
    </row>
    <row r="321" spans="1:12" x14ac:dyDescent="0.2">
      <c r="A321" s="403"/>
      <c r="B321" s="403"/>
      <c r="C321" s="403"/>
      <c r="D321" s="403"/>
      <c r="E321" s="403"/>
      <c r="F321" s="403"/>
      <c r="G321" s="403"/>
      <c r="H321" s="403"/>
      <c r="I321" s="403"/>
      <c r="J321" s="403"/>
      <c r="K321" s="403"/>
      <c r="L321" s="403"/>
    </row>
    <row r="322" spans="1:12" x14ac:dyDescent="0.2">
      <c r="A322" s="403"/>
      <c r="B322" s="403"/>
      <c r="C322" s="403"/>
      <c r="D322" s="403"/>
      <c r="E322" s="403"/>
      <c r="F322" s="403"/>
      <c r="G322" s="403"/>
      <c r="H322" s="403"/>
      <c r="I322" s="403"/>
      <c r="J322" s="403"/>
      <c r="K322" s="403"/>
      <c r="L322" s="403"/>
    </row>
    <row r="323" spans="1:12" x14ac:dyDescent="0.2">
      <c r="A323" s="403"/>
      <c r="B323" s="403"/>
      <c r="C323" s="403"/>
      <c r="D323" s="403"/>
      <c r="E323" s="403"/>
      <c r="F323" s="403"/>
      <c r="G323" s="403"/>
      <c r="H323" s="403"/>
      <c r="I323" s="403"/>
      <c r="J323" s="403"/>
      <c r="K323" s="403"/>
      <c r="L323" s="403"/>
    </row>
    <row r="324" spans="1:12" x14ac:dyDescent="0.2">
      <c r="A324" s="403"/>
      <c r="B324" s="403"/>
      <c r="C324" s="403"/>
      <c r="D324" s="403"/>
      <c r="E324" s="403"/>
      <c r="F324" s="403"/>
      <c r="G324" s="403"/>
      <c r="H324" s="403"/>
      <c r="I324" s="403"/>
      <c r="J324" s="403"/>
      <c r="K324" s="403"/>
      <c r="L324" s="403"/>
    </row>
    <row r="325" spans="1:12" x14ac:dyDescent="0.2">
      <c r="A325" s="403"/>
      <c r="B325" s="403"/>
      <c r="C325" s="403"/>
      <c r="D325" s="403"/>
      <c r="E325" s="403"/>
      <c r="F325" s="403"/>
      <c r="G325" s="403"/>
      <c r="H325" s="403"/>
      <c r="I325" s="403"/>
      <c r="J325" s="403"/>
      <c r="K325" s="403"/>
      <c r="L325" s="403"/>
    </row>
    <row r="326" spans="1:12" x14ac:dyDescent="0.2">
      <c r="A326" s="403"/>
      <c r="B326" s="403"/>
      <c r="C326" s="403"/>
      <c r="D326" s="403"/>
      <c r="E326" s="403"/>
      <c r="F326" s="403"/>
      <c r="G326" s="403"/>
      <c r="H326" s="403"/>
      <c r="I326" s="403"/>
      <c r="J326" s="403"/>
      <c r="K326" s="403"/>
      <c r="L326" s="403"/>
    </row>
    <row r="327" spans="1:12" x14ac:dyDescent="0.2">
      <c r="A327" s="403"/>
      <c r="B327" s="403"/>
      <c r="C327" s="403"/>
      <c r="D327" s="403"/>
      <c r="E327" s="403"/>
      <c r="F327" s="403"/>
      <c r="G327" s="403"/>
      <c r="H327" s="403"/>
      <c r="I327" s="403"/>
      <c r="J327" s="403"/>
      <c r="K327" s="403"/>
      <c r="L327" s="403"/>
    </row>
    <row r="328" spans="1:12" x14ac:dyDescent="0.2">
      <c r="A328" s="403"/>
      <c r="B328" s="403"/>
      <c r="C328" s="403"/>
      <c r="D328" s="403"/>
      <c r="E328" s="403"/>
      <c r="F328" s="403"/>
      <c r="G328" s="403"/>
      <c r="H328" s="403"/>
      <c r="I328" s="403"/>
      <c r="J328" s="403"/>
      <c r="K328" s="403"/>
      <c r="L328" s="403"/>
    </row>
    <row r="329" spans="1:12" x14ac:dyDescent="0.2">
      <c r="A329" s="403"/>
      <c r="B329" s="403"/>
      <c r="C329" s="403"/>
      <c r="D329" s="403"/>
      <c r="E329" s="403"/>
      <c r="F329" s="403"/>
      <c r="G329" s="403"/>
      <c r="H329" s="403"/>
      <c r="I329" s="403"/>
      <c r="J329" s="403"/>
      <c r="K329" s="403"/>
      <c r="L329" s="403"/>
    </row>
    <row r="330" spans="1:12" x14ac:dyDescent="0.2">
      <c r="A330" s="403"/>
      <c r="B330" s="403"/>
      <c r="C330" s="403"/>
      <c r="D330" s="403"/>
      <c r="E330" s="403"/>
      <c r="F330" s="403"/>
      <c r="G330" s="403"/>
      <c r="H330" s="403"/>
      <c r="I330" s="403"/>
      <c r="J330" s="403"/>
      <c r="K330" s="403"/>
      <c r="L330" s="403"/>
    </row>
    <row r="331" spans="1:12" x14ac:dyDescent="0.2">
      <c r="A331" s="403"/>
      <c r="B331" s="403"/>
      <c r="C331" s="403"/>
      <c r="D331" s="403"/>
      <c r="E331" s="403"/>
      <c r="F331" s="403"/>
      <c r="G331" s="403"/>
      <c r="H331" s="403"/>
      <c r="I331" s="403"/>
      <c r="J331" s="403"/>
      <c r="K331" s="403"/>
      <c r="L331" s="403"/>
    </row>
    <row r="332" spans="1:12" x14ac:dyDescent="0.2">
      <c r="A332" s="403"/>
      <c r="B332" s="403"/>
      <c r="C332" s="403"/>
      <c r="D332" s="403"/>
      <c r="E332" s="403"/>
      <c r="F332" s="403"/>
      <c r="G332" s="403"/>
      <c r="H332" s="403"/>
      <c r="I332" s="403"/>
      <c r="J332" s="403"/>
      <c r="K332" s="403"/>
      <c r="L332" s="403"/>
    </row>
    <row r="333" spans="1:12" x14ac:dyDescent="0.2">
      <c r="A333" s="403"/>
      <c r="B333" s="403"/>
      <c r="C333" s="403"/>
      <c r="D333" s="403"/>
      <c r="E333" s="403"/>
      <c r="F333" s="403"/>
      <c r="G333" s="403"/>
      <c r="H333" s="403"/>
      <c r="I333" s="403"/>
      <c r="J333" s="403"/>
      <c r="K333" s="403"/>
      <c r="L333" s="403"/>
    </row>
    <row r="334" spans="1:12" x14ac:dyDescent="0.2">
      <c r="A334" s="403"/>
      <c r="B334" s="403"/>
      <c r="C334" s="403"/>
      <c r="D334" s="403"/>
      <c r="E334" s="403"/>
      <c r="F334" s="403"/>
      <c r="G334" s="403"/>
      <c r="H334" s="403"/>
      <c r="I334" s="403"/>
      <c r="J334" s="403"/>
      <c r="K334" s="403"/>
      <c r="L334" s="403"/>
    </row>
    <row r="335" spans="1:12" x14ac:dyDescent="0.2">
      <c r="A335" s="403"/>
      <c r="B335" s="403"/>
      <c r="C335" s="403"/>
      <c r="D335" s="403"/>
      <c r="E335" s="403"/>
      <c r="F335" s="403"/>
      <c r="G335" s="403"/>
      <c r="H335" s="403"/>
      <c r="I335" s="403"/>
      <c r="J335" s="403"/>
      <c r="K335" s="403"/>
      <c r="L335" s="403"/>
    </row>
    <row r="336" spans="1:12" x14ac:dyDescent="0.2">
      <c r="A336" s="403"/>
      <c r="B336" s="403"/>
      <c r="C336" s="403"/>
      <c r="D336" s="403"/>
      <c r="E336" s="403"/>
      <c r="F336" s="403"/>
      <c r="G336" s="403"/>
      <c r="H336" s="403"/>
      <c r="I336" s="403"/>
      <c r="J336" s="403"/>
      <c r="K336" s="403"/>
      <c r="L336" s="403"/>
    </row>
    <row r="337" spans="1:12" x14ac:dyDescent="0.2">
      <c r="A337" s="403"/>
      <c r="B337" s="403"/>
      <c r="C337" s="403"/>
      <c r="D337" s="403"/>
      <c r="E337" s="403"/>
      <c r="F337" s="403"/>
      <c r="G337" s="403"/>
      <c r="H337" s="403"/>
      <c r="I337" s="403"/>
      <c r="J337" s="403"/>
      <c r="K337" s="403"/>
      <c r="L337" s="403"/>
    </row>
    <row r="338" spans="1:12" x14ac:dyDescent="0.2">
      <c r="A338" s="403"/>
      <c r="B338" s="403"/>
      <c r="C338" s="403"/>
      <c r="D338" s="403"/>
      <c r="E338" s="403"/>
      <c r="F338" s="403"/>
      <c r="G338" s="403"/>
      <c r="H338" s="403"/>
      <c r="I338" s="403"/>
      <c r="J338" s="403"/>
      <c r="K338" s="403"/>
      <c r="L338" s="403"/>
    </row>
    <row r="339" spans="1:12" x14ac:dyDescent="0.2">
      <c r="A339" s="403"/>
      <c r="B339" s="403"/>
      <c r="C339" s="403"/>
      <c r="D339" s="403"/>
      <c r="E339" s="403"/>
      <c r="F339" s="403"/>
      <c r="G339" s="403"/>
      <c r="H339" s="403"/>
      <c r="I339" s="403"/>
      <c r="J339" s="403"/>
      <c r="K339" s="403"/>
      <c r="L339" s="403"/>
    </row>
    <row r="340" spans="1:12" x14ac:dyDescent="0.2">
      <c r="A340" s="403"/>
      <c r="B340" s="403"/>
      <c r="C340" s="403"/>
      <c r="D340" s="403"/>
      <c r="E340" s="403"/>
      <c r="F340" s="403"/>
      <c r="G340" s="403"/>
      <c r="H340" s="403"/>
      <c r="I340" s="403"/>
      <c r="J340" s="403"/>
      <c r="K340" s="403"/>
      <c r="L340" s="403"/>
    </row>
    <row r="341" spans="1:12" x14ac:dyDescent="0.2">
      <c r="A341" s="403"/>
      <c r="B341" s="403"/>
      <c r="C341" s="403"/>
      <c r="D341" s="403"/>
      <c r="E341" s="403"/>
      <c r="F341" s="403"/>
      <c r="G341" s="403"/>
      <c r="H341" s="403"/>
      <c r="I341" s="403"/>
      <c r="J341" s="403"/>
      <c r="K341" s="403"/>
      <c r="L341" s="403"/>
    </row>
    <row r="342" spans="1:12" x14ac:dyDescent="0.2">
      <c r="A342" s="403"/>
      <c r="B342" s="403"/>
      <c r="C342" s="403"/>
      <c r="D342" s="403"/>
      <c r="E342" s="403"/>
      <c r="F342" s="403"/>
      <c r="G342" s="403"/>
      <c r="H342" s="403"/>
      <c r="I342" s="403"/>
      <c r="J342" s="403"/>
      <c r="K342" s="403"/>
      <c r="L342" s="403"/>
    </row>
    <row r="343" spans="1:12" x14ac:dyDescent="0.2">
      <c r="A343" s="403"/>
      <c r="B343" s="403"/>
      <c r="C343" s="403"/>
      <c r="D343" s="403"/>
      <c r="E343" s="403"/>
      <c r="F343" s="403"/>
      <c r="G343" s="403"/>
      <c r="H343" s="403"/>
      <c r="I343" s="403"/>
      <c r="J343" s="403"/>
      <c r="K343" s="403"/>
      <c r="L343" s="403"/>
    </row>
    <row r="344" spans="1:12" x14ac:dyDescent="0.2">
      <c r="A344" s="403"/>
      <c r="B344" s="403"/>
      <c r="C344" s="403"/>
      <c r="D344" s="403"/>
      <c r="E344" s="403"/>
      <c r="F344" s="403"/>
      <c r="G344" s="403"/>
      <c r="H344" s="403"/>
      <c r="I344" s="403"/>
      <c r="J344" s="403"/>
      <c r="K344" s="403"/>
      <c r="L344" s="403"/>
    </row>
    <row r="345" spans="1:12" x14ac:dyDescent="0.2">
      <c r="A345" s="403"/>
      <c r="B345" s="403"/>
      <c r="C345" s="403"/>
      <c r="D345" s="403"/>
      <c r="E345" s="403"/>
      <c r="F345" s="403"/>
      <c r="G345" s="403"/>
      <c r="H345" s="403"/>
      <c r="I345" s="403"/>
      <c r="J345" s="403"/>
      <c r="K345" s="403"/>
      <c r="L345" s="403"/>
    </row>
    <row r="346" spans="1:12" x14ac:dyDescent="0.2">
      <c r="A346" s="403"/>
      <c r="B346" s="403"/>
      <c r="C346" s="403"/>
      <c r="D346" s="403"/>
      <c r="E346" s="403"/>
      <c r="F346" s="403"/>
      <c r="G346" s="403"/>
      <c r="H346" s="403"/>
      <c r="I346" s="403"/>
      <c r="J346" s="403"/>
      <c r="K346" s="403"/>
      <c r="L346" s="403"/>
    </row>
    <row r="347" spans="1:12" x14ac:dyDescent="0.2">
      <c r="A347" s="403"/>
      <c r="B347" s="403"/>
      <c r="C347" s="403"/>
      <c r="D347" s="403"/>
      <c r="E347" s="403"/>
      <c r="F347" s="403"/>
      <c r="G347" s="403"/>
      <c r="H347" s="403"/>
      <c r="I347" s="403"/>
      <c r="J347" s="403"/>
      <c r="K347" s="403"/>
      <c r="L347" s="403"/>
    </row>
    <row r="348" spans="1:12" x14ac:dyDescent="0.2">
      <c r="A348" s="403"/>
      <c r="B348" s="403"/>
      <c r="C348" s="403"/>
      <c r="D348" s="403"/>
      <c r="E348" s="403"/>
      <c r="F348" s="403"/>
      <c r="G348" s="403"/>
      <c r="H348" s="403"/>
      <c r="I348" s="403"/>
      <c r="J348" s="403"/>
      <c r="K348" s="403"/>
      <c r="L348" s="403"/>
    </row>
    <row r="349" spans="1:12" x14ac:dyDescent="0.2">
      <c r="A349" s="403"/>
      <c r="B349" s="403"/>
      <c r="C349" s="403"/>
      <c r="D349" s="403"/>
      <c r="E349" s="403"/>
      <c r="F349" s="403"/>
      <c r="G349" s="403"/>
      <c r="H349" s="403"/>
      <c r="I349" s="403"/>
      <c r="J349" s="403"/>
      <c r="K349" s="403"/>
      <c r="L349" s="403"/>
    </row>
    <row r="350" spans="1:12" x14ac:dyDescent="0.2">
      <c r="A350" s="403"/>
      <c r="B350" s="403"/>
      <c r="C350" s="403"/>
      <c r="D350" s="403"/>
      <c r="E350" s="403"/>
      <c r="F350" s="403"/>
      <c r="G350" s="403"/>
      <c r="H350" s="403"/>
      <c r="I350" s="403"/>
      <c r="J350" s="403"/>
      <c r="K350" s="403"/>
      <c r="L350" s="403"/>
    </row>
    <row r="351" spans="1:12" x14ac:dyDescent="0.2">
      <c r="A351" s="403"/>
      <c r="B351" s="403"/>
      <c r="C351" s="403"/>
      <c r="D351" s="403"/>
      <c r="E351" s="403"/>
      <c r="F351" s="403"/>
      <c r="G351" s="403"/>
      <c r="H351" s="403"/>
      <c r="I351" s="403"/>
      <c r="J351" s="403"/>
      <c r="K351" s="403"/>
      <c r="L351" s="403"/>
    </row>
    <row r="352" spans="1:12" x14ac:dyDescent="0.2">
      <c r="A352" s="403"/>
      <c r="B352" s="403"/>
      <c r="C352" s="403"/>
      <c r="D352" s="403"/>
      <c r="E352" s="403"/>
      <c r="F352" s="403"/>
      <c r="G352" s="403"/>
      <c r="H352" s="403"/>
      <c r="I352" s="403"/>
      <c r="J352" s="403"/>
      <c r="K352" s="403"/>
      <c r="L352" s="403"/>
    </row>
    <row r="353" spans="1:12" x14ac:dyDescent="0.2">
      <c r="A353" s="403"/>
      <c r="B353" s="403"/>
      <c r="C353" s="403"/>
      <c r="D353" s="403"/>
      <c r="E353" s="403"/>
      <c r="F353" s="403"/>
      <c r="G353" s="403"/>
      <c r="H353" s="403"/>
      <c r="I353" s="403"/>
      <c r="J353" s="403"/>
      <c r="K353" s="403"/>
      <c r="L353" s="403"/>
    </row>
    <row r="354" spans="1:12" x14ac:dyDescent="0.2">
      <c r="A354" s="403"/>
      <c r="B354" s="403"/>
      <c r="C354" s="403"/>
      <c r="D354" s="403"/>
      <c r="E354" s="403"/>
      <c r="F354" s="403"/>
      <c r="G354" s="403"/>
      <c r="H354" s="403"/>
      <c r="I354" s="403"/>
      <c r="J354" s="403"/>
      <c r="K354" s="403"/>
      <c r="L354" s="403"/>
    </row>
  </sheetData>
  <sheetProtection sheet="1" objects="1" scenarios="1"/>
  <mergeCells count="56">
    <mergeCell ref="G50:H50"/>
    <mergeCell ref="F148:G148"/>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08:K108"/>
    <mergeCell ref="H134:I134"/>
    <mergeCell ref="C100:D100"/>
    <mergeCell ref="C103:D103"/>
    <mergeCell ref="B105:K105"/>
    <mergeCell ref="B106:K106"/>
    <mergeCell ref="C136:D136"/>
    <mergeCell ref="C137:D137"/>
    <mergeCell ref="B110:K110"/>
    <mergeCell ref="C114:D114"/>
    <mergeCell ref="C117:D117"/>
    <mergeCell ref="C120:D120"/>
    <mergeCell ref="C123:D123"/>
    <mergeCell ref="B125:K125"/>
    <mergeCell ref="B126:K126"/>
    <mergeCell ref="B128:K128"/>
    <mergeCell ref="B130:K130"/>
    <mergeCell ref="C133:D133"/>
    <mergeCell ref="H133:I133"/>
    <mergeCell ref="C134:D134"/>
    <mergeCell ref="B144:K144"/>
    <mergeCell ref="C147:D147"/>
    <mergeCell ref="J147:K147"/>
    <mergeCell ref="C148:D148"/>
    <mergeCell ref="J148:K14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40"/>
  <sheetViews>
    <sheetView workbookViewId="0">
      <selection activeCell="Q92" sqref="Q92"/>
    </sheetView>
  </sheetViews>
  <sheetFormatPr defaultRowHeight="15.75" x14ac:dyDescent="0.25"/>
  <cols>
    <col min="1" max="1" width="64.09765625" customWidth="1"/>
  </cols>
  <sheetData>
    <row r="1" spans="1:1" ht="16.5" x14ac:dyDescent="0.25">
      <c r="A1" s="416" t="s">
        <v>544</v>
      </c>
    </row>
    <row r="3" spans="1:1" ht="31.5" x14ac:dyDescent="0.25">
      <c r="A3" s="418" t="s">
        <v>545</v>
      </c>
    </row>
    <row r="4" spans="1:1" x14ac:dyDescent="0.25">
      <c r="A4" s="419" t="s">
        <v>546</v>
      </c>
    </row>
    <row r="7" spans="1:1" ht="31.5" x14ac:dyDescent="0.25">
      <c r="A7" s="418" t="s">
        <v>547</v>
      </c>
    </row>
    <row r="8" spans="1:1" x14ac:dyDescent="0.25">
      <c r="A8" s="419" t="s">
        <v>548</v>
      </c>
    </row>
    <row r="11" spans="1:1" x14ac:dyDescent="0.25">
      <c r="A11" s="417" t="s">
        <v>549</v>
      </c>
    </row>
    <row r="12" spans="1:1" x14ac:dyDescent="0.25">
      <c r="A12" s="419" t="s">
        <v>550</v>
      </c>
    </row>
    <row r="15" spans="1:1" x14ac:dyDescent="0.25">
      <c r="A15" s="417" t="s">
        <v>551</v>
      </c>
    </row>
    <row r="16" spans="1:1" x14ac:dyDescent="0.25">
      <c r="A16" s="419" t="s">
        <v>552</v>
      </c>
    </row>
    <row r="19" spans="1:1" x14ac:dyDescent="0.25">
      <c r="A19" s="417" t="s">
        <v>553</v>
      </c>
    </row>
    <row r="20" spans="1:1" x14ac:dyDescent="0.25">
      <c r="A20" s="419" t="s">
        <v>554</v>
      </c>
    </row>
    <row r="23" spans="1:1" x14ac:dyDescent="0.25">
      <c r="A23" s="417" t="s">
        <v>555</v>
      </c>
    </row>
    <row r="24" spans="1:1" x14ac:dyDescent="0.25">
      <c r="A24" s="419" t="s">
        <v>556</v>
      </c>
    </row>
    <row r="27" spans="1:1" x14ac:dyDescent="0.25">
      <c r="A27" s="417" t="s">
        <v>557</v>
      </c>
    </row>
    <row r="28" spans="1:1" x14ac:dyDescent="0.25">
      <c r="A28" s="419" t="s">
        <v>558</v>
      </c>
    </row>
    <row r="31" spans="1:1" x14ac:dyDescent="0.25">
      <c r="A31" s="417" t="s">
        <v>559</v>
      </c>
    </row>
    <row r="32" spans="1:1" x14ac:dyDescent="0.25">
      <c r="A32" s="419" t="s">
        <v>560</v>
      </c>
    </row>
    <row r="35" spans="1:1" x14ac:dyDescent="0.25">
      <c r="A35" s="417" t="s">
        <v>561</v>
      </c>
    </row>
    <row r="36" spans="1:1" x14ac:dyDescent="0.25">
      <c r="A36" s="419" t="s">
        <v>562</v>
      </c>
    </row>
    <row r="39" spans="1:1" x14ac:dyDescent="0.25">
      <c r="A39" s="417" t="s">
        <v>563</v>
      </c>
    </row>
    <row r="40" spans="1:1" x14ac:dyDescent="0.25">
      <c r="A40" s="419" t="s">
        <v>564</v>
      </c>
    </row>
  </sheetData>
  <sheetProtection sheet="1" objects="1" scenarios="1"/>
  <hyperlinks>
    <hyperlink ref="A4" r:id="rId1" xr:uid="{00000000-0004-0000-2300-000000000000}"/>
    <hyperlink ref="A8" r:id="rId2" xr:uid="{00000000-0004-0000-2300-000001000000}"/>
    <hyperlink ref="A12" r:id="rId3" xr:uid="{00000000-0004-0000-2300-000002000000}"/>
    <hyperlink ref="A16" r:id="rId4" xr:uid="{00000000-0004-0000-2300-000003000000}"/>
    <hyperlink ref="A20" r:id="rId5" xr:uid="{00000000-0004-0000-2300-000004000000}"/>
    <hyperlink ref="A24" r:id="rId6" xr:uid="{00000000-0004-0000-2300-000005000000}"/>
    <hyperlink ref="A28" r:id="rId7" xr:uid="{00000000-0004-0000-2300-000006000000}"/>
    <hyperlink ref="A32" r:id="rId8" xr:uid="{00000000-0004-0000-2300-000007000000}"/>
    <hyperlink ref="A36" r:id="rId9" xr:uid="{00000000-0004-0000-2300-000008000000}"/>
    <hyperlink ref="A40" r:id="rId10" xr:uid="{00000000-0004-0000-2300-000009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0"/>
  <dimension ref="A1:A245"/>
  <sheetViews>
    <sheetView workbookViewId="0">
      <selection activeCell="Q92" sqref="Q92"/>
    </sheetView>
  </sheetViews>
  <sheetFormatPr defaultColWidth="8.796875" defaultRowHeight="15.75" x14ac:dyDescent="0.25"/>
  <cols>
    <col min="1" max="1" width="72.796875" style="89" customWidth="1"/>
    <col min="2" max="16384" width="8.796875" style="89"/>
  </cols>
  <sheetData>
    <row r="1" spans="1:1" x14ac:dyDescent="0.25">
      <c r="A1" s="317" t="s">
        <v>997</v>
      </c>
    </row>
    <row r="2" spans="1:1" x14ac:dyDescent="0.25">
      <c r="A2" s="89" t="s">
        <v>998</v>
      </c>
    </row>
    <row r="3" spans="1:1" x14ac:dyDescent="0.25">
      <c r="A3" s="89" t="s">
        <v>999</v>
      </c>
    </row>
    <row r="4" spans="1:1" x14ac:dyDescent="0.25">
      <c r="A4" s="89" t="s">
        <v>1000</v>
      </c>
    </row>
    <row r="6" spans="1:1" x14ac:dyDescent="0.25">
      <c r="A6" s="317" t="s">
        <v>989</v>
      </c>
    </row>
    <row r="7" spans="1:1" x14ac:dyDescent="0.25">
      <c r="A7" s="89" t="s">
        <v>990</v>
      </c>
    </row>
    <row r="8" spans="1:1" x14ac:dyDescent="0.25">
      <c r="A8" s="89" t="s">
        <v>991</v>
      </c>
    </row>
    <row r="9" spans="1:1" x14ac:dyDescent="0.25">
      <c r="A9" s="89" t="s">
        <v>992</v>
      </c>
    </row>
    <row r="10" spans="1:1" x14ac:dyDescent="0.25">
      <c r="A10" s="89" t="s">
        <v>993</v>
      </c>
    </row>
    <row r="11" spans="1:1" x14ac:dyDescent="0.25">
      <c r="A11" s="89" t="s">
        <v>994</v>
      </c>
    </row>
    <row r="13" spans="1:1" x14ac:dyDescent="0.25">
      <c r="A13" s="780" t="s">
        <v>984</v>
      </c>
    </row>
    <row r="14" spans="1:1" x14ac:dyDescent="0.25">
      <c r="A14" s="89" t="s">
        <v>986</v>
      </c>
    </row>
    <row r="16" spans="1:1" x14ac:dyDescent="0.25">
      <c r="A16" s="780" t="s">
        <v>853</v>
      </c>
    </row>
    <row r="17" spans="1:1" x14ac:dyDescent="0.25">
      <c r="A17" s="787" t="s">
        <v>854</v>
      </c>
    </row>
    <row r="19" spans="1:1" x14ac:dyDescent="0.25">
      <c r="A19" s="780" t="s">
        <v>851</v>
      </c>
    </row>
    <row r="20" spans="1:1" x14ac:dyDescent="0.25">
      <c r="A20" s="779" t="s">
        <v>852</v>
      </c>
    </row>
    <row r="22" spans="1:1" x14ac:dyDescent="0.25">
      <c r="A22" s="780" t="s">
        <v>842</v>
      </c>
    </row>
    <row r="23" spans="1:1" x14ac:dyDescent="0.25">
      <c r="A23" s="779" t="s">
        <v>855</v>
      </c>
    </row>
    <row r="24" spans="1:1" x14ac:dyDescent="0.25">
      <c r="A24" s="779" t="s">
        <v>856</v>
      </c>
    </row>
    <row r="25" spans="1:1" x14ac:dyDescent="0.25">
      <c r="A25" s="779" t="s">
        <v>857</v>
      </c>
    </row>
    <row r="26" spans="1:1" x14ac:dyDescent="0.25">
      <c r="A26" s="779" t="s">
        <v>858</v>
      </c>
    </row>
    <row r="27" spans="1:1" x14ac:dyDescent="0.25">
      <c r="A27" s="779" t="s">
        <v>859</v>
      </c>
    </row>
    <row r="29" spans="1:1" x14ac:dyDescent="0.25">
      <c r="A29" s="485" t="s">
        <v>860</v>
      </c>
    </row>
    <row r="30" spans="1:1" x14ac:dyDescent="0.25">
      <c r="A30" s="89" t="s">
        <v>841</v>
      </c>
    </row>
    <row r="32" spans="1:1" x14ac:dyDescent="0.25">
      <c r="A32" s="485" t="s">
        <v>861</v>
      </c>
    </row>
    <row r="33" spans="1:1" x14ac:dyDescent="0.25">
      <c r="A33" s="704" t="s">
        <v>827</v>
      </c>
    </row>
    <row r="34" spans="1:1" x14ac:dyDescent="0.25">
      <c r="A34" s="743" t="s">
        <v>828</v>
      </c>
    </row>
    <row r="36" spans="1:1" x14ac:dyDescent="0.25">
      <c r="A36" s="485" t="s">
        <v>862</v>
      </c>
    </row>
    <row r="37" spans="1:1" x14ac:dyDescent="0.25">
      <c r="A37" s="704" t="s">
        <v>826</v>
      </c>
    </row>
    <row r="39" spans="1:1" x14ac:dyDescent="0.25">
      <c r="A39" s="485" t="s">
        <v>863</v>
      </c>
    </row>
    <row r="40" spans="1:1" x14ac:dyDescent="0.25">
      <c r="A40" s="704" t="s">
        <v>817</v>
      </c>
    </row>
    <row r="42" spans="1:1" x14ac:dyDescent="0.25">
      <c r="A42" s="485" t="s">
        <v>864</v>
      </c>
    </row>
    <row r="43" spans="1:1" x14ac:dyDescent="0.25">
      <c r="A43" s="89" t="s">
        <v>806</v>
      </c>
    </row>
    <row r="45" spans="1:1" x14ac:dyDescent="0.25">
      <c r="A45" s="485" t="s">
        <v>865</v>
      </c>
    </row>
    <row r="46" spans="1:1" x14ac:dyDescent="0.25">
      <c r="A46" s="89" t="s">
        <v>805</v>
      </c>
    </row>
    <row r="48" spans="1:1" x14ac:dyDescent="0.25">
      <c r="A48" s="485" t="s">
        <v>866</v>
      </c>
    </row>
    <row r="49" spans="1:1" x14ac:dyDescent="0.25">
      <c r="A49" s="704" t="s">
        <v>803</v>
      </c>
    </row>
    <row r="51" spans="1:1" x14ac:dyDescent="0.25">
      <c r="A51" s="485" t="s">
        <v>867</v>
      </c>
    </row>
    <row r="52" spans="1:1" x14ac:dyDescent="0.25">
      <c r="A52" s="680" t="s">
        <v>784</v>
      </c>
    </row>
    <row r="54" spans="1:1" x14ac:dyDescent="0.25">
      <c r="A54" s="485" t="s">
        <v>868</v>
      </c>
    </row>
    <row r="55" spans="1:1" x14ac:dyDescent="0.25">
      <c r="A55" s="89" t="s">
        <v>871</v>
      </c>
    </row>
    <row r="57" spans="1:1" x14ac:dyDescent="0.25">
      <c r="A57" s="485" t="s">
        <v>869</v>
      </c>
    </row>
    <row r="58" spans="1:1" x14ac:dyDescent="0.25">
      <c r="A58" s="659" t="s">
        <v>872</v>
      </c>
    </row>
    <row r="60" spans="1:1" x14ac:dyDescent="0.25">
      <c r="A60" s="485" t="s">
        <v>870</v>
      </c>
    </row>
    <row r="61" spans="1:1" x14ac:dyDescent="0.25">
      <c r="A61" s="659" t="s">
        <v>873</v>
      </c>
    </row>
    <row r="63" spans="1:1" x14ac:dyDescent="0.25">
      <c r="A63" s="485" t="s">
        <v>874</v>
      </c>
    </row>
    <row r="64" spans="1:1" x14ac:dyDescent="0.25">
      <c r="A64" s="660" t="s">
        <v>875</v>
      </c>
    </row>
    <row r="66" spans="1:1" x14ac:dyDescent="0.25">
      <c r="A66" s="485" t="s">
        <v>874</v>
      </c>
    </row>
    <row r="67" spans="1:1" x14ac:dyDescent="0.25">
      <c r="A67" s="660" t="s">
        <v>876</v>
      </c>
    </row>
    <row r="69" spans="1:1" x14ac:dyDescent="0.25">
      <c r="A69" s="485" t="s">
        <v>877</v>
      </c>
    </row>
    <row r="70" spans="1:1" x14ac:dyDescent="0.25">
      <c r="A70" s="659" t="s">
        <v>878</v>
      </c>
    </row>
    <row r="72" spans="1:1" x14ac:dyDescent="0.25">
      <c r="A72" s="485" t="s">
        <v>879</v>
      </c>
    </row>
    <row r="73" spans="1:1" x14ac:dyDescent="0.25">
      <c r="A73" s="657" t="s">
        <v>880</v>
      </c>
    </row>
    <row r="74" spans="1:1" x14ac:dyDescent="0.25">
      <c r="A74" s="657" t="s">
        <v>881</v>
      </c>
    </row>
    <row r="75" spans="1:1" x14ac:dyDescent="0.25">
      <c r="A75" s="657" t="s">
        <v>882</v>
      </c>
    </row>
    <row r="76" spans="1:1" x14ac:dyDescent="0.25">
      <c r="A76" s="657" t="s">
        <v>883</v>
      </c>
    </row>
    <row r="77" spans="1:1" x14ac:dyDescent="0.25">
      <c r="A77" s="657" t="s">
        <v>884</v>
      </c>
    </row>
    <row r="78" spans="1:1" x14ac:dyDescent="0.25">
      <c r="A78" s="657" t="s">
        <v>885</v>
      </c>
    </row>
    <row r="79" spans="1:1" x14ac:dyDescent="0.25">
      <c r="A79" s="657" t="s">
        <v>886</v>
      </c>
    </row>
    <row r="80" spans="1:1" x14ac:dyDescent="0.25">
      <c r="A80" s="657" t="s">
        <v>887</v>
      </c>
    </row>
    <row r="81" spans="1:1" x14ac:dyDescent="0.25">
      <c r="A81" s="657" t="s">
        <v>888</v>
      </c>
    </row>
    <row r="82" spans="1:1" x14ac:dyDescent="0.25">
      <c r="A82" s="657" t="s">
        <v>889</v>
      </c>
    </row>
    <row r="83" spans="1:1" x14ac:dyDescent="0.25">
      <c r="A83" s="657" t="s">
        <v>890</v>
      </c>
    </row>
    <row r="84" spans="1:1" x14ac:dyDescent="0.25">
      <c r="A84" s="657" t="s">
        <v>891</v>
      </c>
    </row>
    <row r="85" spans="1:1" x14ac:dyDescent="0.25">
      <c r="A85" s="657" t="s">
        <v>892</v>
      </c>
    </row>
    <row r="86" spans="1:1" x14ac:dyDescent="0.25">
      <c r="A86" s="657" t="s">
        <v>893</v>
      </c>
    </row>
    <row r="87" spans="1:1" x14ac:dyDescent="0.25">
      <c r="A87" s="657" t="s">
        <v>894</v>
      </c>
    </row>
    <row r="88" spans="1:1" x14ac:dyDescent="0.25">
      <c r="A88" s="657" t="s">
        <v>895</v>
      </c>
    </row>
    <row r="89" spans="1:1" x14ac:dyDescent="0.25">
      <c r="A89" s="657" t="s">
        <v>896</v>
      </c>
    </row>
    <row r="90" spans="1:1" x14ac:dyDescent="0.25">
      <c r="A90" s="657" t="s">
        <v>897</v>
      </c>
    </row>
    <row r="91" spans="1:1" x14ac:dyDescent="0.25">
      <c r="A91" s="657" t="s">
        <v>898</v>
      </c>
    </row>
    <row r="92" spans="1:1" x14ac:dyDescent="0.25">
      <c r="A92" s="657" t="s">
        <v>899</v>
      </c>
    </row>
    <row r="93" spans="1:1" x14ac:dyDescent="0.25">
      <c r="A93" s="657" t="s">
        <v>900</v>
      </c>
    </row>
    <row r="94" spans="1:1" x14ac:dyDescent="0.25">
      <c r="A94" s="657" t="s">
        <v>901</v>
      </c>
    </row>
    <row r="95" spans="1:1" x14ac:dyDescent="0.25">
      <c r="A95" s="657" t="s">
        <v>902</v>
      </c>
    </row>
    <row r="96" spans="1:1" x14ac:dyDescent="0.25">
      <c r="A96" s="657" t="s">
        <v>903</v>
      </c>
    </row>
    <row r="97" spans="1:1" x14ac:dyDescent="0.25">
      <c r="A97" s="657" t="s">
        <v>904</v>
      </c>
    </row>
    <row r="98" spans="1:1" x14ac:dyDescent="0.25">
      <c r="A98" s="657" t="s">
        <v>905</v>
      </c>
    </row>
    <row r="99" spans="1:1" x14ac:dyDescent="0.25">
      <c r="A99" s="657" t="s">
        <v>906</v>
      </c>
    </row>
    <row r="100" spans="1:1" x14ac:dyDescent="0.25">
      <c r="A100" s="657" t="s">
        <v>907</v>
      </c>
    </row>
    <row r="101" spans="1:1" x14ac:dyDescent="0.25">
      <c r="A101" s="657" t="s">
        <v>908</v>
      </c>
    </row>
    <row r="103" spans="1:1" ht="15.75" customHeight="1" x14ac:dyDescent="0.25">
      <c r="A103" s="485" t="s">
        <v>909</v>
      </c>
    </row>
    <row r="104" spans="1:1" x14ac:dyDescent="0.25">
      <c r="A104" s="89" t="s">
        <v>910</v>
      </c>
    </row>
    <row r="105" spans="1:1" x14ac:dyDescent="0.25">
      <c r="A105" s="89" t="s">
        <v>911</v>
      </c>
    </row>
    <row r="107" spans="1:1" x14ac:dyDescent="0.25">
      <c r="A107" s="485" t="s">
        <v>912</v>
      </c>
    </row>
    <row r="108" spans="1:1" x14ac:dyDescent="0.25">
      <c r="A108" s="469" t="s">
        <v>913</v>
      </c>
    </row>
    <row r="110" spans="1:1" x14ac:dyDescent="0.25">
      <c r="A110" s="318" t="s">
        <v>914</v>
      </c>
    </row>
    <row r="111" spans="1:1" x14ac:dyDescent="0.25">
      <c r="A111" s="469" t="s">
        <v>915</v>
      </c>
    </row>
    <row r="112" spans="1:1" x14ac:dyDescent="0.25">
      <c r="A112" s="469" t="s">
        <v>916</v>
      </c>
    </row>
    <row r="113" spans="1:1" ht="31.5" x14ac:dyDescent="0.25">
      <c r="A113" s="468" t="s">
        <v>917</v>
      </c>
    </row>
    <row r="114" spans="1:1" x14ac:dyDescent="0.25">
      <c r="A114" s="469" t="s">
        <v>918</v>
      </c>
    </row>
    <row r="115" spans="1:1" x14ac:dyDescent="0.25">
      <c r="A115" s="469" t="s">
        <v>919</v>
      </c>
    </row>
    <row r="116" spans="1:1" x14ac:dyDescent="0.25">
      <c r="A116" s="469" t="s">
        <v>920</v>
      </c>
    </row>
    <row r="117" spans="1:1" x14ac:dyDescent="0.25">
      <c r="A117" s="469" t="s">
        <v>921</v>
      </c>
    </row>
    <row r="118" spans="1:1" x14ac:dyDescent="0.25">
      <c r="A118" s="469" t="s">
        <v>922</v>
      </c>
    </row>
    <row r="119" spans="1:1" x14ac:dyDescent="0.25">
      <c r="A119" s="469" t="s">
        <v>923</v>
      </c>
    </row>
    <row r="120" spans="1:1" x14ac:dyDescent="0.25">
      <c r="A120" s="469" t="s">
        <v>924</v>
      </c>
    </row>
    <row r="121" spans="1:1" x14ac:dyDescent="0.25">
      <c r="A121" s="469" t="s">
        <v>925</v>
      </c>
    </row>
    <row r="122" spans="1:1" x14ac:dyDescent="0.25">
      <c r="A122" s="469" t="s">
        <v>926</v>
      </c>
    </row>
    <row r="123" spans="1:1" x14ac:dyDescent="0.25">
      <c r="A123" s="469" t="s">
        <v>927</v>
      </c>
    </row>
    <row r="124" spans="1:1" x14ac:dyDescent="0.25">
      <c r="A124" s="469" t="s">
        <v>928</v>
      </c>
    </row>
    <row r="125" spans="1:1" x14ac:dyDescent="0.25">
      <c r="A125" s="469" t="s">
        <v>929</v>
      </c>
    </row>
    <row r="126" spans="1:1" x14ac:dyDescent="0.25">
      <c r="A126" s="469" t="s">
        <v>930</v>
      </c>
    </row>
    <row r="127" spans="1:1" x14ac:dyDescent="0.25">
      <c r="A127" s="469" t="s">
        <v>931</v>
      </c>
    </row>
    <row r="128" spans="1:1" x14ac:dyDescent="0.25">
      <c r="A128" s="469" t="s">
        <v>932</v>
      </c>
    </row>
    <row r="129" spans="1:1" x14ac:dyDescent="0.25">
      <c r="A129" s="469" t="s">
        <v>933</v>
      </c>
    </row>
    <row r="130" spans="1:1" x14ac:dyDescent="0.25">
      <c r="A130" s="469" t="s">
        <v>934</v>
      </c>
    </row>
    <row r="131" spans="1:1" ht="15.75" customHeight="1" x14ac:dyDescent="0.25">
      <c r="A131" s="469" t="s">
        <v>935</v>
      </c>
    </row>
    <row r="132" spans="1:1" x14ac:dyDescent="0.25">
      <c r="A132" s="469" t="s">
        <v>936</v>
      </c>
    </row>
    <row r="133" spans="1:1" x14ac:dyDescent="0.25">
      <c r="A133" s="89" t="s">
        <v>937</v>
      </c>
    </row>
    <row r="135" spans="1:1" x14ac:dyDescent="0.25">
      <c r="A135" s="318" t="s">
        <v>938</v>
      </c>
    </row>
    <row r="136" spans="1:1" ht="36" customHeight="1" x14ac:dyDescent="0.25">
      <c r="A136" s="173" t="s">
        <v>939</v>
      </c>
    </row>
    <row r="138" spans="1:1" x14ac:dyDescent="0.25">
      <c r="A138" s="318" t="s">
        <v>940</v>
      </c>
    </row>
    <row r="139" spans="1:1" x14ac:dyDescent="0.25">
      <c r="A139" s="89" t="s">
        <v>941</v>
      </c>
    </row>
    <row r="140" spans="1:1" x14ac:dyDescent="0.25">
      <c r="A140" s="89" t="s">
        <v>942</v>
      </c>
    </row>
    <row r="141" spans="1:1" x14ac:dyDescent="0.25">
      <c r="A141" s="89" t="s">
        <v>943</v>
      </c>
    </row>
    <row r="143" spans="1:1" x14ac:dyDescent="0.25">
      <c r="A143" s="318" t="s">
        <v>944</v>
      </c>
    </row>
    <row r="144" spans="1:1" x14ac:dyDescent="0.25">
      <c r="A144" s="89" t="s">
        <v>945</v>
      </c>
    </row>
    <row r="146" spans="1:1" x14ac:dyDescent="0.25">
      <c r="A146" s="317" t="s">
        <v>946</v>
      </c>
    </row>
    <row r="147" spans="1:1" x14ac:dyDescent="0.25">
      <c r="A147" s="89" t="s">
        <v>947</v>
      </c>
    </row>
    <row r="148" spans="1:1" x14ac:dyDescent="0.25">
      <c r="A148" s="89" t="s">
        <v>948</v>
      </c>
    </row>
    <row r="149" spans="1:1" x14ac:dyDescent="0.25">
      <c r="A149" s="89" t="s">
        <v>949</v>
      </c>
    </row>
    <row r="150" spans="1:1" ht="15.75" customHeight="1" x14ac:dyDescent="0.25">
      <c r="A150" s="89" t="s">
        <v>950</v>
      </c>
    </row>
    <row r="151" spans="1:1" x14ac:dyDescent="0.25">
      <c r="A151" s="89" t="s">
        <v>951</v>
      </c>
    </row>
    <row r="152" spans="1:1" x14ac:dyDescent="0.25">
      <c r="A152" s="89" t="s">
        <v>952</v>
      </c>
    </row>
    <row r="154" spans="1:1" x14ac:dyDescent="0.25">
      <c r="A154" s="317" t="s">
        <v>953</v>
      </c>
    </row>
    <row r="155" spans="1:1" x14ac:dyDescent="0.25">
      <c r="A155" s="89" t="s">
        <v>954</v>
      </c>
    </row>
    <row r="156" spans="1:1" x14ac:dyDescent="0.25">
      <c r="A156" s="89" t="s">
        <v>955</v>
      </c>
    </row>
    <row r="157" spans="1:1" x14ac:dyDescent="0.25">
      <c r="A157" s="89" t="s">
        <v>956</v>
      </c>
    </row>
    <row r="158" spans="1:1" x14ac:dyDescent="0.25">
      <c r="A158" s="89" t="s">
        <v>957</v>
      </c>
    </row>
    <row r="159" spans="1:1" x14ac:dyDescent="0.25">
      <c r="A159" s="89" t="s">
        <v>958</v>
      </c>
    </row>
    <row r="160" spans="1:1" x14ac:dyDescent="0.25">
      <c r="A160" s="89" t="s">
        <v>959</v>
      </c>
    </row>
    <row r="161" spans="1:1" x14ac:dyDescent="0.25">
      <c r="A161" s="89" t="s">
        <v>960</v>
      </c>
    </row>
    <row r="162" spans="1:1" x14ac:dyDescent="0.25">
      <c r="A162" s="89" t="s">
        <v>961</v>
      </c>
    </row>
    <row r="163" spans="1:1" x14ac:dyDescent="0.25">
      <c r="A163" s="89" t="s">
        <v>962</v>
      </c>
    </row>
    <row r="164" spans="1:1" x14ac:dyDescent="0.25">
      <c r="A164" s="89" t="s">
        <v>963</v>
      </c>
    </row>
    <row r="165" spans="1:1" x14ac:dyDescent="0.25">
      <c r="A165" s="89" t="s">
        <v>964</v>
      </c>
    </row>
    <row r="166" spans="1:1" x14ac:dyDescent="0.25">
      <c r="A166" s="89" t="s">
        <v>965</v>
      </c>
    </row>
    <row r="167" spans="1:1" x14ac:dyDescent="0.25">
      <c r="A167" s="89" t="s">
        <v>966</v>
      </c>
    </row>
    <row r="168" spans="1:1" x14ac:dyDescent="0.25">
      <c r="A168" s="89" t="s">
        <v>967</v>
      </c>
    </row>
    <row r="169" spans="1:1" ht="15.75" customHeight="1" x14ac:dyDescent="0.25">
      <c r="A169" s="89" t="s">
        <v>968</v>
      </c>
    </row>
    <row r="170" spans="1:1" x14ac:dyDescent="0.25">
      <c r="A170" s="89" t="s">
        <v>969</v>
      </c>
    </row>
    <row r="171" spans="1:1" x14ac:dyDescent="0.25">
      <c r="A171" s="300" t="s">
        <v>970</v>
      </c>
    </row>
    <row r="173" spans="1:1" x14ac:dyDescent="0.25">
      <c r="A173" s="317" t="s">
        <v>971</v>
      </c>
    </row>
    <row r="174" spans="1:1" x14ac:dyDescent="0.25">
      <c r="A174" s="89" t="s">
        <v>972</v>
      </c>
    </row>
    <row r="176" spans="1:1" x14ac:dyDescent="0.25">
      <c r="A176" s="317" t="s">
        <v>973</v>
      </c>
    </row>
    <row r="177" spans="1:1" x14ac:dyDescent="0.25">
      <c r="A177" s="89" t="s">
        <v>264</v>
      </c>
    </row>
    <row r="179" spans="1:1" x14ac:dyDescent="0.25">
      <c r="A179" s="317" t="s">
        <v>974</v>
      </c>
    </row>
    <row r="180" spans="1:1" ht="15.75" customHeight="1" x14ac:dyDescent="0.25">
      <c r="A180" s="89" t="s">
        <v>975</v>
      </c>
    </row>
    <row r="181" spans="1:1" x14ac:dyDescent="0.25">
      <c r="A181" s="89" t="s">
        <v>976</v>
      </c>
    </row>
    <row r="182" spans="1:1" x14ac:dyDescent="0.25">
      <c r="A182" s="89" t="s">
        <v>977</v>
      </c>
    </row>
    <row r="184" spans="1:1" ht="15.75" customHeight="1" x14ac:dyDescent="0.25">
      <c r="A184" s="317" t="s">
        <v>978</v>
      </c>
    </row>
    <row r="185" spans="1:1" x14ac:dyDescent="0.25">
      <c r="A185" s="89" t="s">
        <v>261</v>
      </c>
    </row>
    <row r="186" spans="1:1" x14ac:dyDescent="0.25">
      <c r="A186" s="89" t="s">
        <v>262</v>
      </c>
    </row>
    <row r="188" spans="1:1" x14ac:dyDescent="0.25">
      <c r="A188" s="317" t="s">
        <v>979</v>
      </c>
    </row>
    <row r="189" spans="1:1" x14ac:dyDescent="0.25">
      <c r="A189" s="89" t="s">
        <v>159</v>
      </c>
    </row>
    <row r="190" spans="1:1" ht="31.5" x14ac:dyDescent="0.25">
      <c r="A190" s="173" t="s">
        <v>160</v>
      </c>
    </row>
    <row r="191" spans="1:1" x14ac:dyDescent="0.25">
      <c r="A191" s="89" t="s">
        <v>170</v>
      </c>
    </row>
    <row r="192" spans="1:1" x14ac:dyDescent="0.25">
      <c r="A192" s="89" t="s">
        <v>171</v>
      </c>
    </row>
    <row r="193" spans="1:1" x14ac:dyDescent="0.25">
      <c r="A193" s="89" t="s">
        <v>172</v>
      </c>
    </row>
    <row r="194" spans="1:1" x14ac:dyDescent="0.25">
      <c r="A194" s="89" t="s">
        <v>173</v>
      </c>
    </row>
    <row r="195" spans="1:1" ht="31.5" x14ac:dyDescent="0.25">
      <c r="A195" s="173" t="s">
        <v>167</v>
      </c>
    </row>
    <row r="196" spans="1:1" ht="31.5" x14ac:dyDescent="0.25">
      <c r="A196" s="173" t="s">
        <v>174</v>
      </c>
    </row>
    <row r="197" spans="1:1" ht="31.5" x14ac:dyDescent="0.25">
      <c r="A197" s="173" t="s">
        <v>175</v>
      </c>
    </row>
    <row r="198" spans="1:1" x14ac:dyDescent="0.25">
      <c r="A198" s="173" t="s">
        <v>176</v>
      </c>
    </row>
    <row r="199" spans="1:1" ht="31.5" x14ac:dyDescent="0.25">
      <c r="A199" s="173" t="s">
        <v>177</v>
      </c>
    </row>
    <row r="200" spans="1:1" x14ac:dyDescent="0.25">
      <c r="A200" s="89" t="s">
        <v>178</v>
      </c>
    </row>
    <row r="201" spans="1:1" x14ac:dyDescent="0.25">
      <c r="A201" s="89" t="s">
        <v>179</v>
      </c>
    </row>
    <row r="202" spans="1:1" x14ac:dyDescent="0.25">
      <c r="A202" s="89" t="s">
        <v>180</v>
      </c>
    </row>
    <row r="203" spans="1:1" x14ac:dyDescent="0.25">
      <c r="A203" s="89" t="s">
        <v>181</v>
      </c>
    </row>
    <row r="204" spans="1:1" ht="31.5" x14ac:dyDescent="0.25">
      <c r="A204" s="173" t="s">
        <v>182</v>
      </c>
    </row>
    <row r="205" spans="1:1" x14ac:dyDescent="0.25">
      <c r="A205" s="173" t="s">
        <v>161</v>
      </c>
    </row>
    <row r="206" spans="1:1" ht="31.5" x14ac:dyDescent="0.25">
      <c r="A206" s="173" t="s">
        <v>980</v>
      </c>
    </row>
    <row r="207" spans="1:1" x14ac:dyDescent="0.25">
      <c r="A207" s="173" t="s">
        <v>981</v>
      </c>
    </row>
    <row r="208" spans="1:1" x14ac:dyDescent="0.25">
      <c r="A208" s="173" t="s">
        <v>162</v>
      </c>
    </row>
    <row r="209" spans="1:1" x14ac:dyDescent="0.25">
      <c r="A209" s="173" t="s">
        <v>163</v>
      </c>
    </row>
    <row r="210" spans="1:1" ht="31.5" x14ac:dyDescent="0.25">
      <c r="A210" s="173" t="s">
        <v>164</v>
      </c>
    </row>
    <row r="211" spans="1:1" ht="31.5" x14ac:dyDescent="0.25">
      <c r="A211" s="173" t="s">
        <v>168</v>
      </c>
    </row>
    <row r="212" spans="1:1" ht="31.5" x14ac:dyDescent="0.25">
      <c r="A212" s="173" t="s">
        <v>165</v>
      </c>
    </row>
    <row r="213" spans="1:1" ht="31.5" x14ac:dyDescent="0.25">
      <c r="A213" s="173" t="s">
        <v>982</v>
      </c>
    </row>
    <row r="214" spans="1:1" x14ac:dyDescent="0.25">
      <c r="A214" s="173" t="s">
        <v>169</v>
      </c>
    </row>
    <row r="215" spans="1:1" x14ac:dyDescent="0.25">
      <c r="A215" s="173"/>
    </row>
    <row r="216" spans="1:1" x14ac:dyDescent="0.25">
      <c r="A216" s="317" t="s">
        <v>983</v>
      </c>
    </row>
    <row r="217" spans="1:1" ht="47.25" x14ac:dyDescent="0.25">
      <c r="A217" s="173" t="s">
        <v>130</v>
      </c>
    </row>
    <row r="218" spans="1:1" x14ac:dyDescent="0.25">
      <c r="A218" s="89" t="s">
        <v>105</v>
      </c>
    </row>
    <row r="219" spans="1:1" x14ac:dyDescent="0.25">
      <c r="A219" s="89" t="s">
        <v>109</v>
      </c>
    </row>
    <row r="220" spans="1:1" x14ac:dyDescent="0.25">
      <c r="A220" s="89" t="s">
        <v>110</v>
      </c>
    </row>
    <row r="221" spans="1:1" x14ac:dyDescent="0.25">
      <c r="A221" s="89" t="s">
        <v>106</v>
      </c>
    </row>
    <row r="222" spans="1:1" x14ac:dyDescent="0.25">
      <c r="A222" s="89" t="s">
        <v>107</v>
      </c>
    </row>
    <row r="223" spans="1:1" x14ac:dyDescent="0.25">
      <c r="A223" s="89" t="s">
        <v>108</v>
      </c>
    </row>
    <row r="224" spans="1:1" x14ac:dyDescent="0.25">
      <c r="A224" s="173" t="s">
        <v>191</v>
      </c>
    </row>
    <row r="225" spans="1:1" x14ac:dyDescent="0.25">
      <c r="A225" s="89" t="s">
        <v>111</v>
      </c>
    </row>
    <row r="226" spans="1:1" x14ac:dyDescent="0.25">
      <c r="A226" s="89" t="s">
        <v>112</v>
      </c>
    </row>
    <row r="227" spans="1:1" x14ac:dyDescent="0.25">
      <c r="A227" s="89" t="s">
        <v>131</v>
      </c>
    </row>
    <row r="228" spans="1:1" x14ac:dyDescent="0.25">
      <c r="A228" s="89" t="s">
        <v>122</v>
      </c>
    </row>
    <row r="229" spans="1:1" x14ac:dyDescent="0.25">
      <c r="A229" s="89" t="s">
        <v>132</v>
      </c>
    </row>
    <row r="230" spans="1:1" x14ac:dyDescent="0.25">
      <c r="A230" s="89" t="s">
        <v>113</v>
      </c>
    </row>
    <row r="231" spans="1:1" x14ac:dyDescent="0.25">
      <c r="A231" s="89" t="s">
        <v>192</v>
      </c>
    </row>
    <row r="232" spans="1:1" x14ac:dyDescent="0.25">
      <c r="A232" s="89" t="s">
        <v>114</v>
      </c>
    </row>
    <row r="233" spans="1:1" x14ac:dyDescent="0.25">
      <c r="A233" s="89" t="s">
        <v>123</v>
      </c>
    </row>
    <row r="234" spans="1:1" ht="31.5" x14ac:dyDescent="0.25">
      <c r="A234" s="173" t="s">
        <v>124</v>
      </c>
    </row>
    <row r="235" spans="1:1" x14ac:dyDescent="0.25">
      <c r="A235" s="89" t="s">
        <v>125</v>
      </c>
    </row>
    <row r="236" spans="1:1" x14ac:dyDescent="0.25">
      <c r="A236" s="89" t="s">
        <v>133</v>
      </c>
    </row>
    <row r="237" spans="1:1" x14ac:dyDescent="0.25">
      <c r="A237" s="89" t="s">
        <v>166</v>
      </c>
    </row>
    <row r="238" spans="1:1" x14ac:dyDescent="0.25">
      <c r="A238" s="89" t="s">
        <v>190</v>
      </c>
    </row>
    <row r="239" spans="1:1" x14ac:dyDescent="0.25">
      <c r="A239" s="89" t="s">
        <v>135</v>
      </c>
    </row>
    <row r="240" spans="1:1" x14ac:dyDescent="0.25">
      <c r="A240" s="89" t="s">
        <v>189</v>
      </c>
    </row>
    <row r="241" spans="1:1" x14ac:dyDescent="0.25">
      <c r="A241" s="89" t="s">
        <v>136</v>
      </c>
    </row>
    <row r="242" spans="1:1" x14ac:dyDescent="0.25">
      <c r="A242" s="89" t="s">
        <v>141</v>
      </c>
    </row>
    <row r="243" spans="1:1" ht="15.75" customHeight="1" x14ac:dyDescent="0.25">
      <c r="A243" s="89" t="s">
        <v>142</v>
      </c>
    </row>
    <row r="244" spans="1:1" ht="15.75" customHeight="1" x14ac:dyDescent="0.25">
      <c r="A244" s="89" t="s">
        <v>150</v>
      </c>
    </row>
    <row r="245" spans="1:1" x14ac:dyDescent="0.25">
      <c r="A245" s="89" t="s">
        <v>151</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election activeCell="B16" sqref="B16"/>
    </sheetView>
  </sheetViews>
  <sheetFormatPr defaultColWidth="8.796875" defaultRowHeight="15.75" x14ac:dyDescent="0.25"/>
  <cols>
    <col min="1" max="1" width="13.69921875" style="301" customWidth="1"/>
    <col min="2" max="2" width="16" style="301" bestFit="1" customWidth="1"/>
    <col min="3" max="16384" width="8.796875" style="301"/>
  </cols>
  <sheetData>
    <row r="1" spans="1:10" x14ac:dyDescent="0.2">
      <c r="J1" s="492" t="s">
        <v>667</v>
      </c>
    </row>
    <row r="2" spans="1:10" ht="31.5" customHeight="1" x14ac:dyDescent="0.2">
      <c r="A2" s="865" t="s">
        <v>314</v>
      </c>
      <c r="B2" s="866"/>
      <c r="C2" s="866"/>
      <c r="D2" s="866"/>
      <c r="E2" s="866"/>
      <c r="F2" s="866"/>
      <c r="J2" s="492" t="s">
        <v>668</v>
      </c>
    </row>
    <row r="3" spans="1:10" x14ac:dyDescent="0.2">
      <c r="J3" s="492" t="s">
        <v>669</v>
      </c>
    </row>
    <row r="4" spans="1:10" x14ac:dyDescent="0.25">
      <c r="A4" s="1" t="s">
        <v>679</v>
      </c>
      <c r="B4" s="668" t="s">
        <v>201</v>
      </c>
      <c r="J4" s="492" t="s">
        <v>670</v>
      </c>
    </row>
    <row r="5" spans="1:10" x14ac:dyDescent="0.25">
      <c r="A5" s="1"/>
      <c r="B5" s="493"/>
      <c r="J5" s="492" t="s">
        <v>671</v>
      </c>
    </row>
    <row r="6" spans="1:10" x14ac:dyDescent="0.25">
      <c r="A6" s="1" t="s">
        <v>680</v>
      </c>
      <c r="B6" s="668" t="s">
        <v>1006</v>
      </c>
      <c r="J6" s="492" t="s">
        <v>672</v>
      </c>
    </row>
    <row r="7" spans="1:10" x14ac:dyDescent="0.2">
      <c r="D7" s="302"/>
      <c r="J7" s="492" t="s">
        <v>673</v>
      </c>
    </row>
    <row r="8" spans="1:10" x14ac:dyDescent="0.2">
      <c r="A8" s="172" t="s">
        <v>309</v>
      </c>
      <c r="B8" s="669" t="s">
        <v>1007</v>
      </c>
      <c r="C8" s="303"/>
      <c r="D8" s="172" t="s">
        <v>666</v>
      </c>
      <c r="J8" s="492" t="s">
        <v>674</v>
      </c>
    </row>
    <row r="9" spans="1:10" x14ac:dyDescent="0.2">
      <c r="A9" s="172"/>
      <c r="B9" s="304"/>
      <c r="C9" s="305"/>
      <c r="D9" s="494" t="e">
        <f ca="1">IF(B8="","",CONCATENATE("Latest date for notice to be published in your newspaper: ",G19," ",G23,", ",G24))</f>
        <v>#VALUE!</v>
      </c>
      <c r="J9" s="492" t="s">
        <v>675</v>
      </c>
    </row>
    <row r="10" spans="1:10" x14ac:dyDescent="0.2">
      <c r="A10" s="172" t="s">
        <v>310</v>
      </c>
      <c r="B10" s="669" t="s">
        <v>1008</v>
      </c>
      <c r="C10" s="306"/>
      <c r="D10" s="172"/>
      <c r="J10" s="492" t="s">
        <v>676</v>
      </c>
    </row>
    <row r="11" spans="1:10" x14ac:dyDescent="0.2">
      <c r="A11" s="172"/>
      <c r="B11" s="172"/>
      <c r="C11" s="172"/>
      <c r="D11" s="172"/>
      <c r="J11" s="492" t="s">
        <v>677</v>
      </c>
    </row>
    <row r="12" spans="1:10" x14ac:dyDescent="0.2">
      <c r="A12" s="172" t="s">
        <v>311</v>
      </c>
      <c r="B12" s="670" t="s">
        <v>1009</v>
      </c>
      <c r="C12" s="671"/>
      <c r="D12" s="671"/>
      <c r="E12" s="672"/>
      <c r="J12" s="492" t="s">
        <v>678</v>
      </c>
    </row>
    <row r="13" spans="1:10" x14ac:dyDescent="0.25">
      <c r="A13" s="172"/>
      <c r="B13" s="172"/>
      <c r="C13" s="172"/>
      <c r="D13" s="172"/>
    </row>
    <row r="14" spans="1:10" x14ac:dyDescent="0.25">
      <c r="A14" s="172"/>
      <c r="B14" s="172"/>
      <c r="C14" s="172"/>
      <c r="D14" s="172"/>
    </row>
    <row r="15" spans="1:10" x14ac:dyDescent="0.25">
      <c r="A15" s="172" t="s">
        <v>312</v>
      </c>
      <c r="B15" s="670" t="s">
        <v>1009</v>
      </c>
      <c r="C15" s="671"/>
      <c r="D15" s="671"/>
      <c r="E15" s="672"/>
    </row>
    <row r="18" spans="1:7" x14ac:dyDescent="0.25">
      <c r="A18" s="867" t="s">
        <v>315</v>
      </c>
      <c r="B18" s="867"/>
      <c r="C18" s="172"/>
      <c r="D18" s="172"/>
      <c r="E18" s="172"/>
    </row>
    <row r="19" spans="1:7" x14ac:dyDescent="0.2">
      <c r="A19" s="172"/>
      <c r="B19" s="172"/>
      <c r="C19" s="172"/>
      <c r="D19" s="172"/>
      <c r="E19" s="172"/>
      <c r="G19" s="492" t="e">
        <f ca="1">IF(B8="","",INDIRECT(G20))</f>
        <v>#VALUE!</v>
      </c>
    </row>
    <row r="20" spans="1:7" x14ac:dyDescent="0.25">
      <c r="A20" s="172" t="s">
        <v>309</v>
      </c>
      <c r="B20" s="304" t="s">
        <v>313</v>
      </c>
      <c r="C20" s="172"/>
      <c r="D20" s="172"/>
      <c r="E20" s="172"/>
      <c r="G20" s="495" t="e">
        <f>IF(B8="","",CONCATENATE("J",G22))</f>
        <v>#VALUE!</v>
      </c>
    </row>
    <row r="21" spans="1:7" x14ac:dyDescent="0.25">
      <c r="A21" s="172"/>
      <c r="B21" s="172"/>
      <c r="C21" s="172"/>
      <c r="D21" s="172"/>
      <c r="E21" s="172"/>
      <c r="G21" s="496" t="e">
        <f>B8-10</f>
        <v>#VALUE!</v>
      </c>
    </row>
    <row r="22" spans="1:7" x14ac:dyDescent="0.25">
      <c r="A22" s="172" t="s">
        <v>310</v>
      </c>
      <c r="B22" s="172" t="s">
        <v>316</v>
      </c>
      <c r="C22" s="172"/>
      <c r="D22" s="172"/>
      <c r="E22" s="172"/>
      <c r="G22" s="497" t="e">
        <f>IF(B8="","",MONTH(G21))</f>
        <v>#VALUE!</v>
      </c>
    </row>
    <row r="23" spans="1:7" x14ac:dyDescent="0.25">
      <c r="A23" s="172"/>
      <c r="B23" s="172"/>
      <c r="C23" s="172"/>
      <c r="D23" s="172"/>
      <c r="E23" s="172"/>
      <c r="G23" s="498" t="e">
        <f>IF(B8="","",DAY(G21))</f>
        <v>#VALUE!</v>
      </c>
    </row>
    <row r="24" spans="1:7" x14ac:dyDescent="0.25">
      <c r="A24" s="172" t="s">
        <v>311</v>
      </c>
      <c r="B24" s="172" t="s">
        <v>317</v>
      </c>
      <c r="C24" s="172"/>
      <c r="D24" s="172"/>
      <c r="E24" s="172"/>
      <c r="G24" s="499" t="e">
        <f>IF(B8="","",YEAR(G21))</f>
        <v>#VALUE!</v>
      </c>
    </row>
    <row r="25" spans="1:7" x14ac:dyDescent="0.25">
      <c r="A25" s="172"/>
      <c r="B25" s="172"/>
      <c r="C25" s="172"/>
      <c r="D25" s="172"/>
      <c r="E25" s="172"/>
    </row>
    <row r="26" spans="1:7" x14ac:dyDescent="0.25">
      <c r="A26" s="172" t="s">
        <v>312</v>
      </c>
      <c r="B26" s="172" t="s">
        <v>318</v>
      </c>
      <c r="C26" s="172"/>
      <c r="D26" s="172"/>
      <c r="E26" s="172"/>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46"/>
  <sheetViews>
    <sheetView workbookViewId="0">
      <selection activeCell="C16" sqref="C16"/>
    </sheetView>
  </sheetViews>
  <sheetFormatPr defaultRowHeight="15.75" x14ac:dyDescent="0.25"/>
  <cols>
    <col min="1" max="1" width="87.8984375" customWidth="1"/>
  </cols>
  <sheetData>
    <row r="1" spans="1:1" x14ac:dyDescent="0.25">
      <c r="A1" s="483" t="s">
        <v>996</v>
      </c>
    </row>
    <row r="2" spans="1:1" x14ac:dyDescent="0.25">
      <c r="A2" s="177"/>
    </row>
    <row r="3" spans="1:1" x14ac:dyDescent="0.25">
      <c r="A3" s="177"/>
    </row>
    <row r="4" spans="1:1" x14ac:dyDescent="0.25">
      <c r="A4" s="177"/>
    </row>
    <row r="5" spans="1:1" x14ac:dyDescent="0.25">
      <c r="A5" s="177"/>
    </row>
    <row r="6" spans="1:1" x14ac:dyDescent="0.25">
      <c r="A6" s="177"/>
    </row>
    <row r="7" spans="1:1" x14ac:dyDescent="0.25">
      <c r="A7" s="177"/>
    </row>
    <row r="8" spans="1:1" x14ac:dyDescent="0.25">
      <c r="A8" s="177"/>
    </row>
    <row r="9" spans="1:1" x14ac:dyDescent="0.25">
      <c r="A9" s="177"/>
    </row>
    <row r="10" spans="1:1" x14ac:dyDescent="0.25">
      <c r="A10" s="177"/>
    </row>
    <row r="11" spans="1:1" x14ac:dyDescent="0.25">
      <c r="A11" s="177"/>
    </row>
    <row r="12" spans="1:1" x14ac:dyDescent="0.25">
      <c r="A12" s="177"/>
    </row>
    <row r="13" spans="1:1" x14ac:dyDescent="0.25">
      <c r="A13" s="177"/>
    </row>
    <row r="14" spans="1:1" x14ac:dyDescent="0.25">
      <c r="A14" s="177"/>
    </row>
    <row r="15" spans="1:1" x14ac:dyDescent="0.25">
      <c r="A15" s="177"/>
    </row>
    <row r="16" spans="1:1" x14ac:dyDescent="0.25">
      <c r="A16" s="177"/>
    </row>
    <row r="17" spans="1:1" x14ac:dyDescent="0.25">
      <c r="A17" s="177"/>
    </row>
    <row r="18" spans="1:1" x14ac:dyDescent="0.25">
      <c r="A18" s="177"/>
    </row>
    <row r="19" spans="1:1" x14ac:dyDescent="0.25">
      <c r="A19" s="177"/>
    </row>
    <row r="20" spans="1:1" x14ac:dyDescent="0.25">
      <c r="A20" s="177"/>
    </row>
    <row r="21" spans="1:1" x14ac:dyDescent="0.25">
      <c r="A21" s="177"/>
    </row>
    <row r="22" spans="1:1" x14ac:dyDescent="0.25">
      <c r="A22" s="177"/>
    </row>
    <row r="23" spans="1:1" x14ac:dyDescent="0.25">
      <c r="A23" s="177"/>
    </row>
    <row r="24" spans="1:1" x14ac:dyDescent="0.25">
      <c r="A24" s="177"/>
    </row>
    <row r="25" spans="1:1" x14ac:dyDescent="0.25">
      <c r="A25" s="177"/>
    </row>
    <row r="26" spans="1:1" x14ac:dyDescent="0.25">
      <c r="A26" s="177"/>
    </row>
    <row r="27" spans="1:1" x14ac:dyDescent="0.25">
      <c r="A27" s="177"/>
    </row>
    <row r="28" spans="1:1" x14ac:dyDescent="0.25">
      <c r="A28" s="177"/>
    </row>
    <row r="29" spans="1:1" x14ac:dyDescent="0.25">
      <c r="A29" s="177"/>
    </row>
    <row r="30" spans="1:1" x14ac:dyDescent="0.25">
      <c r="A30" s="177"/>
    </row>
    <row r="31" spans="1:1" x14ac:dyDescent="0.25">
      <c r="A31" s="177"/>
    </row>
    <row r="32" spans="1:1" x14ac:dyDescent="0.25">
      <c r="A32" s="177"/>
    </row>
    <row r="33" spans="1:1" x14ac:dyDescent="0.25">
      <c r="A33" s="177"/>
    </row>
    <row r="34" spans="1:1" x14ac:dyDescent="0.25">
      <c r="A34" s="177"/>
    </row>
    <row r="35" spans="1:1" x14ac:dyDescent="0.25">
      <c r="A35" s="177"/>
    </row>
    <row r="36" spans="1:1" x14ac:dyDescent="0.25">
      <c r="A36" s="177"/>
    </row>
    <row r="37" spans="1:1" x14ac:dyDescent="0.25">
      <c r="A37" s="177"/>
    </row>
    <row r="38" spans="1:1" x14ac:dyDescent="0.25">
      <c r="A38" s="177"/>
    </row>
    <row r="39" spans="1:1" x14ac:dyDescent="0.25">
      <c r="A39" s="177"/>
    </row>
    <row r="40" spans="1:1" x14ac:dyDescent="0.25">
      <c r="A40" s="177"/>
    </row>
    <row r="41" spans="1:1" x14ac:dyDescent="0.25">
      <c r="A41" s="177"/>
    </row>
    <row r="42" spans="1:1" x14ac:dyDescent="0.25">
      <c r="A42" s="177"/>
    </row>
    <row r="43" spans="1:1" x14ac:dyDescent="0.25">
      <c r="A43" s="177"/>
    </row>
    <row r="44" spans="1:1" x14ac:dyDescent="0.25">
      <c r="A44" s="177"/>
    </row>
    <row r="45" spans="1:1" x14ac:dyDescent="0.25">
      <c r="A45" s="177"/>
    </row>
    <row r="46" spans="1:1" x14ac:dyDescent="0.25">
      <c r="A46" s="17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F0"/>
    <pageSetUpPr fitToPage="1"/>
  </sheetPr>
  <dimension ref="A1:J74"/>
  <sheetViews>
    <sheetView tabSelected="1" workbookViewId="0">
      <selection activeCell="L72" sqref="L72"/>
    </sheetView>
  </sheetViews>
  <sheetFormatPr defaultColWidth="8.796875" defaultRowHeight="15.75" x14ac:dyDescent="0.25"/>
  <cols>
    <col min="1" max="1" width="22.3984375" style="89" customWidth="1"/>
    <col min="2" max="2" width="10.8984375" style="89" customWidth="1"/>
    <col min="3" max="3" width="5.69921875" style="89" customWidth="1"/>
    <col min="4" max="4" width="15.69921875" style="89" customWidth="1"/>
    <col min="5" max="5" width="12.69921875" style="89" customWidth="1"/>
    <col min="6" max="6" width="10.69921875" style="89" customWidth="1"/>
    <col min="7" max="16384" width="8.796875" style="89"/>
  </cols>
  <sheetData>
    <row r="1" spans="1:7" s="43" customFormat="1" x14ac:dyDescent="0.25">
      <c r="A1" s="868" t="s">
        <v>22</v>
      </c>
      <c r="B1" s="868"/>
      <c r="C1" s="868"/>
      <c r="D1" s="868"/>
      <c r="E1" s="868"/>
      <c r="F1" s="868"/>
      <c r="G1" s="43">
        <f>inputPrYr!D10</f>
        <v>2020</v>
      </c>
    </row>
    <row r="2" spans="1:7" s="43" customFormat="1" x14ac:dyDescent="0.25">
      <c r="B2" s="44"/>
      <c r="C2" s="44"/>
      <c r="D2" s="44"/>
      <c r="E2" s="44"/>
      <c r="F2" s="45"/>
    </row>
    <row r="3" spans="1:7" s="43" customFormat="1" x14ac:dyDescent="0.25">
      <c r="A3" s="877" t="str">
        <f>CONCATENATE("To the Clerk of ",inputPrYr!D5,", State of Kansas")</f>
        <v>To the Clerk of Lincoln County, State of Kansas</v>
      </c>
      <c r="B3" s="879"/>
      <c r="C3" s="879"/>
      <c r="D3" s="879"/>
      <c r="E3" s="879"/>
      <c r="F3" s="879"/>
    </row>
    <row r="4" spans="1:7" s="43" customFormat="1" x14ac:dyDescent="0.25">
      <c r="A4" s="877" t="s">
        <v>76</v>
      </c>
      <c r="B4" s="842"/>
      <c r="C4" s="842"/>
      <c r="D4" s="842"/>
      <c r="E4" s="842"/>
      <c r="F4" s="842"/>
    </row>
    <row r="5" spans="1:7" s="43" customFormat="1" x14ac:dyDescent="0.25">
      <c r="A5" s="841" t="str">
        <f>inputPrYr!D4</f>
        <v>Scott Township</v>
      </c>
      <c r="B5" s="842"/>
      <c r="C5" s="842"/>
      <c r="D5" s="842"/>
      <c r="E5" s="842"/>
      <c r="F5" s="842"/>
    </row>
    <row r="6" spans="1:7" s="43" customFormat="1" x14ac:dyDescent="0.25">
      <c r="A6" s="875" t="s">
        <v>74</v>
      </c>
      <c r="B6" s="876"/>
      <c r="C6" s="876"/>
      <c r="D6" s="876"/>
      <c r="E6" s="876"/>
      <c r="F6" s="876"/>
    </row>
    <row r="7" spans="1:7" s="43" customFormat="1" ht="15.75" customHeight="1" x14ac:dyDescent="0.25">
      <c r="A7" s="877" t="s">
        <v>75</v>
      </c>
      <c r="B7" s="878"/>
      <c r="C7" s="878"/>
      <c r="D7" s="878"/>
      <c r="E7" s="878"/>
      <c r="F7" s="878"/>
    </row>
    <row r="8" spans="1:7" s="43" customFormat="1" ht="15.75" customHeight="1" x14ac:dyDescent="0.25">
      <c r="A8" s="877" t="str">
        <f>CONCATENATE("maximum expenditures for the various funds for the year ",G1,"; and (3) the")</f>
        <v>maximum expenditures for the various funds for the year 2020; and (3) the</v>
      </c>
      <c r="B8" s="842"/>
      <c r="C8" s="842"/>
      <c r="D8" s="842"/>
      <c r="E8" s="842"/>
      <c r="F8" s="842"/>
    </row>
    <row r="9" spans="1:7" s="43" customFormat="1" ht="15.75" customHeight="1" x14ac:dyDescent="0.25">
      <c r="A9" s="877" t="str">
        <f>CONCATENATE("Amount(s) of ",G1-1," Ad Valorem Tax are within statutory limitations for the ",G1," Budget.")</f>
        <v>Amount(s) of 2019 Ad Valorem Tax are within statutory limitations for the 2020 Budget.</v>
      </c>
      <c r="B9" s="842"/>
      <c r="C9" s="842"/>
      <c r="D9" s="842"/>
      <c r="E9" s="842"/>
      <c r="F9" s="842"/>
    </row>
    <row r="10" spans="1:7" s="43" customFormat="1" ht="15.75" customHeight="1" x14ac:dyDescent="0.25">
      <c r="D10" s="48"/>
      <c r="E10" s="48"/>
      <c r="F10" s="48"/>
    </row>
    <row r="11" spans="1:7" s="43" customFormat="1" x14ac:dyDescent="0.25">
      <c r="C11" s="49"/>
      <c r="D11" s="872" t="str">
        <f>CONCATENATE("",G1," Adopted Budget")</f>
        <v>2020 Adopted Budget</v>
      </c>
      <c r="E11" s="873"/>
      <c r="F11" s="874"/>
    </row>
    <row r="12" spans="1:7" s="43" customFormat="1" x14ac:dyDescent="0.25">
      <c r="A12" s="50"/>
      <c r="C12" s="48"/>
      <c r="D12" s="51" t="s">
        <v>201</v>
      </c>
      <c r="E12" s="869" t="str">
        <f>CONCATENATE("Amount of ",G1-1," Ad Valorem Tax")</f>
        <v>Amount of 2019 Ad Valorem Tax</v>
      </c>
      <c r="F12" s="52" t="s">
        <v>202</v>
      </c>
    </row>
    <row r="13" spans="1:7" s="43" customFormat="1" x14ac:dyDescent="0.25">
      <c r="C13" s="52" t="s">
        <v>203</v>
      </c>
      <c r="D13" s="425" t="s">
        <v>138</v>
      </c>
      <c r="E13" s="870"/>
      <c r="F13" s="54" t="s">
        <v>204</v>
      </c>
    </row>
    <row r="14" spans="1:7" s="43" customFormat="1" x14ac:dyDescent="0.25">
      <c r="A14" s="55" t="s">
        <v>205</v>
      </c>
      <c r="B14" s="56"/>
      <c r="C14" s="57" t="s">
        <v>206</v>
      </c>
      <c r="D14" s="426" t="s">
        <v>633</v>
      </c>
      <c r="E14" s="871"/>
      <c r="F14" s="57" t="s">
        <v>208</v>
      </c>
    </row>
    <row r="15" spans="1:7" s="43" customFormat="1" x14ac:dyDescent="0.25">
      <c r="A15" s="58" t="str">
        <f>CONCATENATE("Computation to Determine Limit for ",G1,"")</f>
        <v>Computation to Determine Limit for 2020</v>
      </c>
      <c r="B15" s="59"/>
      <c r="C15" s="52">
        <v>2</v>
      </c>
      <c r="D15" s="49"/>
      <c r="E15" s="49"/>
      <c r="F15" s="60"/>
    </row>
    <row r="16" spans="1:7" s="43" customFormat="1" x14ac:dyDescent="0.25">
      <c r="A16" s="58" t="s">
        <v>658</v>
      </c>
      <c r="B16" s="59"/>
      <c r="C16" s="61">
        <v>3</v>
      </c>
      <c r="D16" s="49"/>
      <c r="E16" s="49"/>
      <c r="F16" s="62"/>
    </row>
    <row r="17" spans="1:6" s="43" customFormat="1" x14ac:dyDescent="0.25">
      <c r="A17" s="63" t="s">
        <v>87</v>
      </c>
      <c r="B17" s="59"/>
      <c r="C17" s="61">
        <v>4</v>
      </c>
      <c r="D17" s="49"/>
      <c r="E17" s="49"/>
      <c r="F17" s="62"/>
    </row>
    <row r="18" spans="1:6" s="43" customFormat="1" x14ac:dyDescent="0.25">
      <c r="A18" s="63" t="s">
        <v>67</v>
      </c>
      <c r="B18" s="59"/>
      <c r="C18" s="61">
        <v>5</v>
      </c>
      <c r="D18" s="49"/>
      <c r="E18" s="49"/>
      <c r="F18" s="62"/>
    </row>
    <row r="19" spans="1:6" s="43" customFormat="1" x14ac:dyDescent="0.25">
      <c r="A19" s="63" t="str">
        <f>IF(inputPrYr!D25="","","Computation to Determine State Library Grant")</f>
        <v/>
      </c>
      <c r="B19" s="59"/>
      <c r="C19" s="61" t="str">
        <f>IF(inputPrYr!D25="","",'Library Grant'!F40)</f>
        <v/>
      </c>
      <c r="D19" s="49"/>
      <c r="E19" s="49"/>
      <c r="F19" s="62"/>
    </row>
    <row r="20" spans="1:6" s="43" customFormat="1" x14ac:dyDescent="0.25">
      <c r="A20" s="64" t="s">
        <v>209</v>
      </c>
      <c r="B20" s="65" t="s">
        <v>210</v>
      </c>
      <c r="C20" s="66"/>
      <c r="F20" s="67"/>
    </row>
    <row r="21" spans="1:6" s="43" customFormat="1" x14ac:dyDescent="0.25">
      <c r="A21" s="68" t="str">
        <f>inputPrYr!B23</f>
        <v>General</v>
      </c>
      <c r="B21" s="69" t="str">
        <f>inputPrYr!C23</f>
        <v>79-1962</v>
      </c>
      <c r="C21" s="70">
        <f>IF(gen!C63&gt;0,gen!C63,"  ")</f>
        <v>6</v>
      </c>
      <c r="D21" s="500">
        <f>IF(gen!$E$50&lt;&gt;0,gen!$E$50,"  ")</f>
        <v>4900</v>
      </c>
      <c r="E21" s="500">
        <f>IF(gen!$E$57&lt;&gt;0,gen!$E$57,0)</f>
        <v>3000</v>
      </c>
      <c r="F21" s="501" t="str">
        <f>IF(AND(gen!E57=0,$B$47&gt;=0)," ",IF(AND(E21&gt;0,$B$47=0)," ",IF(AND(E21&gt;0,$B$47&gt;0),ROUND(E21/$B$47*1000,3))))</f>
        <v xml:space="preserve"> </v>
      </c>
    </row>
    <row r="22" spans="1:6" s="43" customFormat="1" x14ac:dyDescent="0.25">
      <c r="A22" s="68" t="s">
        <v>263</v>
      </c>
      <c r="B22" s="69" t="str">
        <f>IF(inputPrYr!C24&gt;0,inputPrYr!C24,"")</f>
        <v>10-113</v>
      </c>
      <c r="C22" s="70" t="str">
        <f>IF('DebtSvs-Library'!C88&gt;0,'DebtSvs-Library'!C88,"  ")</f>
        <v xml:space="preserve">  </v>
      </c>
      <c r="D22" s="500" t="str">
        <f>IF('DebtSvs-Library'!E34&lt;&gt;0,'DebtSvs-Library'!E34,"  ")</f>
        <v xml:space="preserve">  </v>
      </c>
      <c r="E22" s="500" t="str">
        <f>IF('DebtSvs-Library'!E41&lt;&gt;0,'DebtSvs-Library'!E41,"  ")</f>
        <v xml:space="preserve">  </v>
      </c>
      <c r="F22" s="501" t="str">
        <f>IF(AND('DebtSvs-Library'!E41=0,$B$47&gt;=0)," ",IF(AND(E22&gt;0,$B$47=0)," ",IF(AND(E22&gt;0,$B$47&gt;0),ROUND(E22/$B$47*1000,3))))</f>
        <v xml:space="preserve"> </v>
      </c>
    </row>
    <row r="23" spans="1:6" s="43" customFormat="1" x14ac:dyDescent="0.25">
      <c r="A23" s="68" t="str">
        <f>IF(inputPrYr!$B25&gt;"  ",inputPrYr!$B25,"  ")</f>
        <v>Library</v>
      </c>
      <c r="B23" s="69" t="str">
        <f>IF(inputPrYr!C25&gt;0,inputPrYr!C25,"")</f>
        <v>12-1220</v>
      </c>
      <c r="C23" s="70" t="str">
        <f>IF('DebtSvs-Library'!C88&gt;0,'DebtSvs-Library'!C88,"  ")</f>
        <v xml:space="preserve">  </v>
      </c>
      <c r="D23" s="500" t="str">
        <f>IF('DebtSvs-Library'!E75&lt;&gt;0,'DebtSvs-Library'!E75,"  ")</f>
        <v xml:space="preserve">  </v>
      </c>
      <c r="E23" s="500" t="str">
        <f>IF('DebtSvs-Library'!E82&lt;&gt;0,'DebtSvs-Library'!E82,"  ")</f>
        <v xml:space="preserve">  </v>
      </c>
      <c r="F23" s="501" t="str">
        <f>IF(AND('DebtSvs-Library'!E82=0,$B$47&gt;=0)," ",IF(AND(E23&gt;0,$B$47=0)," ",IF(AND(E23&gt;0,$B$47&gt;0),ROUND(E23/$B$47*1000,3))))</f>
        <v xml:space="preserve"> </v>
      </c>
    </row>
    <row r="24" spans="1:6" s="43" customFormat="1" x14ac:dyDescent="0.25">
      <c r="A24" s="68" t="str">
        <f>IF(inputPrYr!$B26&gt;"  ",inputPrYr!$B26,"  ")</f>
        <v>Road</v>
      </c>
      <c r="B24" s="69" t="str">
        <f>IF(inputPrYr!C26&gt;0,inputPrYr!C26,"  ")</f>
        <v>68-518c</v>
      </c>
      <c r="C24" s="70" t="str">
        <f>IF(road!C71&gt;0,road!C71,"  ")</f>
        <v xml:space="preserve">  </v>
      </c>
      <c r="D24" s="500" t="str">
        <f>IF(road!$E$43&lt;&gt;0,road!$E$43,"  ")</f>
        <v xml:space="preserve">  </v>
      </c>
      <c r="E24" s="500" t="str">
        <f>IF(road!$E$50&lt;&gt;0,road!$E$50,"  ")</f>
        <v xml:space="preserve">  </v>
      </c>
      <c r="F24" s="501" t="str">
        <f>IF(AND(road!E50=0,$B$44&gt;=0)," ",IF(AND(E24&gt;0,$B$44=0)," ",IF(AND(E24&gt;0,$B$44&gt;0),ROUND(E24/$B$44*1000,3))))</f>
        <v xml:space="preserve"> </v>
      </c>
    </row>
    <row r="25" spans="1:6" s="43" customFormat="1" x14ac:dyDescent="0.25">
      <c r="A25" s="68" t="str">
        <f>IF(inputPrYr!$B27&gt;"  ",inputPrYr!$B27,"  ")</f>
        <v>Special Road</v>
      </c>
      <c r="B25" s="69" t="str">
        <f>IF(inputPrYr!C27&gt;0,inputPrYr!C27,"  ")</f>
        <v>80-1413</v>
      </c>
      <c r="C25" s="70" t="str">
        <f>IF('SpecRoad&amp;Noxious'!C88&gt;0,'SpecRoad&amp;Noxious'!C88,"  ")</f>
        <v xml:space="preserve">  </v>
      </c>
      <c r="D25" s="500" t="str">
        <f>IF('SpecRoad&amp;Noxious'!$E$34&lt;&gt;0,'SpecRoad&amp;Noxious'!$E$34,"  ")</f>
        <v xml:space="preserve">  </v>
      </c>
      <c r="E25" s="500" t="str">
        <f>IF('SpecRoad&amp;Noxious'!$E$41&lt;&gt;0,'SpecRoad&amp;Noxious'!$E$41,"  ")</f>
        <v xml:space="preserve">  </v>
      </c>
      <c r="F25" s="501" t="str">
        <f>IF(AND('SpecRoad&amp;Noxious'!E41=0,$B$44&gt;=0)," ",IF(AND(E25&gt;0,$B$44=0)," ",IF(AND(E25&gt;0,$B$44&gt;0),ROUND(E25/$B$44*1000,3))))</f>
        <v xml:space="preserve"> </v>
      </c>
    </row>
    <row r="26" spans="1:6" s="43" customFormat="1" x14ac:dyDescent="0.25">
      <c r="A26" s="68" t="str">
        <f>IF(inputPrYr!$B28&gt;"  ",inputPrYr!$B28,"  ")</f>
        <v>Noxious Weed</v>
      </c>
      <c r="B26" s="69" t="str">
        <f>IF(inputPrYr!C28&gt;0,inputPrYr!C28,"  ")</f>
        <v>2-1318</v>
      </c>
      <c r="C26" s="70" t="str">
        <f>IF('SpecRoad&amp;Noxious'!C88&gt;0,'SpecRoad&amp;Noxious'!C88,"  ")</f>
        <v xml:space="preserve">  </v>
      </c>
      <c r="D26" s="500" t="str">
        <f>IF('SpecRoad&amp;Noxious'!$E$75&lt;&gt;0,'SpecRoad&amp;Noxious'!$E$75,"  ")</f>
        <v xml:space="preserve">  </v>
      </c>
      <c r="E26" s="500" t="str">
        <f>IF('SpecRoad&amp;Noxious'!$E$82&lt;&gt;0,'SpecRoad&amp;Noxious'!$E$82,"  ")</f>
        <v xml:space="preserve">  </v>
      </c>
      <c r="F26" s="501" t="str">
        <f>IF(AND('SpecRoad&amp;Noxious'!E82=0,$B$44&gt;=0)," ",IF(AND(E26&gt;0,$B$44=0)," ",IF(AND(E26&gt;0,$B$44&gt;0),ROUND(E26/$B$44*1000,3))))</f>
        <v xml:space="preserve"> </v>
      </c>
    </row>
    <row r="27" spans="1:6" s="43" customFormat="1" x14ac:dyDescent="0.25">
      <c r="A27" s="68" t="str">
        <f>IF(inputPrYr!$B29&gt;"  ",inputPrYr!$B29,"  ")</f>
        <v>Fire Protection</v>
      </c>
      <c r="B27" s="69" t="str">
        <f>IF(inputPrYr!C29&gt;0,inputPrYr!C29,"  ")</f>
        <v>80-1503</v>
      </c>
      <c r="C27" s="70" t="str">
        <f>IF(levypage10!C88&gt;0,levypage10!C88,"  ")</f>
        <v xml:space="preserve">  </v>
      </c>
      <c r="D27" s="500" t="str">
        <f>IF(levypage10!$E$34&lt;&gt;0,levypage10!$E$34,"  ")</f>
        <v xml:space="preserve">  </v>
      </c>
      <c r="E27" s="500" t="str">
        <f>IF(levypage10!$E$41&lt;&gt;0,levypage10!$E$41,"  ")</f>
        <v xml:space="preserve">  </v>
      </c>
      <c r="F27" s="501" t="str">
        <f>IF(AND(levypage10!$E$41=0,$B$44&gt;=0)," ",IF(AND(E27&gt;0,$B$44=0)," ",IF(AND(E27&gt;0,$B$44&gt;0),ROUND(E27/$B$44*1000,3))))</f>
        <v xml:space="preserve"> </v>
      </c>
    </row>
    <row r="28" spans="1:6" s="43" customFormat="1" x14ac:dyDescent="0.25">
      <c r="A28" s="68" t="str">
        <f>IF(inputPrYr!$B30&gt;"  ",inputPrYr!$B30,"  ")</f>
        <v xml:space="preserve">  </v>
      </c>
      <c r="B28" s="69" t="str">
        <f>IF(inputPrYr!C30&gt;0,inputPrYr!C30,"  ")</f>
        <v xml:space="preserve">  </v>
      </c>
      <c r="C28" s="70" t="str">
        <f>IF(levypage10!C88&gt;0,levypage10!C88,"  ")</f>
        <v xml:space="preserve">  </v>
      </c>
      <c r="D28" s="500" t="str">
        <f>IF(levypage10!$E$75&lt;&gt;0,levypage10!$E$75,"  ")</f>
        <v xml:space="preserve">  </v>
      </c>
      <c r="E28" s="500" t="str">
        <f>IF(levypage10!$E$82&lt;&gt;0,levypage10!$E$82,"  ")</f>
        <v xml:space="preserve">  </v>
      </c>
      <c r="F28" s="501" t="str">
        <f>IF(AND(levypage10!$E$82=0,$B$47&gt;=0)," ",IF(AND(E28&gt;0,$B$47=0)," ",IF(AND(E28&gt;0,$B$47&gt;0),ROUND(E28/$B$47*1000,3))))</f>
        <v xml:space="preserve"> </v>
      </c>
    </row>
    <row r="29" spans="1:6" s="43" customFormat="1" x14ac:dyDescent="0.25">
      <c r="A29" s="68" t="str">
        <f>IF(inputPrYr!$B31&gt;"  ",inputPrYr!$B31,"  ")</f>
        <v xml:space="preserve">  </v>
      </c>
      <c r="B29" s="69" t="str">
        <f>IF(inputPrYr!C31&gt;0,inputPrYr!C31,"  ")</f>
        <v xml:space="preserve">  </v>
      </c>
      <c r="C29" s="70" t="str">
        <f>IF(levypage11!C88&gt;0,levypage11!C88,"  ")</f>
        <v xml:space="preserve">  </v>
      </c>
      <c r="D29" s="500" t="str">
        <f>IF(levypage11!$E$34&lt;&gt;0,levypage11!$E$34,"  ")</f>
        <v xml:space="preserve">  </v>
      </c>
      <c r="E29" s="500" t="str">
        <f>IF(levypage11!$E$41&lt;&gt;0,levypage11!$E$41,"  ")</f>
        <v xml:space="preserve">  </v>
      </c>
      <c r="F29" s="501" t="str">
        <f>IF(AND(levypage11!$E$41=0,$B$47&gt;=0)," ",IF(AND(E29&gt;0,$B$47=0)," ",IF(AND(E29&gt;0,$B$47&gt;0),ROUND(E29/$B$47*1000,3))))</f>
        <v xml:space="preserve"> </v>
      </c>
    </row>
    <row r="30" spans="1:6" s="43" customFormat="1" x14ac:dyDescent="0.25">
      <c r="A30" s="68" t="str">
        <f>IF(inputPrYr!$B32&gt;"  ",inputPrYr!$B32,"  ")</f>
        <v xml:space="preserve">  </v>
      </c>
      <c r="B30" s="69" t="str">
        <f>IF(inputPrYr!C32&gt;0,inputPrYr!C32,"  ")</f>
        <v xml:space="preserve">  </v>
      </c>
      <c r="C30" s="70" t="str">
        <f>IF(levypage11!C88&gt;0,levypage11!C88,"  ")</f>
        <v xml:space="preserve">  </v>
      </c>
      <c r="D30" s="500" t="str">
        <f>IF(levypage11!$E$75&lt;&gt;0,levypage11!$E$75,"  ")</f>
        <v xml:space="preserve">  </v>
      </c>
      <c r="E30" s="500" t="str">
        <f>IF(levypage11!$E$82&lt;&gt;0,levypage11!$E$82,"  ")</f>
        <v xml:space="preserve">  </v>
      </c>
      <c r="F30" s="501" t="str">
        <f>IF(AND(levypage11!$E$82=0,$B$47&gt;=0)," ",IF(AND(E30&gt;0,$B$47=0)," ",IF(AND(E30&gt;0,$B$47&gt;0),ROUND(E30/$B$47*1000,3))))</f>
        <v xml:space="preserve"> </v>
      </c>
    </row>
    <row r="31" spans="1:6" s="43" customFormat="1" x14ac:dyDescent="0.25">
      <c r="A31" s="68" t="str">
        <f>IF(inputPrYr!$B33&gt;"  ",inputPrYr!$B33,"  ")</f>
        <v xml:space="preserve">  </v>
      </c>
      <c r="B31" s="69" t="str">
        <f>IF(inputPrYr!C33&gt;0,inputPrYr!C33,"  ")</f>
        <v xml:space="preserve">  </v>
      </c>
      <c r="C31" s="70" t="str">
        <f>IF(levypage12!C89&gt;0,levypage12!C89,"  ")</f>
        <v xml:space="preserve">  </v>
      </c>
      <c r="D31" s="500" t="str">
        <f>IF(levypage12!$E$34&lt;&gt;0,levypage12!$E$34,"  ")</f>
        <v xml:space="preserve">  </v>
      </c>
      <c r="E31" s="500" t="str">
        <f>IF(levypage12!$E$41&lt;&gt;0,levypage12!$E$41,"  ")</f>
        <v xml:space="preserve">  </v>
      </c>
      <c r="F31" s="501" t="str">
        <f>IF(AND(levypage12!$E$41=0,$B$47&gt;=0)," ",IF(AND(E31&gt;0,$B$47=0)," ",IF(AND(E31&gt;0,$B$47&gt;0),ROUND(E31/$B$47*1000,3))))</f>
        <v xml:space="preserve"> </v>
      </c>
    </row>
    <row r="32" spans="1:6" s="43" customFormat="1" x14ac:dyDescent="0.25">
      <c r="A32" s="68" t="str">
        <f>IF(inputPrYr!$B34&gt;"  ",inputPrYr!$B34,"  ")</f>
        <v xml:space="preserve">  </v>
      </c>
      <c r="B32" s="69" t="str">
        <f>IF(inputPrYr!C34&gt;0,inputPrYr!C34,"  ")</f>
        <v xml:space="preserve">  </v>
      </c>
      <c r="C32" s="70" t="str">
        <f>IF(levypage12!C89&gt;0,levypage12!C89,"  ")</f>
        <v xml:space="preserve">  </v>
      </c>
      <c r="D32" s="500" t="str">
        <f>IF(levypage12!$E$75&lt;&gt;0,levypage12!$E$75,"  ")</f>
        <v xml:space="preserve">  </v>
      </c>
      <c r="E32" s="500" t="str">
        <f>IF(levypage12!$E$82&lt;&gt;0,levypage12!$E$82,"  ")</f>
        <v xml:space="preserve">  </v>
      </c>
      <c r="F32" s="501" t="str">
        <f>IF(AND(levypage12!$E$82=0,$B$47&gt;=0)," ",IF(AND(E32&gt;0,$B$47=0)," ",IF(AND(E32&gt;0,$B$47&gt;0),ROUND(E32/$B$47*1000,3))))</f>
        <v xml:space="preserve"> </v>
      </c>
    </row>
    <row r="33" spans="1:6" s="43" customFormat="1" x14ac:dyDescent="0.25">
      <c r="A33" s="72" t="str">
        <f>IF(inputPrYr!$B38&gt;"  ",inputPrYr!$B38,"  ")</f>
        <v xml:space="preserve">  </v>
      </c>
      <c r="B33" s="73"/>
      <c r="C33" s="74" t="str">
        <f>IF(nolevypage13!$C$65&gt;0,nolevypage13!$C$65,"  ")</f>
        <v xml:space="preserve">  </v>
      </c>
      <c r="D33" s="500" t="str">
        <f>IF(nolevypage13!$E$27&lt;&gt;0,nolevypage13!$E$27,"  ")</f>
        <v xml:space="preserve">  </v>
      </c>
      <c r="E33" s="500"/>
      <c r="F33" s="501"/>
    </row>
    <row r="34" spans="1:6" s="43" customFormat="1" x14ac:dyDescent="0.25">
      <c r="A34" s="72" t="str">
        <f>IF(inputPrYr!$B39&gt;"  ",inputPrYr!$B39,"  ")</f>
        <v xml:space="preserve">  </v>
      </c>
      <c r="B34" s="75"/>
      <c r="C34" s="74" t="str">
        <f>IF(nolevypage13!$C$65&gt;0,nolevypage13!$C$65,"  ")</f>
        <v xml:space="preserve">  </v>
      </c>
      <c r="D34" s="500" t="str">
        <f>IF(nolevypage13!$E$57&lt;&gt;0,nolevypage13!$E$57,"  ")</f>
        <v xml:space="preserve">  </v>
      </c>
      <c r="E34" s="500"/>
      <c r="F34" s="501"/>
    </row>
    <row r="35" spans="1:6" s="43" customFormat="1" x14ac:dyDescent="0.25">
      <c r="A35" s="72" t="str">
        <f>IF(inputPrYr!$B40&gt;"  ",inputPrYr!$B40,"  ")</f>
        <v xml:space="preserve">  </v>
      </c>
      <c r="B35" s="73"/>
      <c r="C35" s="74" t="str">
        <f>IF(nolevypage14!$C$65&gt;0,nolevypage14!$C$65,"  ")</f>
        <v xml:space="preserve">  </v>
      </c>
      <c r="D35" s="500" t="str">
        <f>IF(nolevypage14!$E$27&lt;&gt;0,nolevypage14!$E$27,"  ")</f>
        <v xml:space="preserve">  </v>
      </c>
      <c r="E35" s="500"/>
      <c r="F35" s="501"/>
    </row>
    <row r="36" spans="1:6" s="43" customFormat="1" x14ac:dyDescent="0.25">
      <c r="A36" s="72" t="str">
        <f>IF(inputPrYr!$B41&gt;"  ",inputPrYr!$B41,"  ")</f>
        <v xml:space="preserve">  </v>
      </c>
      <c r="B36" s="73"/>
      <c r="C36" s="74" t="str">
        <f>IF(nolevypage14!$C$65&gt;0,nolevypage14!$C$65,"  ")</f>
        <v xml:space="preserve">  </v>
      </c>
      <c r="D36" s="500" t="str">
        <f>IF(nolevypage14!$E$57&lt;&gt;0,nolevypage14!$E$57,"  ")</f>
        <v xml:space="preserve">  </v>
      </c>
      <c r="E36" s="500"/>
      <c r="F36" s="501"/>
    </row>
    <row r="37" spans="1:6" s="43" customFormat="1" x14ac:dyDescent="0.25">
      <c r="A37" s="72" t="str">
        <f>IF(inputPrYr!B44&gt;"",nonbud!A3,"")</f>
        <v/>
      </c>
      <c r="B37" s="75"/>
      <c r="C37" s="74" t="str">
        <f>IF(nonbud!F37&gt;0,nonbud!F37,"  ")</f>
        <v xml:space="preserve">  </v>
      </c>
      <c r="D37" s="500"/>
      <c r="E37" s="500"/>
      <c r="F37" s="501"/>
    </row>
    <row r="38" spans="1:6" s="43" customFormat="1" x14ac:dyDescent="0.25">
      <c r="A38" s="58" t="s">
        <v>211</v>
      </c>
      <c r="B38" s="73"/>
      <c r="C38" s="74" t="str">
        <f>IF(road!C71&gt;0,road!C71,"  ")</f>
        <v xml:space="preserve">  </v>
      </c>
      <c r="D38" s="502"/>
      <c r="E38" s="502"/>
      <c r="F38" s="501"/>
    </row>
    <row r="39" spans="1:6" s="43" customFormat="1" ht="16.5" thickBot="1" x14ac:dyDescent="0.3">
      <c r="A39" s="76" t="s">
        <v>212</v>
      </c>
      <c r="B39" s="67"/>
      <c r="C39" s="77" t="s">
        <v>213</v>
      </c>
      <c r="D39" s="503">
        <f>SUM(D21:D38)</f>
        <v>4900</v>
      </c>
      <c r="E39" s="503">
        <f>SUM(E21:E38)</f>
        <v>3000</v>
      </c>
      <c r="F39" s="504" t="str">
        <f>IF(SUM(F21:F38)&gt;0,SUM(F21:F38),"")</f>
        <v/>
      </c>
    </row>
    <row r="40" spans="1:6" s="43" customFormat="1" ht="16.5" thickTop="1" x14ac:dyDescent="0.25">
      <c r="A40" s="63" t="s">
        <v>86</v>
      </c>
      <c r="B40" s="59"/>
      <c r="C40" s="74">
        <f>summ!C54</f>
        <v>7</v>
      </c>
    </row>
    <row r="41" spans="1:6" s="43" customFormat="1" x14ac:dyDescent="0.25">
      <c r="A41" s="689" t="s">
        <v>134</v>
      </c>
      <c r="B41" s="60"/>
      <c r="C41" s="688" t="str">
        <f>IF(nhood!C40&gt;0,nhood!C40,"")</f>
        <v/>
      </c>
      <c r="D41" s="886" t="s">
        <v>843</v>
      </c>
      <c r="E41" s="887"/>
      <c r="F41" s="778" t="str">
        <f>IF(E39&gt;1000,IF(E39&gt;computation!J41,"Yes","No"),"No")</f>
        <v>No</v>
      </c>
    </row>
    <row r="42" spans="1:6" s="43" customFormat="1" x14ac:dyDescent="0.25">
      <c r="A42" s="686"/>
      <c r="B42" s="141"/>
      <c r="C42" s="687"/>
      <c r="D42" s="79"/>
      <c r="E42" s="80"/>
    </row>
    <row r="43" spans="1:6" s="43" customFormat="1" x14ac:dyDescent="0.25">
      <c r="A43" s="63" t="s">
        <v>46</v>
      </c>
      <c r="B43" s="880" t="s">
        <v>62</v>
      </c>
      <c r="C43" s="881"/>
      <c r="D43" s="82"/>
      <c r="F43" s="50" t="s">
        <v>214</v>
      </c>
    </row>
    <row r="44" spans="1:6" s="43" customFormat="1" x14ac:dyDescent="0.25">
      <c r="A44" s="58" t="str">
        <f>inputPrYr!D4</f>
        <v>Scott Township</v>
      </c>
      <c r="B44" s="882"/>
      <c r="C44" s="883"/>
      <c r="D44" s="83"/>
      <c r="F44" s="50"/>
    </row>
    <row r="45" spans="1:6" s="43" customFormat="1" x14ac:dyDescent="0.25">
      <c r="A45" s="58" t="str">
        <f>inputPrYr!D7</f>
        <v>Barnard City</v>
      </c>
      <c r="B45" s="882"/>
      <c r="C45" s="891"/>
      <c r="D45" s="83"/>
      <c r="F45" s="50"/>
    </row>
    <row r="46" spans="1:6" s="43" customFormat="1" x14ac:dyDescent="0.25">
      <c r="A46" s="58">
        <f>inputPrYr!D8</f>
        <v>0</v>
      </c>
      <c r="B46" s="882"/>
      <c r="C46" s="891"/>
      <c r="D46" s="83"/>
      <c r="F46" s="50"/>
    </row>
    <row r="47" spans="1:6" s="43" customFormat="1" x14ac:dyDescent="0.25">
      <c r="A47" s="58" t="s">
        <v>145</v>
      </c>
      <c r="B47" s="889">
        <f>SUM(B44:C46)</f>
        <v>0</v>
      </c>
      <c r="C47" s="890"/>
      <c r="D47" s="83"/>
      <c r="F47" s="50"/>
    </row>
    <row r="48" spans="1:6" s="43" customFormat="1" x14ac:dyDescent="0.25">
      <c r="A48" s="84"/>
      <c r="B48" s="884" t="str">
        <f>CONCATENATE("Nov. 1, ",G1-1," Valuation")</f>
        <v>Nov. 1, 2019 Valuation</v>
      </c>
      <c r="C48" s="885"/>
      <c r="D48" s="82"/>
      <c r="F48" s="50"/>
    </row>
    <row r="49" spans="1:10" s="43" customFormat="1" x14ac:dyDescent="0.25">
      <c r="A49" s="84" t="s">
        <v>215</v>
      </c>
      <c r="D49" s="49"/>
      <c r="F49" s="50"/>
    </row>
    <row r="50" spans="1:10" s="43" customFormat="1" x14ac:dyDescent="0.25">
      <c r="A50" s="86"/>
      <c r="D50" s="82"/>
      <c r="E50" s="49"/>
      <c r="F50" s="49"/>
    </row>
    <row r="51" spans="1:10" s="43" customFormat="1" x14ac:dyDescent="0.25">
      <c r="A51" s="87"/>
      <c r="B51" s="48"/>
      <c r="D51" s="892" t="s">
        <v>682</v>
      </c>
      <c r="E51" s="892"/>
      <c r="F51" s="892"/>
    </row>
    <row r="52" spans="1:10" s="43" customFormat="1" x14ac:dyDescent="0.25">
      <c r="A52" s="84" t="s">
        <v>71</v>
      </c>
      <c r="D52" s="892"/>
      <c r="E52" s="892"/>
      <c r="F52" s="892"/>
    </row>
    <row r="53" spans="1:10" s="43" customFormat="1" x14ac:dyDescent="0.25">
      <c r="A53" s="86"/>
      <c r="C53" s="50"/>
      <c r="D53" s="892" t="s">
        <v>682</v>
      </c>
      <c r="E53" s="892"/>
      <c r="F53" s="892"/>
    </row>
    <row r="54" spans="1:10" s="43" customFormat="1" x14ac:dyDescent="0.25">
      <c r="A54" s="87"/>
      <c r="B54" s="50"/>
      <c r="D54" s="892"/>
      <c r="E54" s="892"/>
      <c r="F54" s="892"/>
    </row>
    <row r="55" spans="1:10" x14ac:dyDescent="0.25">
      <c r="A55" s="84" t="s">
        <v>681</v>
      </c>
      <c r="B55" s="48"/>
      <c r="C55" s="43"/>
      <c r="D55" s="892" t="s">
        <v>682</v>
      </c>
      <c r="E55" s="892"/>
      <c r="F55" s="892"/>
      <c r="G55" s="88"/>
      <c r="H55" s="43"/>
      <c r="I55" s="43"/>
      <c r="J55" s="43"/>
    </row>
    <row r="56" spans="1:10" x14ac:dyDescent="0.25">
      <c r="A56" s="86"/>
      <c r="B56" s="48"/>
      <c r="C56" s="43"/>
      <c r="D56" s="892"/>
      <c r="E56" s="892"/>
      <c r="F56" s="892"/>
      <c r="G56" s="88"/>
      <c r="H56" s="43"/>
      <c r="I56" s="43"/>
      <c r="J56" s="43"/>
    </row>
    <row r="57" spans="1:10" x14ac:dyDescent="0.25">
      <c r="A57" s="48"/>
      <c r="B57" s="43"/>
      <c r="C57" s="43"/>
      <c r="D57" s="892" t="s">
        <v>682</v>
      </c>
      <c r="E57" s="892"/>
      <c r="F57" s="892"/>
      <c r="G57" s="88"/>
      <c r="H57" s="43"/>
      <c r="I57" s="43"/>
      <c r="J57" s="43"/>
    </row>
    <row r="58" spans="1:10" x14ac:dyDescent="0.25">
      <c r="A58" s="411" t="s">
        <v>73</v>
      </c>
      <c r="B58" s="92">
        <f>G1-1</f>
        <v>2019</v>
      </c>
      <c r="C58" s="43"/>
      <c r="D58" s="892"/>
      <c r="E58" s="892"/>
      <c r="F58" s="892"/>
      <c r="G58" s="88"/>
      <c r="H58" s="43"/>
      <c r="I58" s="43"/>
      <c r="J58" s="43"/>
    </row>
    <row r="59" spans="1:10" x14ac:dyDescent="0.25">
      <c r="A59" s="43"/>
      <c r="B59" s="43"/>
      <c r="C59" s="43"/>
      <c r="D59" s="49"/>
      <c r="E59" s="84"/>
      <c r="F59" s="49"/>
      <c r="G59" s="88"/>
      <c r="H59" s="43"/>
      <c r="I59" s="43"/>
      <c r="J59" s="43"/>
    </row>
    <row r="60" spans="1:10" x14ac:dyDescent="0.25">
      <c r="A60" s="410"/>
      <c r="B60" s="43"/>
      <c r="C60" s="43"/>
      <c r="D60" s="49" t="s">
        <v>682</v>
      </c>
      <c r="E60" s="49"/>
      <c r="F60" s="49"/>
      <c r="G60" s="88"/>
      <c r="H60" s="43"/>
      <c r="I60" s="43"/>
      <c r="J60" s="43"/>
    </row>
    <row r="61" spans="1:10" x14ac:dyDescent="0.25">
      <c r="A61" s="46" t="s">
        <v>217</v>
      </c>
      <c r="B61" s="43"/>
      <c r="C61" s="43"/>
      <c r="D61" s="888" t="s">
        <v>216</v>
      </c>
      <c r="E61" s="879"/>
      <c r="F61" s="879"/>
      <c r="G61" s="88"/>
      <c r="H61" s="43"/>
      <c r="I61" s="43"/>
      <c r="J61" s="43"/>
    </row>
    <row r="62" spans="1:10" x14ac:dyDescent="0.25">
      <c r="A62" s="43"/>
      <c r="B62" s="43"/>
      <c r="C62" s="43"/>
      <c r="D62" s="43"/>
      <c r="E62" s="43"/>
      <c r="F62" s="43"/>
      <c r="G62" s="88"/>
      <c r="H62" s="43"/>
      <c r="I62" s="43"/>
      <c r="J62" s="43"/>
    </row>
    <row r="63" spans="1:10" x14ac:dyDescent="0.25">
      <c r="A63" s="790" t="s">
        <v>987</v>
      </c>
      <c r="B63" s="682"/>
      <c r="C63" s="682"/>
      <c r="D63" s="682"/>
      <c r="E63" s="682"/>
      <c r="F63" s="682"/>
      <c r="G63" s="791"/>
      <c r="H63" s="43"/>
      <c r="I63" s="43"/>
      <c r="J63" s="43"/>
    </row>
    <row r="64" spans="1:10" x14ac:dyDescent="0.25">
      <c r="A64" s="432"/>
      <c r="B64" s="49"/>
      <c r="C64" s="49"/>
      <c r="D64" s="49"/>
      <c r="E64" s="49"/>
      <c r="F64" s="49"/>
      <c r="G64" s="792"/>
      <c r="H64" s="43"/>
      <c r="I64" s="43"/>
      <c r="J64" s="43"/>
    </row>
    <row r="65" spans="1:10" x14ac:dyDescent="0.25">
      <c r="A65" s="432"/>
      <c r="B65" s="49"/>
      <c r="C65" s="49"/>
      <c r="D65" s="49"/>
      <c r="E65" s="49"/>
      <c r="F65" s="49"/>
      <c r="G65" s="792"/>
      <c r="H65" s="43"/>
      <c r="I65" s="43"/>
      <c r="J65" s="43"/>
    </row>
    <row r="66" spans="1:10" x14ac:dyDescent="0.25">
      <c r="A66" s="793"/>
      <c r="B66" s="56"/>
      <c r="C66" s="56"/>
      <c r="D66" s="56"/>
      <c r="E66" s="56"/>
      <c r="F66" s="56"/>
      <c r="G66" s="794"/>
      <c r="H66" s="43"/>
      <c r="I66" s="43"/>
      <c r="J66" s="43"/>
    </row>
    <row r="67" spans="1:10" x14ac:dyDescent="0.25">
      <c r="A67" s="43"/>
      <c r="B67" s="43"/>
      <c r="C67" s="43"/>
      <c r="D67" s="43"/>
      <c r="E67" s="43"/>
      <c r="F67" s="43"/>
      <c r="G67" s="88"/>
      <c r="H67" s="43"/>
      <c r="I67" s="43"/>
      <c r="J67" s="43"/>
    </row>
    <row r="68" spans="1:10" x14ac:dyDescent="0.25">
      <c r="A68" s="91" t="s">
        <v>218</v>
      </c>
      <c r="B68" s="90"/>
      <c r="C68" s="90"/>
      <c r="D68" s="90"/>
      <c r="E68" s="90"/>
      <c r="F68" s="43"/>
      <c r="G68" s="88"/>
      <c r="H68" s="43"/>
      <c r="I68" s="43"/>
      <c r="J68" s="43"/>
    </row>
    <row r="69" spans="1:10" x14ac:dyDescent="0.25">
      <c r="A69" s="91" t="s">
        <v>219</v>
      </c>
      <c r="B69" s="90"/>
      <c r="C69" s="90"/>
      <c r="D69" s="90"/>
      <c r="E69" s="90"/>
      <c r="F69" s="43"/>
      <c r="G69" s="88"/>
      <c r="H69" s="43"/>
      <c r="I69" s="43"/>
      <c r="J69" s="43"/>
    </row>
    <row r="70" spans="1:10" x14ac:dyDescent="0.25">
      <c r="A70" s="91"/>
      <c r="B70" s="90"/>
      <c r="C70" s="90"/>
      <c r="D70" s="90"/>
      <c r="E70" s="90"/>
      <c r="F70" s="43"/>
      <c r="G70" s="88"/>
      <c r="H70" s="43"/>
      <c r="I70" s="43"/>
      <c r="J70" s="43"/>
    </row>
    <row r="71" spans="1:10" x14ac:dyDescent="0.25">
      <c r="A71" s="43"/>
      <c r="B71" s="43"/>
      <c r="C71" s="43"/>
      <c r="D71" s="43"/>
      <c r="E71" s="43"/>
      <c r="F71" s="43"/>
      <c r="G71" s="88"/>
      <c r="H71" s="43"/>
      <c r="I71" s="43"/>
      <c r="J71" s="43"/>
    </row>
    <row r="72" spans="1:10" x14ac:dyDescent="0.25">
      <c r="A72" s="482"/>
      <c r="B72" s="483"/>
      <c r="C72" s="483"/>
      <c r="D72" s="483"/>
      <c r="E72" s="483"/>
      <c r="F72" s="483"/>
    </row>
    <row r="73" spans="1:10" x14ac:dyDescent="0.25">
      <c r="A73" s="482"/>
      <c r="B73" s="483"/>
      <c r="C73" s="483"/>
      <c r="D73" s="483"/>
      <c r="E73" s="483"/>
      <c r="F73" s="483"/>
    </row>
    <row r="74" spans="1:10" x14ac:dyDescent="0.25">
      <c r="A74" s="482"/>
      <c r="B74" s="483"/>
      <c r="C74" s="483"/>
      <c r="D74" s="484"/>
      <c r="E74" s="481"/>
      <c r="F74" s="483"/>
    </row>
  </sheetData>
  <sheetProtection sheet="1"/>
  <mergeCells count="22">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D41:E41"/>
    <mergeCell ref="A1:F1"/>
    <mergeCell ref="E12:E14"/>
    <mergeCell ref="D11:F11"/>
    <mergeCell ref="A6:F6"/>
    <mergeCell ref="A7:F7"/>
    <mergeCell ref="A3:F3"/>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62" orientation="portrait" blackAndWhite="1" horizontalDpi="4294967292" verticalDpi="96" r:id="rId1"/>
  <headerFooter alignWithMargins="0">
    <oddHeader xml:space="preserve">&amp;RState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F0"/>
    <pageSetUpPr fitToPage="1"/>
  </sheetPr>
  <dimension ref="A1:J47"/>
  <sheetViews>
    <sheetView zoomScale="85" zoomScaleNormal="85" workbookViewId="0">
      <selection activeCell="AI41" sqref="AI41"/>
    </sheetView>
  </sheetViews>
  <sheetFormatPr defaultColWidth="8.796875" defaultRowHeight="15.75" x14ac:dyDescent="0.25"/>
  <cols>
    <col min="1" max="2" width="3" style="89" customWidth="1"/>
    <col min="3" max="3" width="28.19921875" style="89" customWidth="1"/>
    <col min="4" max="4" width="2.09765625" style="89" customWidth="1"/>
    <col min="5" max="5" width="15.69921875" style="89" customWidth="1"/>
    <col min="6" max="6" width="1.796875" style="89" customWidth="1"/>
    <col min="7" max="7" width="15.69921875" style="89" customWidth="1"/>
    <col min="8" max="8" width="1.69921875" style="89" customWidth="1"/>
    <col min="9" max="9" width="1.59765625" style="89" customWidth="1"/>
    <col min="10" max="10" width="15.69921875" style="89" customWidth="1"/>
    <col min="11" max="16384" width="8.796875" style="89"/>
  </cols>
  <sheetData>
    <row r="1" spans="1:10" x14ac:dyDescent="0.25">
      <c r="A1" s="43"/>
      <c r="B1" s="43"/>
      <c r="C1" s="182" t="str">
        <f>inputPrYr!D4</f>
        <v>Scott Township</v>
      </c>
      <c r="D1" s="43"/>
      <c r="E1" s="43"/>
      <c r="F1" s="43"/>
      <c r="G1" s="43"/>
      <c r="H1" s="43"/>
      <c r="I1" s="43"/>
      <c r="J1" s="43">
        <f>inputPrYr!D10</f>
        <v>2020</v>
      </c>
    </row>
    <row r="2" spans="1:10" x14ac:dyDescent="0.25">
      <c r="A2" s="43"/>
      <c r="B2" s="43"/>
      <c r="C2" s="43"/>
      <c r="D2" s="43"/>
      <c r="E2" s="43"/>
      <c r="F2" s="43"/>
      <c r="G2" s="43"/>
      <c r="H2" s="43"/>
      <c r="I2" s="43"/>
      <c r="J2" s="43"/>
    </row>
    <row r="3" spans="1:10" x14ac:dyDescent="0.25">
      <c r="A3" s="893" t="str">
        <f>CONCATENATE("Computation to Determine Limit for ",J1,"")</f>
        <v>Computation to Determine Limit for 2020</v>
      </c>
      <c r="B3" s="868"/>
      <c r="C3" s="868"/>
      <c r="D3" s="868"/>
      <c r="E3" s="868"/>
      <c r="F3" s="868"/>
      <c r="G3" s="868"/>
      <c r="H3" s="868"/>
      <c r="I3" s="868"/>
      <c r="J3" s="868"/>
    </row>
    <row r="4" spans="1:10" x14ac:dyDescent="0.25">
      <c r="A4" s="43"/>
      <c r="B4" s="43"/>
      <c r="C4" s="43"/>
      <c r="D4" s="43"/>
      <c r="E4" s="868"/>
      <c r="F4" s="868"/>
      <c r="G4" s="868"/>
      <c r="H4" s="42"/>
      <c r="I4" s="43"/>
      <c r="J4" s="206" t="s">
        <v>28</v>
      </c>
    </row>
    <row r="5" spans="1:10" x14ac:dyDescent="0.25">
      <c r="A5" s="207" t="s">
        <v>29</v>
      </c>
      <c r="B5" s="43" t="str">
        <f>CONCATENATE("Total tax levy amount in ",J1-1,"")</f>
        <v>Total tax levy amount in 2019</v>
      </c>
      <c r="C5" s="43"/>
      <c r="D5" s="43"/>
      <c r="E5" s="151"/>
      <c r="F5" s="151"/>
      <c r="G5" s="151"/>
      <c r="H5" s="208" t="s">
        <v>229</v>
      </c>
      <c r="I5" s="151" t="s">
        <v>220</v>
      </c>
      <c r="J5" s="209">
        <f>inputPrYr!E35</f>
        <v>3000</v>
      </c>
    </row>
    <row r="6" spans="1:10" x14ac:dyDescent="0.25">
      <c r="A6" s="207" t="s">
        <v>30</v>
      </c>
      <c r="B6" s="43" t="str">
        <f>CONCATENATE("Debt service levy in ",J1-1,"")</f>
        <v>Debt service levy in 2019</v>
      </c>
      <c r="C6" s="43"/>
      <c r="D6" s="43"/>
      <c r="E6" s="151"/>
      <c r="F6" s="151"/>
      <c r="G6" s="151"/>
      <c r="H6" s="208" t="s">
        <v>31</v>
      </c>
      <c r="I6" s="151" t="s">
        <v>220</v>
      </c>
      <c r="J6" s="210">
        <f>inputPrYr!E24</f>
        <v>0</v>
      </c>
    </row>
    <row r="7" spans="1:10" x14ac:dyDescent="0.25">
      <c r="A7" s="207" t="s">
        <v>32</v>
      </c>
      <c r="B7" s="43" t="s">
        <v>796</v>
      </c>
      <c r="C7" s="43"/>
      <c r="D7" s="43"/>
      <c r="E7" s="151"/>
      <c r="F7" s="151"/>
      <c r="G7" s="151"/>
      <c r="H7" s="151"/>
      <c r="I7" s="151" t="s">
        <v>220</v>
      </c>
      <c r="J7" s="211">
        <f>J5-J6</f>
        <v>3000</v>
      </c>
    </row>
    <row r="8" spans="1:10" x14ac:dyDescent="0.25">
      <c r="A8" s="43"/>
      <c r="B8" s="43"/>
      <c r="C8" s="43"/>
      <c r="D8" s="43"/>
      <c r="E8" s="151"/>
      <c r="F8" s="151"/>
      <c r="G8" s="151"/>
      <c r="H8" s="151"/>
      <c r="I8" s="151"/>
      <c r="J8" s="151"/>
    </row>
    <row r="9" spans="1:10" x14ac:dyDescent="0.25">
      <c r="A9" s="868" t="str">
        <f>CONCATENATE("",J1-1," Valuation Information for Valuation Adjustments")</f>
        <v>2019 Valuation Information for Valuation Adjustments</v>
      </c>
      <c r="B9" s="842"/>
      <c r="C9" s="842"/>
      <c r="D9" s="842"/>
      <c r="E9" s="842"/>
      <c r="F9" s="842"/>
      <c r="G9" s="842"/>
      <c r="H9" s="842"/>
      <c r="I9" s="842"/>
      <c r="J9" s="842"/>
    </row>
    <row r="10" spans="1:10" x14ac:dyDescent="0.25">
      <c r="A10" s="43"/>
      <c r="B10" s="43"/>
      <c r="C10" s="43"/>
      <c r="D10" s="43"/>
      <c r="E10" s="151"/>
      <c r="F10" s="151"/>
      <c r="G10" s="151"/>
      <c r="H10" s="151"/>
      <c r="I10" s="151"/>
      <c r="J10" s="151"/>
    </row>
    <row r="11" spans="1:10" x14ac:dyDescent="0.25">
      <c r="A11" s="207" t="s">
        <v>33</v>
      </c>
      <c r="B11" s="43" t="str">
        <f>CONCATENATE("New improvements for ",J1-1,":")</f>
        <v>New improvements for 2019:</v>
      </c>
      <c r="C11" s="43"/>
      <c r="D11" s="43"/>
      <c r="E11" s="208"/>
      <c r="F11" s="208" t="s">
        <v>229</v>
      </c>
      <c r="G11" s="681">
        <f>inputOth!E16</f>
        <v>0</v>
      </c>
      <c r="H11" s="212"/>
      <c r="I11" s="151"/>
      <c r="J11" s="151"/>
    </row>
    <row r="12" spans="1:10" x14ac:dyDescent="0.25">
      <c r="A12" s="207"/>
      <c r="B12" s="207"/>
      <c r="C12" s="43"/>
      <c r="D12" s="43"/>
      <c r="E12" s="208"/>
      <c r="F12" s="208"/>
      <c r="G12" s="212"/>
      <c r="H12" s="212"/>
      <c r="I12" s="151"/>
      <c r="J12" s="151"/>
    </row>
    <row r="13" spans="1:10" x14ac:dyDescent="0.25">
      <c r="A13" s="207" t="s">
        <v>34</v>
      </c>
      <c r="B13" s="43" t="str">
        <f>CONCATENATE("Increase in personal property for ",J1-1,":")</f>
        <v>Increase in personal property for 2019:</v>
      </c>
      <c r="C13" s="43"/>
      <c r="D13" s="43"/>
      <c r="E13" s="208"/>
      <c r="F13" s="208"/>
      <c r="G13" s="212"/>
      <c r="H13" s="212"/>
      <c r="I13" s="151"/>
      <c r="J13" s="151"/>
    </row>
    <row r="14" spans="1:10" x14ac:dyDescent="0.25">
      <c r="A14" s="43"/>
      <c r="B14" s="43" t="s">
        <v>35</v>
      </c>
      <c r="C14" s="43" t="str">
        <f>CONCATENATE("Personal property ",J1-1,"")</f>
        <v>Personal property 2019</v>
      </c>
      <c r="D14" s="207" t="s">
        <v>229</v>
      </c>
      <c r="E14" s="681">
        <f>inputOth!E21</f>
        <v>37817</v>
      </c>
      <c r="F14" s="208"/>
      <c r="G14" s="151"/>
      <c r="H14" s="151"/>
      <c r="I14" s="212"/>
      <c r="J14" s="151"/>
    </row>
    <row r="15" spans="1:10" x14ac:dyDescent="0.25">
      <c r="A15" s="207"/>
      <c r="B15" s="43" t="s">
        <v>36</v>
      </c>
      <c r="C15" s="43" t="str">
        <f>CONCATENATE("Personal property ",J1-2,"")</f>
        <v>Personal property 2018</v>
      </c>
      <c r="D15" s="207" t="s">
        <v>31</v>
      </c>
      <c r="E15" s="211">
        <f>inputOth!E31</f>
        <v>38159</v>
      </c>
      <c r="F15" s="208"/>
      <c r="G15" s="212"/>
      <c r="H15" s="212"/>
      <c r="I15" s="151"/>
      <c r="J15" s="151"/>
    </row>
    <row r="16" spans="1:10" x14ac:dyDescent="0.25">
      <c r="A16" s="207"/>
      <c r="B16" s="43" t="s">
        <v>37</v>
      </c>
      <c r="C16" s="43" t="s">
        <v>797</v>
      </c>
      <c r="D16" s="43"/>
      <c r="E16" s="151"/>
      <c r="F16" s="151" t="s">
        <v>229</v>
      </c>
      <c r="G16" s="681">
        <f>IF(E14&gt;E15,E14-E15,0)</f>
        <v>0</v>
      </c>
      <c r="H16" s="212"/>
      <c r="I16" s="151"/>
      <c r="J16" s="151"/>
    </row>
    <row r="17" spans="1:10" x14ac:dyDescent="0.25">
      <c r="A17" s="207"/>
      <c r="B17" s="207"/>
      <c r="C17" s="43"/>
      <c r="D17" s="43"/>
      <c r="E17" s="151"/>
      <c r="F17" s="151"/>
      <c r="G17" s="212" t="s">
        <v>45</v>
      </c>
      <c r="H17" s="212"/>
      <c r="I17" s="151"/>
      <c r="J17" s="151"/>
    </row>
    <row r="18" spans="1:10" x14ac:dyDescent="0.25">
      <c r="A18" s="207" t="s">
        <v>38</v>
      </c>
      <c r="B18" s="43" t="str">
        <f>CONCATENATE("Valuation of property that has changed in use during ",J1-1,":")</f>
        <v>Valuation of property that has changed in use during 2019:</v>
      </c>
      <c r="C18" s="43"/>
      <c r="D18" s="43"/>
      <c r="E18" s="151"/>
      <c r="F18" s="208" t="s">
        <v>229</v>
      </c>
      <c r="G18" s="681">
        <f>inputOth!E26</f>
        <v>0</v>
      </c>
      <c r="H18" s="151"/>
      <c r="I18" s="151"/>
      <c r="J18" s="151"/>
    </row>
    <row r="19" spans="1:10" x14ac:dyDescent="0.25">
      <c r="A19" s="43" t="s">
        <v>201</v>
      </c>
      <c r="B19" s="43"/>
      <c r="C19" s="43"/>
      <c r="D19" s="207"/>
      <c r="E19" s="212"/>
      <c r="F19" s="212"/>
      <c r="G19" s="212"/>
      <c r="H19" s="151"/>
      <c r="I19" s="151"/>
      <c r="J19" s="151"/>
    </row>
    <row r="20" spans="1:10" x14ac:dyDescent="0.25">
      <c r="A20" s="207" t="s">
        <v>39</v>
      </c>
      <c r="B20" s="43" t="s">
        <v>798</v>
      </c>
      <c r="C20" s="43"/>
      <c r="D20" s="43"/>
      <c r="E20" s="151"/>
      <c r="F20" s="151"/>
      <c r="G20" s="681">
        <f>G11+G16+G18</f>
        <v>0</v>
      </c>
      <c r="H20" s="212"/>
      <c r="I20" s="151"/>
      <c r="J20" s="151"/>
    </row>
    <row r="21" spans="1:10" x14ac:dyDescent="0.25">
      <c r="A21" s="207"/>
      <c r="B21" s="207"/>
      <c r="C21" s="43"/>
      <c r="D21" s="43"/>
      <c r="E21" s="151"/>
      <c r="F21" s="151"/>
      <c r="G21" s="212"/>
      <c r="H21" s="212"/>
      <c r="I21" s="151"/>
      <c r="J21" s="151"/>
    </row>
    <row r="22" spans="1:10" x14ac:dyDescent="0.25">
      <c r="A22" s="207" t="s">
        <v>40</v>
      </c>
      <c r="B22" s="43" t="str">
        <f>CONCATENATE("Total estimated valuation July 1,",J1-1,"")</f>
        <v>Total estimated valuation July 1,2019</v>
      </c>
      <c r="C22" s="43"/>
      <c r="D22" s="43"/>
      <c r="E22" s="681">
        <f>inputOth!E11</f>
        <v>1628902</v>
      </c>
      <c r="F22" s="151"/>
      <c r="G22" s="151"/>
      <c r="H22" s="151"/>
      <c r="I22" s="208"/>
      <c r="J22" s="151"/>
    </row>
    <row r="23" spans="1:10" x14ac:dyDescent="0.25">
      <c r="A23" s="207"/>
      <c r="B23" s="207"/>
      <c r="C23" s="43"/>
      <c r="D23" s="43"/>
      <c r="E23" s="212"/>
      <c r="F23" s="151"/>
      <c r="G23" s="151"/>
      <c r="H23" s="151"/>
      <c r="I23" s="208"/>
      <c r="J23" s="151"/>
    </row>
    <row r="24" spans="1:10" x14ac:dyDescent="0.25">
      <c r="A24" s="207" t="s">
        <v>41</v>
      </c>
      <c r="B24" s="43" t="s">
        <v>799</v>
      </c>
      <c r="C24" s="43"/>
      <c r="D24" s="43"/>
      <c r="E24" s="151"/>
      <c r="F24" s="151"/>
      <c r="G24" s="681">
        <f>E22-G20</f>
        <v>1628902</v>
      </c>
      <c r="H24" s="212"/>
      <c r="I24" s="208"/>
      <c r="J24" s="151"/>
    </row>
    <row r="25" spans="1:10" x14ac:dyDescent="0.25">
      <c r="A25" s="207"/>
      <c r="B25" s="207"/>
      <c r="C25" s="43"/>
      <c r="D25" s="43"/>
      <c r="E25" s="43"/>
      <c r="F25" s="43"/>
      <c r="G25" s="682"/>
      <c r="H25" s="49"/>
      <c r="I25" s="207"/>
      <c r="J25" s="43"/>
    </row>
    <row r="26" spans="1:10" x14ac:dyDescent="0.25">
      <c r="A26" s="207" t="s">
        <v>42</v>
      </c>
      <c r="B26" s="43" t="s">
        <v>800</v>
      </c>
      <c r="C26" s="43"/>
      <c r="D26" s="43"/>
      <c r="E26" s="43"/>
      <c r="F26" s="43"/>
      <c r="G26" s="683">
        <f>IF(G20&gt;0,G20/G24,0)</f>
        <v>0</v>
      </c>
      <c r="H26" s="49"/>
      <c r="I26" s="43"/>
      <c r="J26" s="43"/>
    </row>
    <row r="27" spans="1:10" x14ac:dyDescent="0.25">
      <c r="A27" s="207"/>
      <c r="B27" s="207"/>
      <c r="C27" s="43"/>
      <c r="D27" s="43"/>
      <c r="E27" s="43"/>
      <c r="F27" s="43"/>
      <c r="G27" s="49"/>
      <c r="H27" s="49"/>
      <c r="I27" s="43"/>
      <c r="J27" s="43"/>
    </row>
    <row r="28" spans="1:10" x14ac:dyDescent="0.25">
      <c r="A28" s="207" t="s">
        <v>43</v>
      </c>
      <c r="B28" s="43" t="s">
        <v>801</v>
      </c>
      <c r="C28" s="43"/>
      <c r="D28" s="43"/>
      <c r="E28" s="43"/>
      <c r="F28" s="43"/>
      <c r="G28" s="49"/>
      <c r="H28" s="684" t="s">
        <v>229</v>
      </c>
      <c r="I28" s="43" t="s">
        <v>220</v>
      </c>
      <c r="J28" s="681">
        <f>ROUND(G26*J7,0)</f>
        <v>0</v>
      </c>
    </row>
    <row r="29" spans="1:10" x14ac:dyDescent="0.25">
      <c r="A29" s="207"/>
      <c r="B29" s="207"/>
      <c r="C29" s="43"/>
      <c r="D29" s="43"/>
      <c r="E29" s="43"/>
      <c r="F29" s="43"/>
      <c r="G29" s="49"/>
      <c r="H29" s="684"/>
      <c r="I29" s="43"/>
      <c r="J29" s="212"/>
    </row>
    <row r="30" spans="1:10" ht="16.5" thickBot="1" x14ac:dyDescent="0.3">
      <c r="A30" s="207" t="s">
        <v>44</v>
      </c>
      <c r="B30" s="43" t="str">
        <f>CONCATENATE(J1," budget tax levy, excluding debt service,  prior to CPI adjustment (3 plus 11)")</f>
        <v>2020 budget tax levy, excluding debt service,  prior to CPI adjustment (3 plus 11)</v>
      </c>
      <c r="C30" s="43"/>
      <c r="D30" s="43"/>
      <c r="E30" s="43"/>
      <c r="F30" s="43"/>
      <c r="G30" s="43"/>
      <c r="H30" s="43"/>
      <c r="I30" s="43" t="s">
        <v>220</v>
      </c>
      <c r="J30" s="685">
        <f>J7+J28</f>
        <v>3000</v>
      </c>
    </row>
    <row r="31" spans="1:10" ht="16.5" thickTop="1" x14ac:dyDescent="0.25">
      <c r="A31" s="43"/>
      <c r="B31" s="43"/>
      <c r="C31" s="43"/>
      <c r="D31" s="43"/>
      <c r="E31" s="43"/>
      <c r="F31" s="43"/>
      <c r="G31" s="43"/>
      <c r="H31" s="43"/>
      <c r="I31" s="43"/>
      <c r="J31" s="43"/>
    </row>
    <row r="32" spans="1:10" x14ac:dyDescent="0.25">
      <c r="A32" s="207" t="s">
        <v>55</v>
      </c>
      <c r="B32" s="43" t="str">
        <f>CONCATENATE("Debt service levy in this ",J1," budget")</f>
        <v>Debt service levy in this 2020 budget</v>
      </c>
      <c r="C32" s="43"/>
      <c r="D32" s="43"/>
      <c r="E32" s="43"/>
      <c r="F32" s="43"/>
      <c r="G32" s="43"/>
      <c r="H32" s="43"/>
      <c r="I32" s="43"/>
      <c r="J32" s="681">
        <f>'DebtSvs-Library'!E41</f>
        <v>0</v>
      </c>
    </row>
    <row r="33" spans="1:10" x14ac:dyDescent="0.25">
      <c r="A33" s="207"/>
      <c r="B33" s="43"/>
      <c r="C33" s="43"/>
      <c r="D33" s="43"/>
      <c r="E33" s="43"/>
      <c r="F33" s="43"/>
      <c r="G33" s="43"/>
      <c r="H33" s="43"/>
      <c r="I33" s="43"/>
      <c r="J33" s="49"/>
    </row>
    <row r="34" spans="1:10" ht="16.5" thickBot="1" x14ac:dyDescent="0.3">
      <c r="A34" s="207" t="s">
        <v>56</v>
      </c>
      <c r="B34" s="43" t="str">
        <f>CONCATENATE(J1," budget tax levy, including debt service, prior to CPI adjustment (12 plus 13)")</f>
        <v>2020 budget tax levy, including debt service, prior to CPI adjustment (12 plus 13)</v>
      </c>
      <c r="C34" s="43"/>
      <c r="D34" s="43"/>
      <c r="E34" s="43"/>
      <c r="F34" s="43"/>
      <c r="G34" s="43"/>
      <c r="H34" s="43"/>
      <c r="I34" s="43"/>
      <c r="J34" s="685">
        <f>J30+J32</f>
        <v>3000</v>
      </c>
    </row>
    <row r="35" spans="1:10" ht="16.5" thickTop="1" x14ac:dyDescent="0.25">
      <c r="A35" s="695"/>
      <c r="B35" s="694"/>
      <c r="C35" s="694"/>
      <c r="D35" s="694"/>
      <c r="E35" s="694"/>
      <c r="F35" s="694"/>
      <c r="G35" s="694"/>
      <c r="H35" s="694"/>
      <c r="I35" s="694"/>
      <c r="J35" s="693"/>
    </row>
    <row r="36" spans="1:10" x14ac:dyDescent="0.25">
      <c r="A36" s="697" t="s">
        <v>790</v>
      </c>
      <c r="B36" s="694" t="str">
        <f>CONCATENATE("Consumer Price Index for all urban consumers for calendar year ",J1-2)</f>
        <v>Consumer Price Index for all urban consumers for calendar year 2018</v>
      </c>
      <c r="C36" s="694"/>
      <c r="D36" s="694"/>
      <c r="E36" s="694"/>
      <c r="F36" s="694"/>
      <c r="G36" s="694"/>
      <c r="H36" s="694"/>
      <c r="I36" s="694"/>
      <c r="J36" s="788">
        <f>inputPrYr!D12</f>
        <v>2.5000000000000001E-2</v>
      </c>
    </row>
    <row r="37" spans="1:10" x14ac:dyDescent="0.25">
      <c r="A37" s="697"/>
      <c r="B37" s="694"/>
      <c r="C37" s="694"/>
      <c r="D37" s="694"/>
      <c r="E37" s="694"/>
      <c r="F37" s="694"/>
      <c r="G37" s="694"/>
      <c r="H37" s="694"/>
      <c r="I37" s="694"/>
      <c r="J37" s="698"/>
    </row>
    <row r="38" spans="1:10" x14ac:dyDescent="0.25">
      <c r="A38" s="697" t="s">
        <v>791</v>
      </c>
      <c r="B38" s="694" t="s">
        <v>792</v>
      </c>
      <c r="C38" s="694"/>
      <c r="D38" s="694"/>
      <c r="E38" s="694"/>
      <c r="F38" s="694"/>
      <c r="G38" s="694"/>
      <c r="H38" s="694"/>
      <c r="I38" s="676" t="s">
        <v>220</v>
      </c>
      <c r="J38" s="692">
        <f>ROUND(J7*J36,0)</f>
        <v>75</v>
      </c>
    </row>
    <row r="39" spans="1:10" x14ac:dyDescent="0.25">
      <c r="A39" s="695"/>
      <c r="B39" s="694"/>
      <c r="C39" s="694"/>
      <c r="D39" s="694"/>
      <c r="E39" s="694"/>
      <c r="F39" s="694"/>
      <c r="G39" s="694"/>
      <c r="H39" s="694"/>
      <c r="I39" s="694"/>
      <c r="J39" s="693"/>
    </row>
    <row r="40" spans="1:10" x14ac:dyDescent="0.25">
      <c r="A40" s="695" t="s">
        <v>793</v>
      </c>
      <c r="B40" s="694" t="str">
        <f>CONCATENATE("Maximum levy for budget year ",J1,", including debt service, not requiring 'notice of vote publication'")</f>
        <v>Maximum levy for budget year 2020, including debt service, not requiring 'notice of vote publication'</v>
      </c>
      <c r="C40" s="694"/>
      <c r="D40" s="694"/>
      <c r="E40" s="694"/>
      <c r="F40" s="694"/>
      <c r="G40" s="694"/>
      <c r="H40" s="694"/>
      <c r="I40" s="694"/>
      <c r="J40" s="691"/>
    </row>
    <row r="41" spans="1:10" ht="19.5" thickBot="1" x14ac:dyDescent="0.3">
      <c r="A41" s="690"/>
      <c r="B41" s="676" t="s">
        <v>844</v>
      </c>
      <c r="C41" s="690"/>
      <c r="D41" s="690"/>
      <c r="E41" s="690"/>
      <c r="F41" s="690"/>
      <c r="G41" s="690"/>
      <c r="H41" s="690"/>
      <c r="I41" s="676" t="s">
        <v>220</v>
      </c>
      <c r="J41" s="696">
        <f>J34+J38</f>
        <v>3075</v>
      </c>
    </row>
    <row r="42" spans="1:10" ht="19.5" thickTop="1" x14ac:dyDescent="0.25">
      <c r="A42" s="690"/>
      <c r="B42" s="699"/>
      <c r="C42" s="690"/>
      <c r="D42" s="690"/>
      <c r="E42" s="690"/>
      <c r="F42" s="690"/>
      <c r="G42" s="690"/>
      <c r="H42" s="690"/>
      <c r="I42" s="676"/>
      <c r="J42" s="693"/>
    </row>
    <row r="43" spans="1:10" ht="18.75" x14ac:dyDescent="0.25">
      <c r="A43" s="690"/>
      <c r="B43" s="699"/>
      <c r="C43" s="690"/>
      <c r="D43" s="690"/>
      <c r="E43" s="690"/>
      <c r="F43" s="690"/>
      <c r="G43" s="690"/>
      <c r="H43" s="690"/>
      <c r="I43" s="676"/>
      <c r="J43" s="693"/>
    </row>
    <row r="44" spans="1:10" ht="15" customHeight="1" x14ac:dyDescent="0.25">
      <c r="A44" s="896" t="str">
        <f>CONCATENATE("If the ",J1," adopted budget includes a total property tax levy exceeding the dollar amount in line 17")</f>
        <v>If the 2020 adopted budget includes a total property tax levy exceeding the dollar amount in line 17</v>
      </c>
      <c r="B44" s="896"/>
      <c r="C44" s="896"/>
      <c r="D44" s="896"/>
      <c r="E44" s="896"/>
      <c r="F44" s="896"/>
      <c r="G44" s="896"/>
      <c r="H44" s="896"/>
      <c r="I44" s="896"/>
      <c r="J44" s="896"/>
    </row>
    <row r="45" spans="1:10" ht="32.1" customHeight="1" x14ac:dyDescent="0.25">
      <c r="A45" s="895" t="s">
        <v>845</v>
      </c>
      <c r="B45" s="895"/>
      <c r="C45" s="895"/>
      <c r="D45" s="895"/>
      <c r="E45" s="895"/>
      <c r="F45" s="895"/>
      <c r="G45" s="895"/>
      <c r="H45" s="895"/>
      <c r="I45" s="895"/>
      <c r="J45" s="895"/>
    </row>
    <row r="46" spans="1:10" ht="15" customHeight="1" x14ac:dyDescent="0.25">
      <c r="A46" s="894" t="s">
        <v>794</v>
      </c>
      <c r="B46" s="894"/>
      <c r="C46" s="894"/>
      <c r="D46" s="894"/>
      <c r="E46" s="894"/>
      <c r="F46" s="894"/>
      <c r="G46" s="894"/>
      <c r="H46" s="894"/>
      <c r="I46" s="894"/>
      <c r="J46" s="894"/>
    </row>
    <row r="47" spans="1:10" ht="15" customHeight="1" x14ac:dyDescent="0.25">
      <c r="A47" s="894" t="s">
        <v>795</v>
      </c>
      <c r="B47" s="894"/>
      <c r="C47" s="894"/>
      <c r="D47" s="894"/>
      <c r="E47" s="894"/>
      <c r="F47" s="894"/>
      <c r="G47" s="894"/>
      <c r="H47" s="894"/>
      <c r="I47" s="894"/>
      <c r="J47" s="894"/>
    </row>
  </sheetData>
  <sheetProtection sheet="1"/>
  <mergeCells count="7">
    <mergeCell ref="A3:J3"/>
    <mergeCell ref="E4:G4"/>
    <mergeCell ref="A47:J47"/>
    <mergeCell ref="A45:J45"/>
    <mergeCell ref="A44:J44"/>
    <mergeCell ref="A46:J46"/>
    <mergeCell ref="A9:J9"/>
  </mergeCells>
  <phoneticPr fontId="0" type="noConversion"/>
  <pageMargins left="0.4" right="0.4" top="0.83" bottom="0.85" header="0.3" footer="0.6"/>
  <pageSetup scale="87"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F0"/>
    <pageSetUpPr fitToPage="1"/>
  </sheetPr>
  <dimension ref="A1:N34"/>
  <sheetViews>
    <sheetView zoomScale="80" zoomScaleNormal="80" workbookViewId="0">
      <selection activeCell="I43" sqref="I43"/>
    </sheetView>
  </sheetViews>
  <sheetFormatPr defaultColWidth="8.796875" defaultRowHeight="15.75" x14ac:dyDescent="0.25"/>
  <cols>
    <col min="1" max="1" width="6.3984375" style="184" customWidth="1"/>
    <col min="2" max="2" width="24.3984375" style="184" customWidth="1"/>
    <col min="3" max="3" width="12.8984375" style="184" customWidth="1"/>
    <col min="4" max="5" width="14.69921875" style="184" customWidth="1"/>
    <col min="6" max="13" width="14.796875" style="184" customWidth="1"/>
    <col min="14" max="14" width="6.3984375" style="184" customWidth="1"/>
    <col min="15" max="16384" width="8.796875" style="184"/>
  </cols>
  <sheetData>
    <row r="1" spans="1:14" x14ac:dyDescent="0.25">
      <c r="A1" s="43"/>
      <c r="B1" s="182" t="str">
        <f>inputPrYr!D4</f>
        <v>Scott Township</v>
      </c>
      <c r="C1" s="43"/>
      <c r="D1" s="43"/>
      <c r="E1" s="43"/>
      <c r="F1" s="43"/>
      <c r="G1" s="43"/>
      <c r="H1" s="43"/>
      <c r="I1" s="43"/>
      <c r="J1" s="43"/>
      <c r="K1" s="43"/>
      <c r="L1" s="43"/>
      <c r="M1" s="43"/>
      <c r="N1" s="183">
        <f>inputPrYr!D10</f>
        <v>2020</v>
      </c>
    </row>
    <row r="2" spans="1:14" x14ac:dyDescent="0.25">
      <c r="A2" s="43"/>
      <c r="B2" s="182"/>
      <c r="C2" s="43"/>
      <c r="D2" s="43"/>
      <c r="E2" s="43"/>
      <c r="F2" s="43"/>
      <c r="G2" s="43"/>
      <c r="H2" s="170"/>
      <c r="I2" s="170"/>
      <c r="J2" s="170"/>
      <c r="K2" s="170"/>
      <c r="L2" s="170"/>
      <c r="M2" s="170"/>
      <c r="N2" s="170"/>
    </row>
    <row r="3" spans="1:14" x14ac:dyDescent="0.25">
      <c r="A3" s="43"/>
      <c r="B3" s="182"/>
      <c r="C3" s="43"/>
      <c r="D3" s="43"/>
      <c r="E3" s="43"/>
      <c r="F3" s="43"/>
      <c r="G3" s="43"/>
      <c r="H3" s="170"/>
      <c r="I3" s="170"/>
      <c r="J3" s="170"/>
      <c r="K3" s="170"/>
      <c r="L3" s="170"/>
      <c r="M3" s="170"/>
      <c r="N3" s="170"/>
    </row>
    <row r="4" spans="1:14" x14ac:dyDescent="0.25">
      <c r="A4" s="43"/>
      <c r="B4" s="182"/>
      <c r="C4" s="43"/>
      <c r="D4" s="43"/>
      <c r="E4" s="43"/>
      <c r="F4" s="43"/>
      <c r="G4" s="43"/>
      <c r="H4" s="170"/>
      <c r="I4" s="170"/>
      <c r="J4" s="170"/>
      <c r="K4" s="170"/>
      <c r="L4" s="170"/>
      <c r="M4" s="170"/>
      <c r="N4" s="170"/>
    </row>
    <row r="5" spans="1:14" x14ac:dyDescent="0.25">
      <c r="A5" s="43"/>
      <c r="B5" s="43"/>
      <c r="C5" s="43"/>
      <c r="D5" s="43"/>
      <c r="E5" s="43"/>
      <c r="F5" s="43"/>
      <c r="G5" s="43"/>
      <c r="H5" s="43"/>
      <c r="I5" s="43"/>
      <c r="J5" s="43"/>
      <c r="K5" s="43"/>
      <c r="L5" s="43"/>
      <c r="M5" s="43"/>
      <c r="N5" s="43"/>
    </row>
    <row r="6" spans="1:14" x14ac:dyDescent="0.25">
      <c r="A6" s="900" t="s">
        <v>823</v>
      </c>
      <c r="B6" s="900"/>
      <c r="C6" s="900"/>
      <c r="D6" s="900"/>
      <c r="E6" s="900"/>
      <c r="F6" s="900"/>
      <c r="G6" s="900"/>
      <c r="H6" s="900"/>
      <c r="I6" s="900"/>
      <c r="J6" s="900"/>
      <c r="K6" s="900"/>
      <c r="L6" s="900"/>
      <c r="M6" s="900"/>
      <c r="N6" s="901"/>
    </row>
    <row r="7" spans="1:14" ht="16.5" x14ac:dyDescent="0.25">
      <c r="A7" s="43"/>
      <c r="B7" s="868"/>
      <c r="C7" s="897"/>
      <c r="D7" s="897"/>
      <c r="E7" s="897"/>
      <c r="F7" s="897"/>
      <c r="G7" s="897"/>
      <c r="H7" s="897"/>
      <c r="I7" s="897"/>
      <c r="J7" s="897"/>
      <c r="K7" s="897"/>
      <c r="L7" s="897"/>
      <c r="M7" s="897"/>
      <c r="N7" s="897"/>
    </row>
    <row r="8" spans="1:14" x14ac:dyDescent="0.25">
      <c r="A8" s="43"/>
      <c r="B8" s="43"/>
      <c r="C8" s="185"/>
      <c r="D8" s="186"/>
      <c r="E8" s="186"/>
      <c r="F8" s="44"/>
      <c r="G8" s="44"/>
      <c r="H8" s="43"/>
      <c r="I8" s="43"/>
      <c r="J8" s="43"/>
      <c r="K8" s="43"/>
      <c r="L8" s="43"/>
      <c r="M8" s="43"/>
      <c r="N8" s="43"/>
    </row>
    <row r="9" spans="1:14" ht="21" customHeight="1" x14ac:dyDescent="0.25">
      <c r="A9" s="43"/>
      <c r="B9" s="187" t="s">
        <v>661</v>
      </c>
      <c r="C9" s="898" t="str">
        <f>CONCATENATE("Tax Levies in the ",N1-1," Budget")</f>
        <v>Tax Levies in the 2019 Budget</v>
      </c>
      <c r="D9" s="872" t="str">
        <f>CONCATENATE("Allocation for Year ",N1,"")</f>
        <v>Allocation for Year 2020</v>
      </c>
      <c r="E9" s="902"/>
      <c r="F9" s="903"/>
      <c r="G9" s="903"/>
      <c r="H9" s="903"/>
      <c r="I9" s="903"/>
      <c r="J9" s="903"/>
      <c r="K9" s="903"/>
      <c r="L9" s="903"/>
      <c r="M9" s="904"/>
      <c r="N9" s="750"/>
    </row>
    <row r="10" spans="1:14" x14ac:dyDescent="0.25">
      <c r="A10" s="43"/>
      <c r="B10" s="57" t="str">
        <f>CONCATENATE("for ",N1-1,"")</f>
        <v>for 2019</v>
      </c>
      <c r="C10" s="899"/>
      <c r="D10" s="57" t="s">
        <v>830</v>
      </c>
      <c r="E10" s="57" t="s">
        <v>831</v>
      </c>
      <c r="F10" s="57" t="s">
        <v>832</v>
      </c>
      <c r="G10" s="57" t="s">
        <v>833</v>
      </c>
      <c r="H10" s="57" t="s">
        <v>834</v>
      </c>
      <c r="I10" s="57" t="s">
        <v>835</v>
      </c>
      <c r="J10" s="740" t="s">
        <v>836</v>
      </c>
      <c r="K10" s="740" t="s">
        <v>837</v>
      </c>
      <c r="L10" s="740" t="s">
        <v>838</v>
      </c>
      <c r="M10" s="740" t="s">
        <v>839</v>
      </c>
      <c r="N10" s="170"/>
    </row>
    <row r="11" spans="1:14" x14ac:dyDescent="0.25">
      <c r="A11" s="744" t="s">
        <v>829</v>
      </c>
      <c r="B11" s="68" t="str">
        <f>inputPrYr!B23</f>
        <v>General</v>
      </c>
      <c r="C11" s="745">
        <f>inputOth!D37</f>
        <v>1.861</v>
      </c>
      <c r="D11" s="68">
        <f>IF(C11=0,0,(C11/C23*inputOth!E59))</f>
        <v>160</v>
      </c>
      <c r="E11" s="68">
        <f>IF(C11=0,0,(C11/C24*(inputOth!E65+inputOth!E71)))</f>
        <v>0</v>
      </c>
      <c r="F11" s="68">
        <f>IF(C11=0,0,(C11/C23*inputOth!E60))</f>
        <v>5</v>
      </c>
      <c r="G11" s="68">
        <f>IF(C11=0,0,(C11/C24*(inputOth!E66+inputOth!E72)))</f>
        <v>0</v>
      </c>
      <c r="H11" s="68">
        <f>IF(C11=0,0,(C11/C23*inputOth!E61))</f>
        <v>41</v>
      </c>
      <c r="I11" s="68">
        <f>IF(C11=0,0,(C11/C24*(inputOth!E67+inputOth!E73)))</f>
        <v>0</v>
      </c>
      <c r="J11" s="68">
        <f>IF(C11=0,0,(C11/C23*inputOth!E62))</f>
        <v>10</v>
      </c>
      <c r="K11" s="68">
        <f>IF(C11=0,0,(C11/C24*(inputOth!E68+inputOth!E74)))</f>
        <v>0</v>
      </c>
      <c r="L11" s="68">
        <f>IF(C11=0,0,(C11/C23*inputOth!E63))</f>
        <v>2</v>
      </c>
      <c r="M11" s="68">
        <f>IF(C11=0,0,(C11/C24*(inputOth!E69+inputOth!E75)))</f>
        <v>0</v>
      </c>
      <c r="N11" s="170"/>
    </row>
    <row r="12" spans="1:14" x14ac:dyDescent="0.25">
      <c r="A12" s="744" t="s">
        <v>829</v>
      </c>
      <c r="B12" s="68" t="str">
        <f>inputPrYr!B24</f>
        <v>Debt Service</v>
      </c>
      <c r="C12" s="745">
        <f>inputOth!D38</f>
        <v>0</v>
      </c>
      <c r="D12" s="68">
        <f>IF(C12=0,0,(C12/C23*inputOth!E59))</f>
        <v>0</v>
      </c>
      <c r="E12" s="68">
        <f>IF(C12=0,0,(C12/C24*(inputOth!E65+inputOth!E71)))</f>
        <v>0</v>
      </c>
      <c r="F12" s="68">
        <f>IF(C12=0,0,(C12/C23*inputOth!E60))</f>
        <v>0</v>
      </c>
      <c r="G12" s="68">
        <f>IF(C12=0,0,(C12/C24*(inputOth!E66+inputOth!E72)))</f>
        <v>0</v>
      </c>
      <c r="H12" s="68">
        <f>IF(C12=0,0,(C12/C23*inputOth!E61))</f>
        <v>0</v>
      </c>
      <c r="I12" s="68">
        <f>IF(C12=0,0,(C12/C24*(inputOth!E67+inputOth!E73)))</f>
        <v>0</v>
      </c>
      <c r="J12" s="68">
        <f>IF(C12=0,0,(C12/C23*inputOth!E62))</f>
        <v>0</v>
      </c>
      <c r="K12" s="68">
        <f>IF(C12=0,0,(C12/C24*(inputOth!E68+inputOth!E74)))</f>
        <v>0</v>
      </c>
      <c r="L12" s="68">
        <f>IF(C12=0,0,(C12/C23*inputOth!E63))</f>
        <v>0</v>
      </c>
      <c r="M12" s="68">
        <f>IF(C12=0,0,(C12/C24*(inputOth!E69+inputOth!E75)))</f>
        <v>0</v>
      </c>
      <c r="N12" s="170"/>
    </row>
    <row r="13" spans="1:14" x14ac:dyDescent="0.25">
      <c r="A13" s="744" t="s">
        <v>829</v>
      </c>
      <c r="B13" s="68" t="str">
        <f>IF(inputPrYr!$B25&gt;"  ",inputPrYr!$B25,"  ")</f>
        <v>Library</v>
      </c>
      <c r="C13" s="745">
        <f>inputOth!D39</f>
        <v>0</v>
      </c>
      <c r="D13" s="68">
        <f>IF(C13=0,0,(C13/C23*inputOth!E59))</f>
        <v>0</v>
      </c>
      <c r="E13" s="68">
        <f>IF(C13=0,0,(C13/C24*(inputOth!E65+inputOth!E71)))</f>
        <v>0</v>
      </c>
      <c r="F13" s="68">
        <f>IF(C13=0,0,(C13/C23*inputOth!E60))</f>
        <v>0</v>
      </c>
      <c r="G13" s="68">
        <f>IF(C13=0,0,(C13/C24*(inputOth!E66+inputOth!E72)))</f>
        <v>0</v>
      </c>
      <c r="H13" s="68">
        <f>IF(C13=0,0,(C13/C23*inputOth!E61))</f>
        <v>0</v>
      </c>
      <c r="I13" s="68">
        <f>IF(C13=0,0,(C13/C24*(inputOth!E67+inputOth!E73)))</f>
        <v>0</v>
      </c>
      <c r="J13" s="68">
        <f>IF(C13=0,0,(C13/C23*inputOth!E62))</f>
        <v>0</v>
      </c>
      <c r="K13" s="68">
        <f>IF(C13=0,0,(C13/C24*(inputOth!E68+inputOth!E74)))</f>
        <v>0</v>
      </c>
      <c r="L13" s="68">
        <f>IF(C13=0,0,(C13/C23*inputOth!E63))</f>
        <v>0</v>
      </c>
      <c r="M13" s="68">
        <f>IF(C13=0,0,(C13/C24*(inputOth!E69+inputOth!E75)))</f>
        <v>0</v>
      </c>
      <c r="N13" s="170"/>
    </row>
    <row r="14" spans="1:14" x14ac:dyDescent="0.25">
      <c r="A14" s="744"/>
      <c r="B14" s="68" t="str">
        <f>IF(inputPrYr!$B26&gt;"  ",inputPrYr!$B26,"  ")</f>
        <v>Road</v>
      </c>
      <c r="C14" s="745">
        <f>inputOth!D40</f>
        <v>0</v>
      </c>
      <c r="D14" s="68">
        <f>IF(C14=0,0,(C14/C23*inputOth!E59))</f>
        <v>0</v>
      </c>
      <c r="E14" s="68"/>
      <c r="F14" s="68">
        <f>IF(C14=0,0,(C14/C23*inputOth!E60))</f>
        <v>0</v>
      </c>
      <c r="G14" s="68"/>
      <c r="H14" s="68">
        <f>IF(C14=0,0,(C14/C23*inputOth!E61))</f>
        <v>0</v>
      </c>
      <c r="I14" s="68"/>
      <c r="J14" s="68">
        <f>IF(C14=0,0,(C14/C23*inputOth!E62))</f>
        <v>0</v>
      </c>
      <c r="K14" s="68"/>
      <c r="L14" s="68">
        <f>IF(C14=0,0,(C14/C23*inputOth!E63))</f>
        <v>0</v>
      </c>
      <c r="M14" s="68"/>
      <c r="N14" s="170"/>
    </row>
    <row r="15" spans="1:14" x14ac:dyDescent="0.25">
      <c r="A15" s="744"/>
      <c r="B15" s="68" t="str">
        <f>IF(inputPrYr!$B27&gt;"  ",inputPrYr!$B27,"  ")</f>
        <v>Special Road</v>
      </c>
      <c r="C15" s="745">
        <f>inputOth!D41</f>
        <v>0</v>
      </c>
      <c r="D15" s="68">
        <f>IF(C15=0,0,(C15/C23*inputOth!E59))</f>
        <v>0</v>
      </c>
      <c r="E15" s="68"/>
      <c r="F15" s="68">
        <f>IF(C15=0,0,(C15/C23*inputOth!E60))</f>
        <v>0</v>
      </c>
      <c r="G15" s="68"/>
      <c r="H15" s="68">
        <f>IF(C15=0,0,(C15/C23*inputOth!E61))</f>
        <v>0</v>
      </c>
      <c r="I15" s="68"/>
      <c r="J15" s="68">
        <f>IF(C15=0,0,(C15/C23*inputOth!E62))</f>
        <v>0</v>
      </c>
      <c r="K15" s="68"/>
      <c r="L15" s="68">
        <f>IF(C15=0,0,(C15/C23*inputOth!E63))</f>
        <v>0</v>
      </c>
      <c r="M15" s="68"/>
      <c r="N15" s="170"/>
    </row>
    <row r="16" spans="1:14" x14ac:dyDescent="0.25">
      <c r="A16" s="744"/>
      <c r="B16" s="68" t="str">
        <f>IF(inputPrYr!$B28&gt;"  ",inputPrYr!$B28,"  ")</f>
        <v>Noxious Weed</v>
      </c>
      <c r="C16" s="745">
        <f>inputOth!D42</f>
        <v>0</v>
      </c>
      <c r="D16" s="68">
        <f>IF(C16=0,0,(C16/C23*inputOth!E59))</f>
        <v>0</v>
      </c>
      <c r="E16" s="68"/>
      <c r="F16" s="68">
        <f>IF(C16=0,0,(C16/C23*inputOth!E60))</f>
        <v>0</v>
      </c>
      <c r="G16" s="68"/>
      <c r="H16" s="68">
        <f>IF(C16=0,0,(C16/C23*inputOth!E61))</f>
        <v>0</v>
      </c>
      <c r="I16" s="68"/>
      <c r="J16" s="68">
        <f>IF(C16=0,0,(C16/C23*inputOth!E62))</f>
        <v>0</v>
      </c>
      <c r="K16" s="68"/>
      <c r="L16" s="68">
        <f>IF(C16=0,0,(C16/C23*inputOth!E63))</f>
        <v>0</v>
      </c>
      <c r="M16" s="68"/>
      <c r="N16" s="170"/>
    </row>
    <row r="17" spans="1:14" x14ac:dyDescent="0.25">
      <c r="A17" s="744"/>
      <c r="B17" s="68" t="str">
        <f>IF(inputPrYr!$B29&gt;"  ",inputPrYr!$B29,"  ")</f>
        <v>Fire Protection</v>
      </c>
      <c r="C17" s="745">
        <f>inputOth!D43</f>
        <v>0</v>
      </c>
      <c r="D17" s="68">
        <f>IF(C17=0,0,(C17/C23*inputOth!E59))</f>
        <v>0</v>
      </c>
      <c r="E17" s="68"/>
      <c r="F17" s="68">
        <f>IF(C17=0,0,(C17/C23*inputOth!E60))</f>
        <v>0</v>
      </c>
      <c r="G17" s="68"/>
      <c r="H17" s="68">
        <f>IF(C17=0,0,(C17/C23*inputOth!E61))</f>
        <v>0</v>
      </c>
      <c r="I17" s="68"/>
      <c r="J17" s="68">
        <f>IF(C17=0,0,(C17/C23*inputOth!E62))</f>
        <v>0</v>
      </c>
      <c r="K17" s="68"/>
      <c r="L17" s="68">
        <f>IF(C17=0,0,(C17/C23*inputOth!E63))</f>
        <v>0</v>
      </c>
      <c r="M17" s="68"/>
      <c r="N17" s="170"/>
    </row>
    <row r="18" spans="1:14" x14ac:dyDescent="0.25">
      <c r="A18" s="744" t="s">
        <v>829</v>
      </c>
      <c r="B18" s="68" t="str">
        <f>IF(inputPrYr!$B30&gt;"  ",inputPrYr!$B30,"  ")</f>
        <v xml:space="preserve">  </v>
      </c>
      <c r="C18" s="745">
        <f>inputOth!D44</f>
        <v>0</v>
      </c>
      <c r="D18" s="68">
        <f>IF(C18=0,0,(C18/C23*inputOth!E59))</f>
        <v>0</v>
      </c>
      <c r="E18" s="68">
        <f>IF(C18=0,0,(C18/C24*(inputOth!E65+inputOth!E71)))</f>
        <v>0</v>
      </c>
      <c r="F18" s="68">
        <f>IF(C18=0,0,(C18/C23*inputOth!E60))</f>
        <v>0</v>
      </c>
      <c r="G18" s="68">
        <f>IF(C18=0,0,(C18/C24*(inputOth!E66+inputOth!E72)))</f>
        <v>0</v>
      </c>
      <c r="H18" s="68">
        <f>IF(C18=0,0,(C18/C23*inputOth!E61))</f>
        <v>0</v>
      </c>
      <c r="I18" s="68">
        <f>IF(C18=0,0,(C18/C24*(inputOth!E67+inputOth!E73)))</f>
        <v>0</v>
      </c>
      <c r="J18" s="68">
        <f>IF(C18=0,0,(C18/C23*inputOth!E62))</f>
        <v>0</v>
      </c>
      <c r="K18" s="68">
        <f>IF(C18=0,0,(C18/C24*(inputOth!E68+inputOth!E74)))</f>
        <v>0</v>
      </c>
      <c r="L18" s="68">
        <f>IF(C18=0,0,(C18/C23*inputOth!E63))</f>
        <v>0</v>
      </c>
      <c r="M18" s="68">
        <f>IF(C18=0,0,(C18/C24*(inputOth!E69+inputOth!E75)))</f>
        <v>0</v>
      </c>
      <c r="N18" s="170"/>
    </row>
    <row r="19" spans="1:14" x14ac:dyDescent="0.25">
      <c r="A19" s="744" t="s">
        <v>829</v>
      </c>
      <c r="B19" s="68" t="str">
        <f>IF(inputPrYr!$B31&gt;"  ",inputPrYr!$B31,"  ")</f>
        <v xml:space="preserve">  </v>
      </c>
      <c r="C19" s="745">
        <f>inputOth!D45</f>
        <v>0</v>
      </c>
      <c r="D19" s="68">
        <f>IF(C19=0,0,(C19/C23*inputOth!E59))</f>
        <v>0</v>
      </c>
      <c r="E19" s="68">
        <f>IF(C19=0,0,(C19/C24*(inputOth!E65+inputOth!E71)))</f>
        <v>0</v>
      </c>
      <c r="F19" s="68">
        <f>IF(C19=0,0,(C19/C23*inputOth!E60))</f>
        <v>0</v>
      </c>
      <c r="G19" s="68">
        <f>IF(C19=0,0,(C19/C24*(inputOth!E66+inputOth!E72)))</f>
        <v>0</v>
      </c>
      <c r="H19" s="68">
        <f>IF(C19=0,0,(C19/C23*inputOth!E61))</f>
        <v>0</v>
      </c>
      <c r="I19" s="68">
        <f>IF(C19=0,0,(C19/C24*(inputOth!E67+inputOth!E73)))</f>
        <v>0</v>
      </c>
      <c r="J19" s="68">
        <f>IF(C19=0,0,(C19/C23*inputOth!E62))</f>
        <v>0</v>
      </c>
      <c r="K19" s="68">
        <f>IF(C19=0,0,(C19/C24*(inputOth!E68+inputOth!E74)))</f>
        <v>0</v>
      </c>
      <c r="L19" s="68">
        <f>IF(C19=0,0,(C19/C23*inputOth!E63))</f>
        <v>0</v>
      </c>
      <c r="M19" s="68">
        <f>IF(C19=0,0,(C19/C24*(inputOth!E69+inputOth!E75)))</f>
        <v>0</v>
      </c>
      <c r="N19" s="170"/>
    </row>
    <row r="20" spans="1:14" x14ac:dyDescent="0.25">
      <c r="A20" s="744" t="s">
        <v>829</v>
      </c>
      <c r="B20" s="68" t="str">
        <f>IF(inputPrYr!$B32&gt;"  ",inputPrYr!$B32,"  ")</f>
        <v xml:space="preserve">  </v>
      </c>
      <c r="C20" s="745">
        <f>inputOth!D46</f>
        <v>0</v>
      </c>
      <c r="D20" s="68">
        <f>IF(C20=0,0,(C20/C23*inputOth!E59))</f>
        <v>0</v>
      </c>
      <c r="E20" s="68">
        <f>IF(C20=0,0,(C20/C24*(inputOth!E65+inputOth!E71)))</f>
        <v>0</v>
      </c>
      <c r="F20" s="68">
        <f>IF(C20=0,0,(C20/C23*inputOth!E60))</f>
        <v>0</v>
      </c>
      <c r="G20" s="68">
        <f>IF(C20=0,0,(C20/C24*(inputOth!E66+inputOth!E72)))</f>
        <v>0</v>
      </c>
      <c r="H20" s="68">
        <f>IF(C20=0,0,(C20/C23*inputOth!E61))</f>
        <v>0</v>
      </c>
      <c r="I20" s="68">
        <f>IF(C20=0,0,(C20/C24*(inputOth!E67+inputOth!E73)))</f>
        <v>0</v>
      </c>
      <c r="J20" s="68">
        <f>IF(C20=0,0,(C20/C23*inputOth!E62))</f>
        <v>0</v>
      </c>
      <c r="K20" s="68">
        <f>IF(C20=0,0,(C20/C24*(inputOth!E68+inputOth!E74)))</f>
        <v>0</v>
      </c>
      <c r="L20" s="68">
        <f>IF(C20=0,0,(C20/C23*inputOth!E63))</f>
        <v>0</v>
      </c>
      <c r="M20" s="68">
        <f>IF(C20=0,0,(C20/C24*(inputOth!E69+inputOth!E75)))</f>
        <v>0</v>
      </c>
      <c r="N20" s="170"/>
    </row>
    <row r="21" spans="1:14" x14ac:dyDescent="0.25">
      <c r="A21" s="744" t="s">
        <v>829</v>
      </c>
      <c r="B21" s="68" t="str">
        <f>IF(inputPrYr!$B33&gt;"  ",inputPrYr!$B33,"  ")</f>
        <v xml:space="preserve">  </v>
      </c>
      <c r="C21" s="745">
        <f>inputOth!D47</f>
        <v>0</v>
      </c>
      <c r="D21" s="68">
        <f>IF(C21=0,0,(C21/C23*inputOth!E59))</f>
        <v>0</v>
      </c>
      <c r="E21" s="68">
        <f>IF(C21=0,0,(C21/C24*(inputOth!E65+inputOth!E71)))</f>
        <v>0</v>
      </c>
      <c r="F21" s="68">
        <f>IF(C21=0,0,(C21/C23*inputOth!E60))</f>
        <v>0</v>
      </c>
      <c r="G21" s="68">
        <f>IF(C21=0,0,(C21/C24*(inputOth!E66+inputOth!E72)))</f>
        <v>0</v>
      </c>
      <c r="H21" s="68">
        <f>IF(C21=0,0,(C21/C23*inputOth!E61))</f>
        <v>0</v>
      </c>
      <c r="I21" s="68">
        <f>IF(C21=0,0,(C21/C24*(inputOth!E67+inputOth!E73)))</f>
        <v>0</v>
      </c>
      <c r="J21" s="68">
        <f>IF(C21=0,0,(C21/C23*inputOth!E62))</f>
        <v>0</v>
      </c>
      <c r="K21" s="68">
        <f>IF(C21=0,0,(C21/C24*(inputOth!E68+inputOth!E74)))</f>
        <v>0</v>
      </c>
      <c r="L21" s="68">
        <f>IF(C21=0,0,(C21/C23*inputOth!E63))</f>
        <v>0</v>
      </c>
      <c r="M21" s="68">
        <f>IF(C21=0,0,(C21/C24*(inputOth!E69+inputOth!E75)))</f>
        <v>0</v>
      </c>
      <c r="N21" s="170"/>
    </row>
    <row r="22" spans="1:14" x14ac:dyDescent="0.25">
      <c r="A22" s="744" t="s">
        <v>829</v>
      </c>
      <c r="B22" s="746" t="str">
        <f>IF(inputPrYr!$B34&gt;"  ",inputPrYr!$B34,"  ")</f>
        <v xml:space="preserve">  </v>
      </c>
      <c r="C22" s="747">
        <f>inputOth!D48</f>
        <v>0</v>
      </c>
      <c r="D22" s="68">
        <f>IF(C22=0,0,(C22/C23*inputOth!E59))</f>
        <v>0</v>
      </c>
      <c r="E22" s="68">
        <f>IF(C22=0,0,(C22/C24*(inputOth!E65+inputOth!E71)))</f>
        <v>0</v>
      </c>
      <c r="F22" s="68">
        <f>IF(C22=0,0,(C22/C23*inputOth!E60))</f>
        <v>0</v>
      </c>
      <c r="G22" s="68">
        <f>IF(C22=0,0,(C22/C24*(inputOth!E66+inputOth!E72)))</f>
        <v>0</v>
      </c>
      <c r="H22" s="68">
        <f>IF(C22=0,0,(C22/C23*inputOth!E61))</f>
        <v>0</v>
      </c>
      <c r="I22" s="68">
        <f>IF(C22=0,0,(C22/C24*(inputOth!E67+inputOth!E73)))</f>
        <v>0</v>
      </c>
      <c r="J22" s="68">
        <f>IF(C22=0,0,(C22/C23*inputOth!E62))</f>
        <v>0</v>
      </c>
      <c r="K22" s="68">
        <f>IF(C22=0,0,(C22/C24*(inputOth!E68+inputOth!E74)))</f>
        <v>0</v>
      </c>
      <c r="L22" s="68">
        <f>IF(C22=0,0,(C22/C23*inputOth!E63))</f>
        <v>0</v>
      </c>
      <c r="M22" s="68">
        <f>IF(C22=0,0,(C22/C24*(inputOth!E69+inputOth!E75)))</f>
        <v>0</v>
      </c>
      <c r="N22" s="170"/>
    </row>
    <row r="23" spans="1:14" ht="16.5" thickBot="1" x14ac:dyDescent="0.3">
      <c r="A23" s="43"/>
      <c r="B23" s="755" t="s">
        <v>199</v>
      </c>
      <c r="C23" s="754">
        <f t="shared" ref="C23:L23" si="0">SUM(C11:C22)</f>
        <v>1.861</v>
      </c>
      <c r="D23" s="751">
        <f t="shared" si="0"/>
        <v>160</v>
      </c>
      <c r="E23" s="746"/>
      <c r="F23" s="751">
        <f t="shared" si="0"/>
        <v>5</v>
      </c>
      <c r="G23" s="756"/>
      <c r="H23" s="751">
        <f t="shared" si="0"/>
        <v>41</v>
      </c>
      <c r="I23" s="756"/>
      <c r="J23" s="751">
        <f t="shared" si="0"/>
        <v>10</v>
      </c>
      <c r="K23" s="756"/>
      <c r="L23" s="751">
        <f t="shared" si="0"/>
        <v>2</v>
      </c>
      <c r="M23" s="756"/>
      <c r="N23" s="170"/>
    </row>
    <row r="24" spans="1:14" ht="17.25" thickTop="1" thickBot="1" x14ac:dyDescent="0.3">
      <c r="A24" s="43"/>
      <c r="B24" s="753" t="s">
        <v>840</v>
      </c>
      <c r="C24" s="752">
        <f>SUM(C11+C12+C13+C18+C19+C20+C21+C22)</f>
        <v>1.861</v>
      </c>
      <c r="D24" s="748"/>
      <c r="E24" s="751">
        <f>SUM(E11:E22)</f>
        <v>0</v>
      </c>
      <c r="F24" s="748"/>
      <c r="G24" s="751">
        <f>SUM(G11:G23)</f>
        <v>0</v>
      </c>
      <c r="H24" s="748"/>
      <c r="I24" s="751">
        <f>SUM(I11:I23)</f>
        <v>0</v>
      </c>
      <c r="J24" s="748"/>
      <c r="K24" s="751">
        <f>SUM(K11:K23)</f>
        <v>0</v>
      </c>
      <c r="L24" s="748"/>
      <c r="M24" s="751">
        <f>SUM(M11:M23)</f>
        <v>0</v>
      </c>
      <c r="N24" s="170"/>
    </row>
    <row r="25" spans="1:14" ht="16.5" thickTop="1" x14ac:dyDescent="0.25">
      <c r="A25" s="43"/>
      <c r="B25" s="749"/>
      <c r="C25" s="748"/>
      <c r="D25" s="748"/>
      <c r="E25" s="748"/>
      <c r="F25" s="748"/>
      <c r="G25" s="748"/>
      <c r="H25" s="748"/>
      <c r="I25" s="748"/>
      <c r="J25" s="748"/>
      <c r="K25" s="748"/>
      <c r="L25" s="748"/>
      <c r="M25" s="748"/>
      <c r="N25" s="170"/>
    </row>
    <row r="26" spans="1:14" x14ac:dyDescent="0.25">
      <c r="A26" s="43"/>
      <c r="B26" s="749"/>
      <c r="C26" s="748"/>
      <c r="D26" s="748"/>
      <c r="E26" s="748"/>
      <c r="F26" s="748"/>
      <c r="G26" s="748"/>
      <c r="H26" s="748"/>
      <c r="I26" s="748"/>
      <c r="J26" s="748"/>
      <c r="K26" s="748"/>
      <c r="L26" s="748"/>
      <c r="M26" s="748"/>
      <c r="N26" s="170"/>
    </row>
    <row r="27" spans="1:14" x14ac:dyDescent="0.25">
      <c r="A27" s="43"/>
      <c r="B27" s="749"/>
      <c r="C27" s="748"/>
      <c r="D27" s="748"/>
      <c r="E27" s="748"/>
      <c r="F27" s="748"/>
      <c r="G27" s="748"/>
      <c r="H27" s="748"/>
      <c r="I27" s="748"/>
      <c r="J27" s="748"/>
      <c r="K27" s="748"/>
      <c r="L27" s="748"/>
      <c r="M27" s="748"/>
      <c r="N27" s="170"/>
    </row>
    <row r="28" spans="1:14" x14ac:dyDescent="0.25">
      <c r="A28" s="43"/>
      <c r="B28" s="741"/>
      <c r="C28" s="741"/>
      <c r="D28" s="741"/>
      <c r="E28" s="741"/>
      <c r="F28" s="741"/>
      <c r="G28" s="741"/>
      <c r="H28" s="741"/>
      <c r="I28" s="741"/>
      <c r="J28" s="741"/>
      <c r="K28" s="741"/>
      <c r="L28" s="741"/>
      <c r="M28" s="741"/>
      <c r="N28" s="43"/>
    </row>
    <row r="29" spans="1:14" x14ac:dyDescent="0.25">
      <c r="A29" s="43"/>
      <c r="B29" s="43"/>
      <c r="C29" s="43"/>
      <c r="D29" s="741"/>
      <c r="E29" s="741"/>
      <c r="F29" s="741"/>
      <c r="G29" s="741"/>
      <c r="H29" s="741"/>
      <c r="I29" s="741"/>
      <c r="J29" s="741"/>
      <c r="K29" s="741"/>
      <c r="L29" s="741"/>
      <c r="M29" s="741"/>
      <c r="N29" s="43"/>
    </row>
    <row r="30" spans="1:14" x14ac:dyDescent="0.25">
      <c r="A30" s="43"/>
      <c r="B30" s="43"/>
      <c r="C30" s="43"/>
      <c r="D30" s="43"/>
      <c r="E30" s="43"/>
      <c r="F30" s="43"/>
      <c r="G30" s="43"/>
      <c r="H30" s="43"/>
      <c r="I30" s="43"/>
      <c r="J30" s="43"/>
      <c r="K30" s="43"/>
      <c r="L30" s="43"/>
      <c r="M30" s="43"/>
      <c r="N30" s="43"/>
    </row>
    <row r="34" spans="2:5" x14ac:dyDescent="0.25">
      <c r="B34" s="191"/>
      <c r="C34" s="191"/>
      <c r="D34" s="191"/>
      <c r="E34" s="191"/>
    </row>
  </sheetData>
  <sheetProtection sheet="1"/>
  <mergeCells count="4">
    <mergeCell ref="B7:N7"/>
    <mergeCell ref="C9:C10"/>
    <mergeCell ref="A6:N6"/>
    <mergeCell ref="D9:M9"/>
  </mergeCells>
  <phoneticPr fontId="0" type="noConversion"/>
  <pageMargins left="0.4" right="0.67" top="0.83" bottom="0.85" header="0.3" footer="0.6"/>
  <pageSetup scale="50" orientation="landscape" blackAndWhite="1" horizontalDpi="300"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0B0F0"/>
    <pageSetUpPr fitToPage="1"/>
  </sheetPr>
  <dimension ref="A1:F32"/>
  <sheetViews>
    <sheetView workbookViewId="0">
      <selection activeCell="E35" sqref="E35"/>
    </sheetView>
  </sheetViews>
  <sheetFormatPr defaultColWidth="8.796875" defaultRowHeight="15.75" x14ac:dyDescent="0.25"/>
  <cols>
    <col min="1" max="2" width="16" style="129" customWidth="1"/>
    <col min="3" max="6" width="11.5" style="129" customWidth="1"/>
    <col min="7" max="16384" width="8.796875" style="129"/>
  </cols>
  <sheetData>
    <row r="1" spans="1:6" x14ac:dyDescent="0.25">
      <c r="A1" s="182"/>
      <c r="B1" s="43"/>
      <c r="C1" s="43"/>
      <c r="D1" s="43"/>
      <c r="E1" s="170"/>
      <c r="F1" s="43">
        <f>inputPrYr!D10</f>
        <v>2020</v>
      </c>
    </row>
    <row r="2" spans="1:6" x14ac:dyDescent="0.25">
      <c r="A2" s="97" t="str">
        <f>inputPrYr!D4</f>
        <v>Scott Township</v>
      </c>
      <c r="B2" s="97"/>
      <c r="C2" s="43"/>
      <c r="D2" s="43"/>
      <c r="E2" s="170"/>
      <c r="F2" s="43"/>
    </row>
    <row r="3" spans="1:6" x14ac:dyDescent="0.25">
      <c r="A3" s="182"/>
      <c r="B3" s="97"/>
      <c r="C3" s="43"/>
      <c r="D3" s="43"/>
      <c r="E3" s="170"/>
      <c r="F3" s="43"/>
    </row>
    <row r="4" spans="1:6" x14ac:dyDescent="0.25">
      <c r="A4" s="182"/>
      <c r="B4" s="43"/>
      <c r="C4" s="43"/>
      <c r="D4" s="43"/>
      <c r="E4" s="170"/>
      <c r="F4" s="43"/>
    </row>
    <row r="5" spans="1:6" ht="15" customHeight="1" x14ac:dyDescent="0.25">
      <c r="A5" s="868" t="s">
        <v>87</v>
      </c>
      <c r="B5" s="868"/>
      <c r="C5" s="868"/>
      <c r="D5" s="868"/>
      <c r="E5" s="868"/>
      <c r="F5" s="868"/>
    </row>
    <row r="6" spans="1:6" ht="14.25" customHeight="1" x14ac:dyDescent="0.25">
      <c r="A6" s="42"/>
      <c r="B6" s="192"/>
      <c r="C6" s="192"/>
      <c r="D6" s="192"/>
      <c r="E6" s="192"/>
      <c r="F6" s="192"/>
    </row>
    <row r="7" spans="1:6" ht="15" customHeight="1" x14ac:dyDescent="0.25">
      <c r="A7" s="193" t="s">
        <v>207</v>
      </c>
      <c r="B7" s="193" t="s">
        <v>540</v>
      </c>
      <c r="C7" s="194" t="s">
        <v>246</v>
      </c>
      <c r="D7" s="194" t="s">
        <v>88</v>
      </c>
      <c r="E7" s="193" t="s">
        <v>89</v>
      </c>
      <c r="F7" s="193" t="s">
        <v>90</v>
      </c>
    </row>
    <row r="8" spans="1:6" ht="15" customHeight="1" x14ac:dyDescent="0.25">
      <c r="A8" s="195" t="s">
        <v>541</v>
      </c>
      <c r="B8" s="195" t="s">
        <v>542</v>
      </c>
      <c r="C8" s="196" t="s">
        <v>91</v>
      </c>
      <c r="D8" s="196" t="s">
        <v>91</v>
      </c>
      <c r="E8" s="196" t="s">
        <v>91</v>
      </c>
      <c r="F8" s="196" t="s">
        <v>92</v>
      </c>
    </row>
    <row r="9" spans="1:6" s="199" customFormat="1" ht="15" customHeight="1" thickBot="1" x14ac:dyDescent="0.3">
      <c r="A9" s="197" t="s">
        <v>93</v>
      </c>
      <c r="B9" s="198" t="s">
        <v>94</v>
      </c>
      <c r="C9" s="198">
        <f>F1-2</f>
        <v>2018</v>
      </c>
      <c r="D9" s="198">
        <f>F1-1</f>
        <v>2019</v>
      </c>
      <c r="E9" s="198">
        <f>F1</f>
        <v>2020</v>
      </c>
      <c r="F9" s="198" t="s">
        <v>194</v>
      </c>
    </row>
    <row r="10" spans="1:6" ht="15" customHeight="1" thickTop="1" x14ac:dyDescent="0.25">
      <c r="A10" s="200"/>
      <c r="B10" s="200"/>
      <c r="C10" s="201"/>
      <c r="D10" s="201"/>
      <c r="E10" s="201"/>
      <c r="F10" s="200"/>
    </row>
    <row r="11" spans="1:6" ht="15" customHeight="1" x14ac:dyDescent="0.25">
      <c r="A11" s="166" t="s">
        <v>156</v>
      </c>
      <c r="B11" s="166" t="s">
        <v>211</v>
      </c>
      <c r="C11" s="202">
        <f>gen!$C$44</f>
        <v>0</v>
      </c>
      <c r="D11" s="202">
        <f>gen!$D$44</f>
        <v>0</v>
      </c>
      <c r="E11" s="202">
        <f>gen!$E$44</f>
        <v>0</v>
      </c>
      <c r="F11" s="166" t="str">
        <f>IF(C11+D11+E11&gt;0,"80-1406b","")</f>
        <v/>
      </c>
    </row>
    <row r="12" spans="1:6" ht="15" customHeight="1" x14ac:dyDescent="0.25">
      <c r="A12" s="166" t="s">
        <v>156</v>
      </c>
      <c r="B12" s="166" t="s">
        <v>211</v>
      </c>
      <c r="C12" s="202">
        <f>gen!$C$46</f>
        <v>0</v>
      </c>
      <c r="D12" s="202">
        <f>gen!$D$46</f>
        <v>0</v>
      </c>
      <c r="E12" s="202">
        <f>gen!$E$46</f>
        <v>0</v>
      </c>
      <c r="F12" s="166" t="str">
        <f>IF(C12+D12+E12&gt;0,"80-122","")</f>
        <v/>
      </c>
    </row>
    <row r="13" spans="1:6" ht="15" customHeight="1" x14ac:dyDescent="0.25">
      <c r="A13" s="166" t="s">
        <v>198</v>
      </c>
      <c r="B13" s="166" t="s">
        <v>211</v>
      </c>
      <c r="C13" s="202">
        <f>road!$C$39</f>
        <v>0</v>
      </c>
      <c r="D13" s="202">
        <f>road!$D$39</f>
        <v>0</v>
      </c>
      <c r="E13" s="202">
        <f>road!$E$39</f>
        <v>0</v>
      </c>
      <c r="F13" s="166" t="str">
        <f>IF(C13+D13+E13&gt;0,"68-141g","")</f>
        <v/>
      </c>
    </row>
    <row r="14" spans="1:6" ht="15" customHeight="1" x14ac:dyDescent="0.25">
      <c r="A14" s="146"/>
      <c r="B14" s="146"/>
      <c r="C14" s="203"/>
      <c r="D14" s="203"/>
      <c r="E14" s="203"/>
      <c r="F14" s="146"/>
    </row>
    <row r="15" spans="1:6" ht="15" customHeight="1" x14ac:dyDescent="0.25">
      <c r="A15" s="146"/>
      <c r="B15" s="146"/>
      <c r="C15" s="203"/>
      <c r="D15" s="203"/>
      <c r="E15" s="203"/>
      <c r="F15" s="146"/>
    </row>
    <row r="16" spans="1:6" ht="15" customHeight="1" x14ac:dyDescent="0.25">
      <c r="A16" s="146"/>
      <c r="B16" s="146"/>
      <c r="C16" s="203"/>
      <c r="D16" s="203"/>
      <c r="E16" s="203"/>
      <c r="F16" s="146"/>
    </row>
    <row r="17" spans="1:6" ht="15" customHeight="1" x14ac:dyDescent="0.25">
      <c r="A17" s="146"/>
      <c r="B17" s="146"/>
      <c r="C17" s="203"/>
      <c r="D17" s="203"/>
      <c r="E17" s="203"/>
      <c r="F17" s="146"/>
    </row>
    <row r="18" spans="1:6" ht="15" customHeight="1" x14ac:dyDescent="0.25">
      <c r="A18" s="146"/>
      <c r="B18" s="146"/>
      <c r="C18" s="203"/>
      <c r="D18" s="203"/>
      <c r="E18" s="203"/>
      <c r="F18" s="146"/>
    </row>
    <row r="19" spans="1:6" ht="15" customHeight="1" x14ac:dyDescent="0.25">
      <c r="A19" s="146"/>
      <c r="B19" s="204"/>
      <c r="C19" s="203"/>
      <c r="D19" s="203"/>
      <c r="E19" s="203"/>
      <c r="F19" s="146"/>
    </row>
    <row r="20" spans="1:6" ht="15" customHeight="1" x14ac:dyDescent="0.25">
      <c r="A20" s="146"/>
      <c r="B20" s="146"/>
      <c r="C20" s="203"/>
      <c r="D20" s="203"/>
      <c r="E20" s="203"/>
      <c r="F20" s="146"/>
    </row>
    <row r="21" spans="1:6" ht="15" customHeight="1" x14ac:dyDescent="0.25">
      <c r="A21" s="146"/>
      <c r="B21" s="146"/>
      <c r="C21" s="203"/>
      <c r="D21" s="203"/>
      <c r="E21" s="203"/>
      <c r="F21" s="146"/>
    </row>
    <row r="22" spans="1:6" ht="15" customHeight="1" x14ac:dyDescent="0.25">
      <c r="A22" s="146"/>
      <c r="B22" s="146"/>
      <c r="C22" s="203"/>
      <c r="D22" s="203"/>
      <c r="E22" s="203"/>
      <c r="F22" s="146"/>
    </row>
    <row r="23" spans="1:6" ht="15" customHeight="1" x14ac:dyDescent="0.25">
      <c r="A23" s="146"/>
      <c r="B23" s="146"/>
      <c r="C23" s="203"/>
      <c r="D23" s="203"/>
      <c r="E23" s="203"/>
      <c r="F23" s="146"/>
    </row>
    <row r="24" spans="1:6" ht="15" customHeight="1" x14ac:dyDescent="0.25">
      <c r="A24" s="146"/>
      <c r="B24" s="146"/>
      <c r="C24" s="203"/>
      <c r="D24" s="203"/>
      <c r="E24" s="203"/>
      <c r="F24" s="146"/>
    </row>
    <row r="25" spans="1:6" ht="15" customHeight="1" x14ac:dyDescent="0.25">
      <c r="A25" s="146"/>
      <c r="B25" s="146"/>
      <c r="C25" s="203"/>
      <c r="D25" s="203"/>
      <c r="E25" s="203"/>
      <c r="F25" s="146"/>
    </row>
    <row r="26" spans="1:6" ht="15" customHeight="1" x14ac:dyDescent="0.25">
      <c r="A26" s="146"/>
      <c r="B26" s="146"/>
      <c r="C26" s="203"/>
      <c r="D26" s="203"/>
      <c r="E26" s="203"/>
      <c r="F26" s="146"/>
    </row>
    <row r="27" spans="1:6" x14ac:dyDescent="0.25">
      <c r="A27" s="152"/>
      <c r="B27" s="66" t="s">
        <v>199</v>
      </c>
      <c r="C27" s="205">
        <f>SUM(C10:C26)</f>
        <v>0</v>
      </c>
      <c r="D27" s="205">
        <f>SUM(D10:D26)</f>
        <v>0</v>
      </c>
      <c r="E27" s="205">
        <f>SUM(E10:E26)</f>
        <v>0</v>
      </c>
      <c r="F27" s="152"/>
    </row>
    <row r="28" spans="1:6" x14ac:dyDescent="0.25">
      <c r="A28" s="152"/>
      <c r="B28" s="66" t="s">
        <v>539</v>
      </c>
      <c r="C28" s="43"/>
      <c r="D28" s="146"/>
      <c r="E28" s="146"/>
      <c r="F28" s="152"/>
    </row>
    <row r="29" spans="1:6" x14ac:dyDescent="0.25">
      <c r="A29" s="152"/>
      <c r="B29" s="66" t="s">
        <v>95</v>
      </c>
      <c r="C29" s="148">
        <f>C27</f>
        <v>0</v>
      </c>
      <c r="D29" s="148">
        <f>SUM(D27-D28)</f>
        <v>0</v>
      </c>
      <c r="E29" s="148">
        <f>SUM(E27-E28)</f>
        <v>0</v>
      </c>
      <c r="F29" s="152"/>
    </row>
    <row r="30" spans="1:6" x14ac:dyDescent="0.25">
      <c r="A30" s="152"/>
      <c r="B30" s="43"/>
      <c r="C30" s="43"/>
      <c r="D30" s="43"/>
      <c r="E30" s="43"/>
      <c r="F30" s="152"/>
    </row>
    <row r="31" spans="1:6" x14ac:dyDescent="0.25">
      <c r="A31" s="152"/>
      <c r="B31" s="43"/>
      <c r="C31" s="43"/>
      <c r="D31" s="43"/>
      <c r="E31" s="43"/>
      <c r="F31" s="152"/>
    </row>
    <row r="32" spans="1:6" x14ac:dyDescent="0.25">
      <c r="A32" s="319" t="s">
        <v>543</v>
      </c>
      <c r="B32" s="320" t="str">
        <f>CONCATENATE("Adjustments are required only if the transfer is being made in ",D9," and/or ",E9," from a non-budgeted fund.")</f>
        <v>Adjustments are required only if the transfer is being made in 2019 and/or 2020 from a non-budgeted fund.</v>
      </c>
      <c r="C32" s="43"/>
      <c r="D32" s="43"/>
      <c r="E32" s="43"/>
      <c r="F32" s="152"/>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11</vt:i4>
      </vt:variant>
    </vt:vector>
  </HeadingPairs>
  <TitlesOfParts>
    <vt:vector size="48" baseType="lpstr">
      <vt:lpstr>instructions</vt:lpstr>
      <vt:lpstr>inputPrYr</vt:lpstr>
      <vt:lpstr>inputOth</vt:lpstr>
      <vt:lpstr>inputBudSum</vt:lpstr>
      <vt:lpstr>CPA Summary</vt:lpstr>
      <vt:lpstr>cert</vt:lpstr>
      <vt:lpstr>computation</vt:lpstr>
      <vt:lpstr>mvalloc</vt:lpstr>
      <vt:lpstr>transfer</vt:lpstr>
      <vt:lpstr>TransferStatutes</vt:lpstr>
      <vt:lpstr>debt</vt:lpstr>
      <vt:lpstr>Library Grant</vt:lpstr>
      <vt:lpstr>gen</vt:lpstr>
      <vt:lpstr>DebtSvs-Library</vt:lpstr>
      <vt:lpstr>road</vt:lpstr>
      <vt:lpstr>SpecRoad&amp;Noxious</vt:lpstr>
      <vt:lpstr>levypage10</vt:lpstr>
      <vt:lpstr>levypage11</vt:lpstr>
      <vt:lpstr>levypage12</vt:lpstr>
      <vt:lpstr>nolevypage13</vt:lpstr>
      <vt:lpstr>nolevypage14</vt:lpstr>
      <vt:lpstr>nonbud</vt:lpstr>
      <vt:lpstr>NonBudFunds</vt:lpstr>
      <vt:lpstr>summ</vt:lpstr>
      <vt:lpstr>SignCert</vt:lpstr>
      <vt:lpstr>ProofPub</vt:lpstr>
      <vt:lpstr>nhood</vt:lpstr>
      <vt:lpstr>Notice of Vote</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levypage12!Print_Area</vt:lpstr>
      <vt:lpstr>'Library Grant'!Print_Area</vt:lpstr>
      <vt:lpstr>Resolution!Print_Area</vt:lpstr>
      <vt:lpstr>road!Print_Area</vt:lpstr>
      <vt:lpstr>'SpecRoad&amp;Noxious'!Print_Area</vt:lpstr>
      <vt:lpstr>summ!Print_Area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Stacy Jaramillo</cp:lastModifiedBy>
  <cp:lastPrinted>2019-08-07T23:33:06Z</cp:lastPrinted>
  <dcterms:created xsi:type="dcterms:W3CDTF">1998-08-26T16:30:41Z</dcterms:created>
  <dcterms:modified xsi:type="dcterms:W3CDTF">2020-01-06T16:31:55Z</dcterms:modified>
</cp:coreProperties>
</file>