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5"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fire-firemansreliefpage6" sheetId="17" r:id="rId17"/>
    <sheet name="nonbudpage7"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<sst xmlns="http://schemas.openxmlformats.org/spreadsheetml/2006/main" count="1382" uniqueCount="825">
  <si>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</si>
  <si>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</si>
  <si>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</si>
  <si>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</si>
  <si>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</si>
  <si>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</si>
  <si>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</si>
  <si>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</si>
  <si>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</si>
  <si>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</si>
  <si>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</si>
  <si>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</si>
  <si>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</si>
  <si>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</si>
  <si>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</si>
  <si>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</si>
  <si>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</si>
  <si>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</si>
  <si>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</si>
  <si>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</si>
  <si>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</si>
  <si>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</si>
  <si>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</si>
  <si>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</si>
  <si>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</si>
  <si>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</si>
  <si>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</si>
  <si>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</si>
  <si>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</si>
  <si>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</si>
  <si>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</si>
  <si>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</si>
  <si>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</si>
  <si>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</si>
  <si>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</si>
  <si>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</si>
  <si>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</si>
  <si>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</si>
  <si>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</si>
  <si>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</si>
  <si>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</si>
  <si>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</si>
  <si>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</si>
  <si>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</si>
  <si>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</si>
  <si>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</si>
  <si>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</si>
  <si>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</si>
  <si>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</si>
  <si>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</si>
  <si>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</si>
  <si>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</si>
  <si>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</si>
  <si>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</si>
  <si>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</si>
  <si>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</si>
  <si>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</si>
  <si>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</si>
  <si>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</si>
  <si>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</si>
  <si>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</si>
  <si>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</si>
  <si>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</si>
  <si>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</si>
  <si>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</si>
  <si>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</si>
  <si>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</si>
  <si>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</si>
  <si>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</si>
  <si>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</si>
  <si>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</si>
  <si>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</si>
  <si>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</si>
  <si>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</si>
  <si>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</si>
  <si>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</si>
  <si>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</si>
  <si>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</si>
  <si>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</si>
  <si>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</si>
  <si>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</si>
  <si>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</si>
  <si>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</si>
  <si>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</si>
  <si>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</si>
  <si>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</si>
  <si>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</si>
  <si>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</si>
  <si>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</si>
  <si>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</si>
  <si>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</si>
  <si>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</si>
  <si>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</si>
  <si>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</si>
  <si>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</si>
  <si>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</si>
  <si>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</si>
  <si>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</si>
  <si>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</si>
  <si>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</si>
  <si>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</si>
  <si>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</si>
  <si>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</si>
  <si>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</si>
  <si>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</si>
  <si>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</si>
  <si>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</si>
  <si>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</si>
  <si>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</si>
  <si>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</si>
  <si>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</si>
  <si>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</si>
  <si>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</si>
  <si>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</si>
  <si>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</si>
  <si>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</si>
  <si>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</si>
  <si>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</si>
  <si>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</si>
  <si>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</si>
  <si>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</si>
  <si>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</si>
  <si>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</si>
  <si>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</si>
  <si>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</si>
  <si>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</si>
  <si>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</si>
  <si>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</si>
  <si>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</si>
  <si>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</si>
  <si>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</si>
  <si>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</si>
  <si>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</si>
  <si>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</si>
  <si>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</si>
  <si>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</si>
  <si>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</si>
  <si>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</si>
  <si>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</si>
  <si>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</si>
  <si>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</si>
  <si>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</si>
  <si>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</si>
  <si>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</si>
  <si>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</si>
  <si>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</si>
  <si>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</si>
  <si>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</si>
  <si>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</si>
  <si>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</si>
  <si>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</si>
  <si>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</si>
  <si>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</si>
  <si>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</si>
  <si>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</si>
  <si>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</si>
  <si>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</si>
  <si>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</si>
  <si>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</si>
  <si>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</si>
  <si>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</si>
  <si>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</si>
  <si>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</si>
  <si>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</si>
  <si>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</si>
  <si>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</si>
  <si>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</si>
  <si>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</si>
  <si>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</si>
  <si>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</si>
  <si>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</si>
  <si>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</si>
  <si>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</si>
  <si>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</si>
  <si>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</si>
  <si>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</si>
  <si>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</si>
  <si>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</si>
  <si>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</si>
  <si>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</si>
  <si>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</si>
  <si>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</si>
  <si>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</si>
  <si>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</si>
  <si>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</si>
  <si>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</si>
  <si>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</si>
  <si>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</si>
  <si>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</si>
  <si>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</si>
  <si>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</si>
  <si>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</si>
  <si>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</si>
  <si>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</si>
  <si>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</si>
  <si>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</si>
  <si>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</si>
  <si>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</si>
  <si>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</si>
  <si>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</si>
  <si>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</si>
  <si>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</si>
  <si>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</si>
  <si>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</si>
  <si>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</si>
  <si>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</si>
  <si>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</si>
  <si>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</si>
  <si>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</si>
  <si>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</si>
  <si>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</si>
  <si>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</si>
  <si>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</si>
  <si>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</si>
  <si>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</si>
  <si>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</si>
  <si>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</si>
  <si>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</si>
  <si>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</si>
  <si>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</si>
  <si>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</si>
  <si>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</si>
  <si>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</si>
  <si>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</si>
  <si>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</si>
  <si>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</si>
  <si>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</si>
  <si>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</si>
  <si>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</si>
  <si>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</si>
  <si>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</si>
  <si>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</si>
  <si>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</si>
  <si>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</si>
  <si>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</si>
  <si>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</si>
  <si>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</si>
  <si>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</si>
  <si>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</si>
  <si>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</si>
  <si>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</si>
  <si>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</si>
  <si>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</si>
  <si>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</si>
  <si>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</si>
  <si>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</si>
  <si>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</si>
  <si>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</si>
  <si>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</si>
  <si>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</si>
  <si>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</si>
  <si>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</si>
  <si>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</si>
  <si>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</si>
  <si>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</si>
  <si>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</si>
  <si>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</si>
  <si>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</si>
  <si>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</si>
  <si>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</si>
  <si>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</si>
  <si>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</si>
  <si>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</si>
  <si>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</si>
  <si>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</si>
  <si>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</si>
  <si>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</si>
  <si>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</si>
  <si>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</si>
  <si>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</si>
  <si>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</si>
  <si>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</si>
  <si>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</si>
  <si>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</si>
  <si>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</si>
  <si>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</si>
  <si>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</si>
  <si>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</si>
  <si>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</si>
  <si>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</si>
  <si>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</si>
  <si>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</si>
  <si>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</si>
  <si>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</si>
  <si>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</si>
  <si>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</si>
  <si>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</si>
  <si>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</si>
  <si>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</si>
  <si>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</si>
  <si>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</si>
  <si>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</si>
  <si>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</si>
  <si>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</si>
  <si>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</si>
  <si>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</si>
  <si>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</si>
  <si>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</si>
  <si>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</si>
  <si>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</si>
  <si>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</si>
  <si>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</si>
  <si>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</si>
  <si>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</si>
  <si>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</si>
  <si>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</si>
  <si>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</si>
  <si>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</si>
  <si>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</si>
  <si>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</si>
  <si>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</si>
  <si>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</si>
  <si>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</si>
  <si>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</si>
  <si>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</si>
  <si>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</si>
  <si>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</si>
  <si>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</si>
  <si>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</si>
  <si>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</si>
  <si>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</si>
  <si>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</si>
  <si>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</si>
  <si>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</si>
  <si>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</si>
  <si>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</si>
  <si>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</si>
  <si>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</si>
  <si>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</si>
  <si>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</si>
  <si>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</si>
  <si>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</si>
  <si>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</si>
  <si>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</si>
  <si>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</si>
  <si>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</si>
  <si>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</si>
  <si>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</si>
  <si>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</si>
  <si>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</si>
  <si>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</si>
  <si>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</si>
  <si>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</si>
  <si>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</si>
  <si>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</si>
  <si>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</si>
  <si>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</si>
  <si>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</si>
  <si>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</si>
  <si>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</si>
  <si>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</si>
  <si>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</si>
  <si>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</si>
  <si>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</si>
  <si>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</si>
  <si>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</si>
  <si>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</si>
  <si>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</si>
  <si>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</si>
  <si>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</si>
  <si>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</si>
  <si>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</si>
  <si>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</si>
  <si>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</si>
  <si>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</si>
  <si>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</si>
  <si>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</si>
  <si>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</si>
  <si>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</si>
  <si>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</si>
  <si>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</si>
  <si>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</si>
  <si>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</si>
  <si>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</si>
  <si>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</si>
  <si>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</si>
  <si>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</si>
  <si>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</si>
  <si>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</si>
  <si>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</si>
  <si>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</si>
  <si>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</si>
  <si>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</si>
  <si>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</si>
  <si>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</si>
  <si>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</si>
  <si>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</si>
  <si>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</si>
  <si>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</si>
  <si>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</si>
  <si>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</si>
  <si>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</si>
  <si>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</si>
  <si>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</si>
  <si>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</si>
  <si>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</si>
  <si>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</si>
  <si>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</si>
  <si>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</si>
  <si>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</si>
  <si>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</si>
  <si>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</si>
  <si>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</si>
  <si>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</si>
  <si>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</si>
  <si>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</si>
  <si>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</si>
  <si>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</si>
  <si>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</si>
  <si>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</si>
  <si>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</si>
  <si>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</si>
  <si>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</si>
  <si>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</si>
  <si>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</si>
  <si>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</si>
  <si>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</si>
  <si>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</si>
  <si>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</si>
  <si>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</si>
  <si>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</si>
  <si>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</si>
  <si>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</si>
  <si>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</si>
  <si>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</si>
  <si>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</si>
  <si>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</si>
  <si>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</si>
  <si>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</si>
  <si>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</si>
  <si>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</si>
  <si>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</si>
  <si>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</si>
  <si>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</si>
  <si>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</si>
  <si>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</si>
  <si>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</si>
  <si>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</si>
  <si>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</si>
  <si>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</si>
  <si>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</si>
  <si>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</si>
  <si>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</si>
  <si>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</si>
  <si>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</si>
  <si>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</si>
  <si>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</si>
  <si>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</si>
  <si>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</si>
  <si>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</si>
  <si>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</si>
  <si>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</si>
  <si>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</si>
  <si>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</si>
  <si>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</si>
  <si>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</si>
  <si>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</si>
  <si>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</si>
  <si>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</si>
  <si>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</si>
  <si>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</si>
  <si>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</si>
  <si>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</si>
  <si>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</si>
  <si>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</si>
  <si>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</si>
  <si>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</si>
  <si>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</si>
  <si>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</si>
  <si>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</si>
  <si>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</si>
  <si>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</si>
  <si>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</si>
  <si>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</si>
  <si>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</si>
  <si>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</si>
  <si>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</si>
  <si>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</si>
  <si>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</si>
  <si>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</si>
  <si>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</si>
  <si>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</si>
  <si>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</si>
  <si>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</si>
  <si>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</si>
  <si>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</si>
  <si>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</si>
  <si>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</si>
  <si>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</si>
  <si>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</si>
  <si>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</si>
  <si>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</si>
  <si>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</si>
  <si>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</si>
  <si>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</si>
  <si>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</si>
  <si>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</si>
  <si>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</si>
  <si>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</si>
  <si>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</si>
  <si>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</si>
  <si>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</si>
  <si>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</si>
  <si>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</si>
  <si>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</si>
  <si>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</si>
  <si>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</si>
  <si>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</si>
  <si>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</si>
  <si>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</si>
  <si>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</si>
  <si>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</si>
  <si>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</si>
  <si>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</si>
  <si>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</si>
  <si>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</si>
  <si>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</si>
  <si>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</si>
  <si>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</si>
  <si>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</si>
  <si>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</si>
  <si>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</si>
  <si>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</si>
  <si>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</si>
  <si>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</si>
  <si>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</si>
  <si>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</si>
  <si>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</si>
  <si>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</si>
  <si>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</si>
  <si>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</si>
  <si>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</si>
  <si>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</si>
  <si>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</si>
  <si>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</si>
  <si>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</si>
  <si>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</si>
  <si>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</si>
  <si>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</si>
  <si>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</si>
  <si>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</si>
  <si>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</si>
  <si>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</si>
  <si>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</si>
  <si>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</si>
  <si>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</si>
  <si>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</si>
  <si>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</si>
  <si>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</si>
  <si>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</si>
  <si>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</si>
  <si>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</si>
  <si>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</si>
  <si>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</si>
  <si>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</si>
  <si>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</si>
  <si>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</si>
  <si>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</si>
  <si>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</si>
  <si>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</si>
  <si>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</si>
  <si>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</si>
  <si>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</si>
  <si>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</si>
  <si>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</si>
  <si>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</si>
  <si>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</si>
  <si>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</si>
  <si>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</si>
  <si>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</si>
  <si>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</si>
  <si>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</si>
  <si>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</si>
  <si>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</si>
  <si>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</si>
  <si>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</si>
  <si>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</si>
  <si>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</si>
  <si>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</si>
  <si>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</si>
  <si>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</si>
  <si>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</si>
  <si>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</si>
  <si>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</si>
  <si>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</si>
  <si>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</si>
  <si>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</si>
  <si>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</si>
  <si>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</si>
  <si>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</si>
  <si>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</si>
  <si>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</si>
  <si>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</si>
  <si>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</si>
  <si>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</si>
  <si>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</si>
  <si>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</si>
  <si>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</si>
  <si>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</si>
  <si>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</si>
  <si>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</si>
  <si>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</si>
  <si>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</si>
  <si>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</si>
  <si>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</si>
  <si>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</si>
  <si>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</si>
  <si>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</si>
  <si>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</si>
  <si>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</si>
  <si>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</si>
  <si>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</si>
  <si>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</si>
  <si>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</si>
  <si>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</si>
  <si>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</si>
  <si>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</si>
  <si>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</si>
  <si>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</si>
  <si>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</si>
  <si>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</si>
  <si>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</si>
  <si>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</si>
  <si>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</si>
  <si>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</si>
  <si>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</si>
  <si>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</si>
  <si>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</si>
  <si>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</si>
  <si>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</si>
  <si>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</si>
  <si>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</si>
  <si>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</si>
  <si>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</si>
  <si>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</si>
  <si>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</si>
  <si>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</si>
  <si>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</si>
  <si>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</si>
  <si>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</si>
  <si>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</si>
  <si>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</si>
  <si>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</si>
  <si>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</si>
  <si>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</si>
  <si>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</si>
  <si>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</si>
  <si>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</si>
  <si>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</si>
  <si>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</si>
  <si>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</si>
  <si>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</si>
  <si>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</si>
  <si>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</si>
  <si>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</si>
  <si>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</si>
  <si>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</si>
  <si>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</si>
  <si>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</si>
  <si>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</si>
  <si>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</si>
  <si>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</si>
  <si>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</si>
  <si>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</si>
  <si>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</si>
  <si>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</si>
  <si>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</si>
  <si>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</si>
  <si>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</si>
  <si>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</si>
  <si>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</si>
  <si>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</si>
  <si>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</si>
  <si>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</si>
  <si>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</si>
  <si>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</si>
  <si>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</si>
  <si>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</si>
  <si>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</si>
  <si>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</si>
  <si>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</si>
  <si>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</si>
  <si>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</si>
  <si>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</si>
  <si>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</si>
  <si>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</si>
  <si>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</si>
  <si>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</si>
  <si>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</si>
  <si>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</si>
  <si>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</si>
  <si>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</si>
  <si>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</si>
  <si>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</si>
  <si>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</si>
  <si>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</si>
  <si>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</si>
  <si>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</si>
  <si>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</si>
  <si>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</si>
  <si>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</si>
  <si>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</si>
  <si>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</si>
  <si>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</si>
  <si>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</si>
  <si>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</si>
  <si>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</si>
  <si>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</si>
  <si>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</si>
  <si>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</si>
  <si>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</si>
  <si>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</si>
  <si>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</si>
  <si>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</si>
  <si>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</si>
  <si>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</si>
  <si>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</si>
  <si>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</si>
  <si>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</si>
  <si>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</si>
  <si>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</si>
  <si>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</si>
  <si>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</si>
  <si>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</si>
  <si>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</si>
  <si>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</si>
  <si>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</si>
  <si>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</si>
  <si>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</si>
  <si>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</si>
  <si>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</si>
  <si>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</si>
  <si>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</si>
  <si>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</si>
  <si>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</si>
  <si>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</si>
  <si>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</si>
  <si>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</si>
  <si>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</si>
  <si>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</si>
  <si>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</si>
  <si>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</si>
  <si>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</si>
  <si>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</si>
  <si>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</si>
  <si>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</si>
  <si>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</si>
  <si>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</si>
  <si>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</si>
  <si>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</si>
  <si>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</si>
  <si>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</si>
  <si>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</si>
  <si>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</si>
  <si>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</si>
  <si>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</si>
  <si>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</si>
  <si>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</si>
  <si>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</si>
  <si>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</si>
  <si>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</si>
  <si>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</si>
  <si>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</si>
  <si>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</si>
  <si>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</si>
  <si>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</si>
  <si>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</si>
  <si>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</si>
  <si>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</si>
  <si>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</si>
  <si>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</si>
  <si>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</si>
  <si>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</si>
  <si>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</si>
  <si>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</si>
  <si>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</si>
  <si>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</si>
  <si>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</si>
  <si>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</si>
  <si>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</si>
  <si>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</si>
  <si>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</si>
  <si>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</si>
  <si>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</si>
  <si>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</si>
  <si>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</si>
  <si>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</si>
  <si>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</si>
  <si>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</si>
  <si>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</si>
  <si>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</si>
  <si>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</si>
  <si>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</si>
  <si>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</si>
  <si>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</si>
  <si>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</si>
  <si>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</si>
  <si>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</si>
  <si>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</si>
  <si>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</si>
  <si>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</si>
  <si>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</si>
  <si>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</si>
  <si>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</si>
  <si>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</si>
  <si>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</si>
  <si>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</si>
  <si>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</si>
  <si>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</si>
  <si>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</si>
  <si>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</si>
  <si>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</si>
  <si>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SUMNER COUNTY</t>
  </si>
  <si>
    <t>VALVERDE TOWNSHIP</t>
  </si>
  <si>
    <t>Fire</t>
  </si>
  <si>
    <t>Firemens Relief</t>
  </si>
  <si>
    <t>State of Kansas</t>
  </si>
  <si>
    <t>Valverde Township</t>
  </si>
  <si>
    <t>Eck Agency</t>
  </si>
  <si>
    <t>FEMA</t>
  </si>
  <si>
    <t>Smith Co.Supplies</t>
  </si>
  <si>
    <t>RESOLUTION NO._______1___________</t>
  </si>
  <si>
    <t>August 27, 2013</t>
  </si>
  <si>
    <t>7:00 P.M.</t>
  </si>
  <si>
    <t>Slate Valley Baptist Church, 801 S. Oxford Rd.</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</si>
</sst>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3" fillId="42" borderId="0" xfId="0" applyFont="1" applyFill="1" applyAlignment="1">
      <alignment horizontal="center" wrapText="1"/>
    </xf>
    <xf numFmtId="0" fontId="37" fillId="0" borderId="0" xfId="0" applyFont="1" applyAlignment="1">
      <alignment horizontal="center" wrapText="1"/>
    </xf>
    <xf numFmtId="0" fontId="83" fillId="42" borderId="0" xfId="0" applyFont="1" applyFill="1" applyAlignment="1">
      <alignment horizontal="center" vertical="center"/>
    </xf>
    <xf numFmtId="0" fontId="83" fillId="0" borderId="0" xfId="0" applyFont="1" applyAlignment="1">
      <alignment horizontal="center" vertical="center"/>
    </xf>
    <xf numFmtId="0" fontId="83"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3"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745</v>
      </c>
    </row>
    <row r="40" ht="57.75" customHeight="1">
      <c r="A40" s="371" t="s">
        <v>192</v>
      </c>
    </row>
    <row r="41" ht="10.5" customHeight="1">
      <c r="A41" s="360"/>
    </row>
    <row r="42" ht="65.25" customHeight="1">
      <c r="A42" s="360" t="s">
        <v>746</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747</v>
      </c>
    </row>
    <row r="70" ht="63" customHeight="1">
      <c r="A70" s="561" t="s">
        <v>748</v>
      </c>
    </row>
    <row r="71" ht="57" customHeight="1">
      <c r="A71" s="561" t="s">
        <v>749</v>
      </c>
    </row>
    <row r="72" ht="60" customHeight="1">
      <c r="A72" s="360" t="s">
        <v>750</v>
      </c>
    </row>
    <row r="73" ht="117.75" customHeight="1">
      <c r="A73" s="360" t="s">
        <v>751</v>
      </c>
    </row>
    <row r="74" ht="59.25" customHeight="1">
      <c r="A74" s="360" t="s">
        <v>752</v>
      </c>
    </row>
    <row r="75" ht="59.25" customHeight="1">
      <c r="A75" s="561" t="s">
        <v>753</v>
      </c>
    </row>
    <row r="76" ht="84.75" customHeight="1">
      <c r="A76" s="360" t="s">
        <v>754</v>
      </c>
    </row>
    <row r="77" ht="102.75" customHeight="1">
      <c r="A77" s="360" t="s">
        <v>755</v>
      </c>
    </row>
    <row r="78" ht="102.75" customHeight="1">
      <c r="A78" s="372" t="s">
        <v>756</v>
      </c>
    </row>
    <row r="79" ht="54" customHeight="1">
      <c r="A79" s="363" t="s">
        <v>757</v>
      </c>
    </row>
    <row r="80" ht="115.5" customHeight="1">
      <c r="A80" s="360" t="s">
        <v>758</v>
      </c>
    </row>
    <row r="81" ht="78" customHeight="1">
      <c r="A81" s="372" t="s">
        <v>759</v>
      </c>
    </row>
    <row r="82" ht="124.5" customHeight="1">
      <c r="A82" s="372" t="s">
        <v>760</v>
      </c>
    </row>
    <row r="83" ht="138" customHeight="1">
      <c r="A83" s="360" t="s">
        <v>761</v>
      </c>
    </row>
    <row r="84" ht="147" customHeight="1">
      <c r="A84" s="360" t="s">
        <v>762</v>
      </c>
    </row>
    <row r="85" ht="101.25" customHeight="1">
      <c r="A85" s="360" t="s">
        <v>763</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561" t="s">
        <v>764</v>
      </c>
    </row>
    <row r="95" ht="75" customHeight="1">
      <c r="A95" s="561" t="s">
        <v>765</v>
      </c>
    </row>
    <row r="96" ht="33.75" customHeight="1">
      <c r="A96" s="360" t="s">
        <v>766</v>
      </c>
    </row>
    <row r="97" ht="51.75" customHeight="1">
      <c r="A97" s="360" t="s">
        <v>767</v>
      </c>
    </row>
    <row r="98" ht="14.25" customHeight="1"/>
    <row r="99" ht="69.75" customHeight="1">
      <c r="A99" s="360" t="s">
        <v>623</v>
      </c>
    </row>
    <row r="101" ht="54" customHeight="1">
      <c r="A101" s="561" t="s">
        <v>768</v>
      </c>
    </row>
    <row r="102" ht="85.5" customHeight="1">
      <c r="A102" s="561" t="s">
        <v>769</v>
      </c>
    </row>
    <row r="103" ht="99" customHeight="1">
      <c r="A103" s="561"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VALVERDE TOWNSHIP</v>
      </c>
      <c r="B1" s="179"/>
      <c r="C1" s="179"/>
      <c r="D1" s="179"/>
      <c r="E1" s="179"/>
      <c r="F1" s="179"/>
      <c r="G1" s="179"/>
      <c r="H1" s="179"/>
      <c r="I1" s="14"/>
      <c r="J1" s="14"/>
      <c r="K1" s="15">
        <f>inputPrYr!D5</f>
        <v>2014</v>
      </c>
    </row>
    <row r="2" spans="1:11" ht="15.75">
      <c r="A2" s="178" t="str">
        <f>inputPrYr!$D$3</f>
        <v>SUMNER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tabSelected="1" zoomScalePageLayoutView="0" workbookViewId="0" topLeftCell="B28">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VALVERDE TOWNSHIP</v>
      </c>
      <c r="C1" s="14"/>
      <c r="D1" s="14"/>
      <c r="E1" s="15">
        <f>inputPrYr!D5</f>
        <v>2014</v>
      </c>
    </row>
    <row r="2" spans="2:5" ht="15.75">
      <c r="B2" s="17"/>
      <c r="C2" s="14"/>
      <c r="D2" s="14"/>
      <c r="E2" s="18"/>
    </row>
    <row r="3" spans="2:5" ht="15.75">
      <c r="B3" s="560" t="s">
        <v>744</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158</v>
      </c>
      <c r="D6" s="418">
        <f>C51</f>
        <v>0.46999999999934516</v>
      </c>
      <c r="E6" s="32">
        <f>D51</f>
        <v>0.46999999999934516</v>
      </c>
    </row>
    <row r="7" spans="2:5" ht="15.75">
      <c r="B7" s="27" t="s">
        <v>124</v>
      </c>
      <c r="C7" s="418"/>
      <c r="D7" s="418"/>
      <c r="E7" s="33"/>
    </row>
    <row r="8" spans="2:5" ht="15.75">
      <c r="B8" s="27" t="s">
        <v>16</v>
      </c>
      <c r="C8" s="29">
        <v>12806</v>
      </c>
      <c r="D8" s="418">
        <f>inputPrYr!E16</f>
        <v>13033</v>
      </c>
      <c r="E8" s="33" t="s">
        <v>301</v>
      </c>
    </row>
    <row r="9" spans="2:5" ht="15.75">
      <c r="B9" s="27" t="s">
        <v>17</v>
      </c>
      <c r="C9" s="29">
        <f>25.66+89.66</f>
        <v>115.32</v>
      </c>
      <c r="D9" s="29"/>
      <c r="E9" s="34"/>
    </row>
    <row r="10" spans="2:5" ht="15.75">
      <c r="B10" s="27" t="s">
        <v>18</v>
      </c>
      <c r="C10" s="29">
        <v>722.18</v>
      </c>
      <c r="D10" s="29">
        <v>879</v>
      </c>
      <c r="E10" s="32">
        <f>mvalloc!G11</f>
        <v>834</v>
      </c>
    </row>
    <row r="11" spans="2:5" ht="15.75">
      <c r="B11" s="27" t="s">
        <v>19</v>
      </c>
      <c r="C11" s="29">
        <v>2</v>
      </c>
      <c r="D11" s="29">
        <v>34</v>
      </c>
      <c r="E11" s="32">
        <f>mvalloc!I11</f>
        <v>8</v>
      </c>
    </row>
    <row r="12" spans="2:5" ht="15.75">
      <c r="B12" s="35" t="s">
        <v>72</v>
      </c>
      <c r="C12" s="29">
        <v>172.97</v>
      </c>
      <c r="D12" s="29">
        <v>232</v>
      </c>
      <c r="E12" s="32">
        <f>mvalloc!J11</f>
        <v>215</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v>158</v>
      </c>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13818.47</v>
      </c>
      <c r="D26" s="420">
        <f>SUM(D8:D24)</f>
        <v>14336</v>
      </c>
      <c r="E26" s="42">
        <f>SUM(E8:E24)</f>
        <v>1057</v>
      </c>
    </row>
    <row r="27" spans="2:5" ht="15.75">
      <c r="B27" s="43" t="s">
        <v>24</v>
      </c>
      <c r="C27" s="420">
        <f>C26+C6</f>
        <v>13976.47</v>
      </c>
      <c r="D27" s="420">
        <f>D26+D6</f>
        <v>14336.47</v>
      </c>
      <c r="E27" s="42">
        <f>E26+E6</f>
        <v>1057.4699999999993</v>
      </c>
    </row>
    <row r="28" spans="2:5" ht="15.75">
      <c r="B28" s="27" t="s">
        <v>25</v>
      </c>
      <c r="C28" s="418"/>
      <c r="D28" s="418"/>
      <c r="E28" s="32"/>
    </row>
    <row r="29" spans="2:5" ht="15.75">
      <c r="B29" s="37"/>
      <c r="C29" s="29"/>
      <c r="D29" s="29"/>
      <c r="E29" s="34"/>
    </row>
    <row r="30" spans="2:5" ht="15.75">
      <c r="B30" s="38" t="s">
        <v>105</v>
      </c>
      <c r="C30" s="29">
        <v>2440</v>
      </c>
      <c r="D30" s="29">
        <v>600</v>
      </c>
      <c r="E30" s="34">
        <v>600</v>
      </c>
    </row>
    <row r="31" spans="2:5" ht="15.75">
      <c r="B31" s="38" t="s">
        <v>129</v>
      </c>
      <c r="C31" s="29">
        <v>1007</v>
      </c>
      <c r="D31" s="29">
        <v>695</v>
      </c>
      <c r="E31" s="34">
        <v>695</v>
      </c>
    </row>
    <row r="32" spans="2:5" ht="15.75">
      <c r="B32" s="38" t="s">
        <v>106</v>
      </c>
      <c r="C32" s="29"/>
      <c r="D32" s="29"/>
      <c r="E32" s="34"/>
    </row>
    <row r="33" spans="2:5" ht="15.75">
      <c r="B33" s="38" t="s">
        <v>36</v>
      </c>
      <c r="C33" s="29">
        <v>745</v>
      </c>
      <c r="D33" s="29">
        <v>3474</v>
      </c>
      <c r="E33" s="34">
        <v>3474</v>
      </c>
    </row>
    <row r="34" spans="2:5" ht="15.75">
      <c r="B34" s="37" t="s">
        <v>107</v>
      </c>
      <c r="C34" s="29">
        <v>8286</v>
      </c>
      <c r="D34" s="29">
        <v>700</v>
      </c>
      <c r="E34" s="34">
        <v>772</v>
      </c>
    </row>
    <row r="35" spans="2:5" ht="15.75">
      <c r="B35" s="37" t="s">
        <v>130</v>
      </c>
      <c r="C35" s="29">
        <v>1498</v>
      </c>
      <c r="D35" s="29">
        <v>946</v>
      </c>
      <c r="E35" s="34">
        <v>946</v>
      </c>
    </row>
    <row r="36" spans="2:5" ht="15.75">
      <c r="B36" s="38" t="s">
        <v>132</v>
      </c>
      <c r="C36" s="29"/>
      <c r="D36" s="29"/>
      <c r="E36" s="34"/>
    </row>
    <row r="37" spans="2:5" ht="15.75">
      <c r="B37" s="38" t="s">
        <v>809</v>
      </c>
      <c r="C37" s="29"/>
      <c r="D37" s="29"/>
      <c r="E37" s="34"/>
    </row>
    <row r="38" spans="2:5" ht="15.75">
      <c r="B38" s="37" t="s">
        <v>814</v>
      </c>
      <c r="C38" s="29"/>
      <c r="D38" s="29">
        <v>7700</v>
      </c>
      <c r="E38" s="34">
        <v>7700</v>
      </c>
    </row>
    <row r="39" spans="2:5" ht="15.75">
      <c r="B39" s="38"/>
      <c r="C39" s="29"/>
      <c r="D39" s="29"/>
      <c r="E39" s="34" t="s">
        <v>289</v>
      </c>
    </row>
    <row r="40" spans="2:5" ht="15.75">
      <c r="B40" s="38"/>
      <c r="C40" s="29"/>
      <c r="D40" s="29"/>
      <c r="E40" s="34"/>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803</v>
      </c>
      <c r="C46" s="415">
        <f>IF(C27*0.25&lt;C45,"Exceeds 25%","")</f>
      </c>
      <c r="D46" s="415">
        <f>IF(D27*0.25&lt;D45,"Exceeds 25%","")</f>
      </c>
      <c r="E46" s="45">
        <f>IF(E27*0.25+E57&lt;E45,"Exceeds 25%","")</f>
      </c>
      <c r="F46" s="16">
        <f>IF(G28*0.25&lt;G46,"Exceeds 25%","")</f>
      </c>
    </row>
    <row r="47" spans="2:5" ht="15.75">
      <c r="B47" s="35" t="s">
        <v>225</v>
      </c>
      <c r="C47" s="29"/>
      <c r="D47" s="29">
        <v>221</v>
      </c>
      <c r="E47" s="46">
        <f>nhood!E6</f>
        <v>149</v>
      </c>
    </row>
    <row r="48" spans="2:5" ht="15.75">
      <c r="B48" s="35" t="s">
        <v>223</v>
      </c>
      <c r="C48" s="29"/>
      <c r="D48" s="29"/>
      <c r="E48" s="34"/>
    </row>
    <row r="49" spans="2:5" ht="15.75">
      <c r="B49" s="35" t="s">
        <v>644</v>
      </c>
      <c r="C49" s="415">
        <f>IF(C50*0.1&lt;C48,"Exceed 10% Rule","")</f>
      </c>
      <c r="D49" s="415">
        <f>IF(D50*0.1&lt;D48,"Exceed 10% Rule","")</f>
      </c>
      <c r="E49" s="45">
        <f>IF(E50*0.1&lt;E48,"Exceed 10% Rule","")</f>
      </c>
    </row>
    <row r="50" spans="2:5" ht="15.75">
      <c r="B50" s="43" t="s">
        <v>26</v>
      </c>
      <c r="C50" s="412">
        <f>SUM(C29:C48)</f>
        <v>13976</v>
      </c>
      <c r="D50" s="412">
        <f>SUM(D29:D48)</f>
        <v>14336</v>
      </c>
      <c r="E50" s="47">
        <f>SUM(E29:E43,E45,E47:E48)</f>
        <v>14336</v>
      </c>
    </row>
    <row r="51" spans="2:5" ht="15.75">
      <c r="B51" s="27" t="s">
        <v>123</v>
      </c>
      <c r="C51" s="413">
        <f>C27-C50</f>
        <v>0.46999999999934516</v>
      </c>
      <c r="D51" s="413">
        <f>SUM(D27-D50)</f>
        <v>0.46999999999934516</v>
      </c>
      <c r="E51" s="33" t="s">
        <v>301</v>
      </c>
    </row>
    <row r="52" spans="2:6" ht="15.75">
      <c r="B52" s="48" t="str">
        <f>CONCATENATE("",E1-2,"/",E1-1," Budget Authority Amount:")</f>
        <v>2012/2013 Budget Authority Amount:</v>
      </c>
      <c r="C52" s="143">
        <v>14336</v>
      </c>
      <c r="D52" s="172">
        <f>inputPrYr!D16</f>
        <v>14336</v>
      </c>
      <c r="E52" s="33" t="s">
        <v>301</v>
      </c>
      <c r="F52" s="50"/>
    </row>
    <row r="53" spans="2:6" ht="15.75">
      <c r="B53" s="48"/>
      <c r="C53" s="609" t="s">
        <v>645</v>
      </c>
      <c r="D53" s="610"/>
      <c r="E53" s="34"/>
      <c r="F53" s="533">
        <f>IF(E50/0.95-E50&lt;E53,"Exceeds 5%","")</f>
      </c>
    </row>
    <row r="54" spans="2:5" ht="15.75">
      <c r="B54" s="436" t="str">
        <f>CONCATENATE(C72,"     ",D72)</f>
        <v>     </v>
      </c>
      <c r="C54" s="611" t="s">
        <v>646</v>
      </c>
      <c r="D54" s="612"/>
      <c r="E54" s="32">
        <f>E50+E53</f>
        <v>14336</v>
      </c>
    </row>
    <row r="55" spans="2:5" ht="15.75">
      <c r="B55" s="436" t="str">
        <f>CONCATENATE(C73,"     ",D73)</f>
        <v>     </v>
      </c>
      <c r="C55" s="60"/>
      <c r="D55" s="52" t="s">
        <v>28</v>
      </c>
      <c r="E55" s="46">
        <f>IF(E54-E27&gt;0,E54-E27,0)</f>
        <v>13278.53</v>
      </c>
    </row>
    <row r="56" spans="2:5" ht="15.75">
      <c r="B56" s="52"/>
      <c r="C56" s="440" t="s">
        <v>647</v>
      </c>
      <c r="D56" s="432">
        <f>inputOth!$E$40</f>
        <v>0</v>
      </c>
      <c r="E56" s="32">
        <f>ROUND(IF(D56&gt;0,(E55*D56),0),0)</f>
        <v>0</v>
      </c>
    </row>
    <row r="57" spans="2:5" ht="15.75">
      <c r="B57" s="14"/>
      <c r="C57" s="607" t="str">
        <f>CONCATENATE("Amount of  ",$E$1-1," Ad Valorem Tax")</f>
        <v>Amount of  2013 Ad Valorem Tax</v>
      </c>
      <c r="D57" s="608"/>
      <c r="E57" s="46">
        <f>E55+E56</f>
        <v>13278.53</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1" operator="lessThan" stopIfTrue="1">
      <formula>0</formula>
    </cfRule>
  </conditionalFormatting>
  <conditionalFormatting sqref="D50">
    <cfRule type="cellIs" priority="18" dxfId="1"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1"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1" stopIfTrue="1">
      <formula>$D$8&gt;0</formula>
    </cfRule>
  </conditionalFormatting>
  <conditionalFormatting sqref="C50">
    <cfRule type="cellIs" priority="10" dxfId="1"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VALVERDE TOWNSHIP</v>
      </c>
      <c r="C1" s="14"/>
      <c r="D1" s="14"/>
      <c r="E1" s="61">
        <f>inputPrYr!$D$5</f>
        <v>2014</v>
      </c>
    </row>
    <row r="2" spans="2:5" ht="15.75">
      <c r="B2" s="14"/>
      <c r="C2" s="14"/>
      <c r="D2" s="14"/>
      <c r="E2" s="52"/>
    </row>
    <row r="3" spans="2:5" ht="15.75">
      <c r="B3" s="17"/>
      <c r="C3" s="62"/>
      <c r="D3" s="62"/>
      <c r="E3" s="63"/>
    </row>
    <row r="4" spans="2:5" ht="15.75">
      <c r="B4" s="560" t="s">
        <v>744</v>
      </c>
      <c r="C4" s="64"/>
      <c r="D4" s="64"/>
      <c r="E4" s="64"/>
    </row>
    <row r="5" spans="2:5" ht="15.75">
      <c r="B5" s="22" t="s">
        <v>10</v>
      </c>
      <c r="C5" s="416" t="s">
        <v>11</v>
      </c>
      <c r="D5" s="419" t="s">
        <v>12</v>
      </c>
      <c r="E5" s="23" t="s">
        <v>13</v>
      </c>
    </row>
    <row r="6" spans="2:5" ht="15.75">
      <c r="B6" s="24" t="s">
        <v>311</v>
      </c>
      <c r="C6" s="417" t="str">
        <f>CONCATENATE("Actual ",$E$1-2,"")</f>
        <v>Actual 2012</v>
      </c>
      <c r="D6" s="417" t="str">
        <f>CONCATENATE("Estimate ",$E$1-1,"")</f>
        <v>Estimate 2013</v>
      </c>
      <c r="E6" s="26" t="str">
        <f>CONCATENATE("Year ",$E$1,"")</f>
        <v>Year 2014</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301</v>
      </c>
      <c r="F55" s="50"/>
      <c r="G55" s="538">
        <f>E29</f>
        <v>0</v>
      </c>
      <c r="H55" s="540" t="str">
        <f>CONCATENATE("",E1," Non-AV Receipts (est.)")</f>
        <v>2014 Non-AV Receipts (est.)</v>
      </c>
      <c r="I55" s="536"/>
    </row>
    <row r="56" spans="2:9" ht="15.75">
      <c r="B56" s="48"/>
      <c r="C56" s="609" t="s">
        <v>645</v>
      </c>
      <c r="D56" s="610"/>
      <c r="E56" s="34"/>
      <c r="F56" s="533">
        <f>IF(E53/0.95-E53&lt;E56,"Exceeds 5%","")</f>
      </c>
      <c r="G56" s="541">
        <f>E60</f>
        <v>0</v>
      </c>
      <c r="H56" s="540" t="str">
        <f>CONCATENATE("",E1," Ad Valorem Tax (est.)")</f>
        <v>2014 Ad Valorem Tax (est.)</v>
      </c>
      <c r="I56" s="536"/>
    </row>
    <row r="57" spans="2:9" ht="15.75">
      <c r="B57" s="436" t="str">
        <f>CONCATENATE(C72,"     ",D72)</f>
        <v>     </v>
      </c>
      <c r="C57" s="611" t="s">
        <v>646</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647</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1" operator="greaterThan" stopIfTrue="1">
      <formula>$C$55</formula>
    </cfRule>
  </conditionalFormatting>
  <conditionalFormatting sqref="D53">
    <cfRule type="cellIs" priority="10" dxfId="1"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B1">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VALVERDE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2670</v>
      </c>
      <c r="D6" s="418">
        <f>C44</f>
        <v>0.35000000000582077</v>
      </c>
      <c r="E6" s="32">
        <f>D44</f>
        <v>0.35000000000582077</v>
      </c>
    </row>
    <row r="7" spans="2:5" ht="15.75">
      <c r="B7" s="27" t="s">
        <v>124</v>
      </c>
      <c r="C7" s="418"/>
      <c r="D7" s="418"/>
      <c r="E7" s="33"/>
    </row>
    <row r="8" spans="2:5" ht="15.75">
      <c r="B8" s="27" t="s">
        <v>16</v>
      </c>
      <c r="C8" s="29">
        <v>79889</v>
      </c>
      <c r="D8" s="418">
        <f>inputPrYr!E18</f>
        <v>91674</v>
      </c>
      <c r="E8" s="33" t="s">
        <v>301</v>
      </c>
    </row>
    <row r="9" spans="2:5" ht="15.75">
      <c r="B9" s="27" t="s">
        <v>17</v>
      </c>
      <c r="C9" s="29">
        <f>147.66+467.39</f>
        <v>615.05</v>
      </c>
      <c r="D9" s="29"/>
      <c r="E9" s="34"/>
    </row>
    <row r="10" spans="2:5" ht="15.75">
      <c r="B10" s="27" t="s">
        <v>18</v>
      </c>
      <c r="C10" s="29">
        <v>4148.52</v>
      </c>
      <c r="D10" s="29">
        <v>5485</v>
      </c>
      <c r="E10" s="32">
        <f>mvalloc!G13</f>
        <v>5863</v>
      </c>
    </row>
    <row r="11" spans="2:5" ht="15.75">
      <c r="B11" s="27" t="s">
        <v>19</v>
      </c>
      <c r="C11" s="29">
        <v>7.07</v>
      </c>
      <c r="D11" s="29">
        <v>215</v>
      </c>
      <c r="E11" s="32">
        <f>mvalloc!I13</f>
        <v>55</v>
      </c>
    </row>
    <row r="12" spans="2:5" ht="15.75">
      <c r="B12" s="27" t="s">
        <v>103</v>
      </c>
      <c r="C12" s="29">
        <v>1376.7</v>
      </c>
      <c r="D12" s="29">
        <v>1334</v>
      </c>
      <c r="E12" s="32">
        <f>mvalloc!J13</f>
        <v>1341</v>
      </c>
    </row>
    <row r="13" spans="2:5" ht="15.75">
      <c r="B13" s="27" t="s">
        <v>166</v>
      </c>
      <c r="C13" s="29"/>
      <c r="D13" s="29"/>
      <c r="E13" s="32">
        <f>mvalloc!K13</f>
        <v>0</v>
      </c>
    </row>
    <row r="14" spans="2:5" ht="15.75">
      <c r="B14" s="27" t="s">
        <v>104</v>
      </c>
      <c r="C14" s="29">
        <f>1914.05+605.96</f>
        <v>2520.01</v>
      </c>
      <c r="D14" s="29">
        <v>2010</v>
      </c>
      <c r="E14" s="32">
        <f>inputOth!E36</f>
        <v>2100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88556.35</v>
      </c>
      <c r="D23" s="420">
        <f>SUM(D8:D21)</f>
        <v>100718</v>
      </c>
      <c r="E23" s="42">
        <f>SUM(E8:E21)</f>
        <v>9359</v>
      </c>
    </row>
    <row r="24" spans="2:5" ht="15.75">
      <c r="B24" s="43" t="s">
        <v>24</v>
      </c>
      <c r="C24" s="420">
        <f>C23+C6</f>
        <v>91226.35</v>
      </c>
      <c r="D24" s="420">
        <f>D23+D6</f>
        <v>100718.35</v>
      </c>
      <c r="E24" s="42">
        <f>E23+E6</f>
        <v>9359.350000000006</v>
      </c>
    </row>
    <row r="25" spans="2:5" ht="15.75">
      <c r="B25" s="27" t="s">
        <v>25</v>
      </c>
      <c r="C25" s="418"/>
      <c r="D25" s="418"/>
      <c r="E25" s="32"/>
    </row>
    <row r="26" spans="2:5" ht="15.75">
      <c r="B26" s="38" t="s">
        <v>105</v>
      </c>
      <c r="C26" s="29"/>
      <c r="D26" s="29">
        <v>1440</v>
      </c>
      <c r="E26" s="34">
        <v>1440</v>
      </c>
    </row>
    <row r="27" spans="2:5" ht="15.75">
      <c r="B27" s="38" t="s">
        <v>129</v>
      </c>
      <c r="C27" s="29">
        <v>3814</v>
      </c>
      <c r="D27" s="29">
        <v>4213</v>
      </c>
      <c r="E27" s="34">
        <v>4213</v>
      </c>
    </row>
    <row r="28" spans="2:5" ht="15.75">
      <c r="B28" s="37" t="s">
        <v>106</v>
      </c>
      <c r="C28" s="29"/>
      <c r="D28" s="29">
        <v>1500</v>
      </c>
      <c r="E28" s="34">
        <v>1500</v>
      </c>
    </row>
    <row r="29" spans="2:5" ht="15.75">
      <c r="B29" s="38" t="s">
        <v>131</v>
      </c>
      <c r="C29" s="29">
        <v>4362</v>
      </c>
      <c r="D29" s="29">
        <v>23281</v>
      </c>
      <c r="E29" s="34">
        <v>23281</v>
      </c>
    </row>
    <row r="30" spans="2:5" ht="15.75">
      <c r="B30" s="38" t="s">
        <v>109</v>
      </c>
      <c r="C30" s="29">
        <v>55951</v>
      </c>
      <c r="D30" s="29">
        <v>20793</v>
      </c>
      <c r="E30" s="34">
        <v>27302</v>
      </c>
    </row>
    <row r="31" spans="2:5" ht="15.75">
      <c r="B31" s="38" t="s">
        <v>107</v>
      </c>
      <c r="C31" s="29">
        <v>27099</v>
      </c>
      <c r="D31" s="29">
        <v>38425</v>
      </c>
      <c r="E31" s="34">
        <v>38425</v>
      </c>
    </row>
    <row r="32" spans="2:5" ht="15.75">
      <c r="B32" s="38" t="s">
        <v>132</v>
      </c>
      <c r="C32" s="29"/>
      <c r="D32" s="29">
        <v>2100</v>
      </c>
      <c r="E32" s="34">
        <v>2100</v>
      </c>
    </row>
    <row r="33" spans="2:5" ht="15.75">
      <c r="B33" s="38" t="s">
        <v>810</v>
      </c>
      <c r="C33" s="29"/>
      <c r="D33" s="29">
        <v>2981</v>
      </c>
      <c r="E33" s="34">
        <v>2981</v>
      </c>
    </row>
    <row r="34" spans="2:5" ht="15.75">
      <c r="B34" s="37" t="s">
        <v>811</v>
      </c>
      <c r="C34" s="29"/>
      <c r="D34" s="29">
        <v>4428</v>
      </c>
      <c r="E34" s="34">
        <v>4428</v>
      </c>
    </row>
    <row r="35" spans="2:5" ht="15.75">
      <c r="B35" s="37"/>
      <c r="C35" s="29"/>
      <c r="D35" s="29"/>
      <c r="E35" s="34"/>
    </row>
    <row r="36" spans="2:5" ht="15.75">
      <c r="B36" s="38"/>
      <c r="C36" s="29"/>
      <c r="D36" s="29"/>
      <c r="E36" s="34" t="s">
        <v>289</v>
      </c>
    </row>
    <row r="37" spans="2:5" ht="15.75">
      <c r="B37" s="38"/>
      <c r="C37" s="29"/>
      <c r="D37" s="29"/>
      <c r="E37" s="34" t="s">
        <v>289</v>
      </c>
    </row>
    <row r="38" spans="2:5" ht="15.75">
      <c r="B38" s="27" t="s">
        <v>108</v>
      </c>
      <c r="C38" s="29"/>
      <c r="D38" s="29"/>
      <c r="E38" s="34"/>
    </row>
    <row r="39" spans="2:5" ht="15.75">
      <c r="B39" s="27" t="s">
        <v>648</v>
      </c>
      <c r="C39" s="426">
        <f>IF(C24*0.25&lt;C38,"Not Authorized","")</f>
      </c>
      <c r="D39" s="426">
        <f>IF(D24*0.25&lt;D38,"Not Authorized","")</f>
      </c>
      <c r="E39" s="78">
        <f>IF(E24*0.25+E50&lt;E38,"Not Authorized","")</f>
      </c>
    </row>
    <row r="40" spans="2:5" ht="15.75">
      <c r="B40" s="35" t="s">
        <v>225</v>
      </c>
      <c r="C40" s="29"/>
      <c r="D40" s="29">
        <v>1557</v>
      </c>
      <c r="E40" s="46">
        <f>nhood!E8</f>
        <v>1090</v>
      </c>
    </row>
    <row r="41" spans="2:5" ht="15.75">
      <c r="B41" s="35" t="s">
        <v>223</v>
      </c>
      <c r="C41" s="29"/>
      <c r="D41" s="29"/>
      <c r="E41" s="34"/>
    </row>
    <row r="42" spans="2:5" ht="15.75">
      <c r="B42" s="35" t="s">
        <v>644</v>
      </c>
      <c r="C42" s="415">
        <f>IF(C43*0.1&lt;C41,"Exceed 10% Rule","")</f>
      </c>
      <c r="D42" s="415">
        <f>IF(D43*0.1&lt;D41,"Exceed 10% Rule","")</f>
      </c>
      <c r="E42" s="45">
        <f>IF(E43*0.1&lt;E41,"Exceed 10% Rule","")</f>
      </c>
    </row>
    <row r="43" spans="2:5" ht="15.75">
      <c r="B43" s="43" t="s">
        <v>26</v>
      </c>
      <c r="C43" s="420">
        <f>SUM(C26:C38,C40:C41)</f>
        <v>91226</v>
      </c>
      <c r="D43" s="420">
        <f>SUM(D26:D38,D40:D41)</f>
        <v>100718</v>
      </c>
      <c r="E43" s="42">
        <f>SUM(E26:E38,E40:E41)</f>
        <v>106760</v>
      </c>
    </row>
    <row r="44" spans="2:5" ht="15.75">
      <c r="B44" s="27" t="s">
        <v>123</v>
      </c>
      <c r="C44" s="413">
        <f>C24-C43</f>
        <v>0.35000000000582077</v>
      </c>
      <c r="D44" s="413">
        <f>D24-D43</f>
        <v>0.35000000000582077</v>
      </c>
      <c r="E44" s="33" t="s">
        <v>301</v>
      </c>
    </row>
    <row r="45" spans="2:6" ht="15.75">
      <c r="B45" s="48" t="str">
        <f>CONCATENATE("",E1-2,"/",E1-1," Budget Authority Amount:")</f>
        <v>2012/2013 Budget Authority Amount:</v>
      </c>
      <c r="C45" s="143">
        <v>94003</v>
      </c>
      <c r="D45" s="172">
        <f>inputPrYr!D18</f>
        <v>100718</v>
      </c>
      <c r="E45" s="33" t="s">
        <v>301</v>
      </c>
      <c r="F45" s="50"/>
    </row>
    <row r="46" spans="2:6" ht="15.75">
      <c r="B46" s="48"/>
      <c r="C46" s="609" t="s">
        <v>645</v>
      </c>
      <c r="D46" s="610"/>
      <c r="E46" s="34"/>
      <c r="F46" s="533">
        <f>IF(E43/0.95-E43&lt;E46,"Exceeds 5%","")</f>
      </c>
    </row>
    <row r="47" spans="2:5" ht="15.75">
      <c r="B47" s="436" t="str">
        <f>CONCATENATE(C74,"     ",D74)</f>
        <v>     </v>
      </c>
      <c r="C47" s="611" t="s">
        <v>646</v>
      </c>
      <c r="D47" s="612"/>
      <c r="E47" s="32">
        <f>E43+E46</f>
        <v>106760</v>
      </c>
    </row>
    <row r="48" spans="2:5" ht="15.75">
      <c r="B48" s="436" t="str">
        <f>CONCATENATE(C75,"     ",D75)</f>
        <v>     </v>
      </c>
      <c r="C48" s="60"/>
      <c r="D48" s="52" t="s">
        <v>28</v>
      </c>
      <c r="E48" s="46">
        <f>IF(E47-E24&gt;0,E47-E24,0)</f>
        <v>97400.65</v>
      </c>
    </row>
    <row r="49" spans="2:5" ht="15.75">
      <c r="B49" s="52"/>
      <c r="C49" s="440" t="s">
        <v>647</v>
      </c>
      <c r="D49" s="432">
        <f>inputOth!$E$40</f>
        <v>0</v>
      </c>
      <c r="E49" s="32">
        <f>ROUND(IF(D49&gt;0,(E48*D49),0),0)</f>
        <v>0</v>
      </c>
    </row>
    <row r="50" spans="2:5" ht="15.75">
      <c r="B50" s="14"/>
      <c r="C50" s="607" t="str">
        <f>CONCATENATE("Amount of  ",$E$1-1," Ad Valorem Tax")</f>
        <v>Amount of  2013 Ad Valorem Tax</v>
      </c>
      <c r="D50" s="608"/>
      <c r="E50" s="46">
        <f>E48+E49</f>
        <v>97400.65</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79823</v>
      </c>
      <c r="D55" s="14"/>
      <c r="E55" s="14"/>
    </row>
    <row r="56" spans="2:5" ht="15.75">
      <c r="B56" s="83" t="s">
        <v>33</v>
      </c>
      <c r="C56" s="143"/>
      <c r="D56" s="14"/>
      <c r="E56" s="14"/>
    </row>
    <row r="57" spans="2:5" ht="15.75">
      <c r="B57" s="83" t="s">
        <v>34</v>
      </c>
      <c r="C57" s="439">
        <f>C38</f>
        <v>0</v>
      </c>
      <c r="D57" s="85"/>
      <c r="E57" s="14"/>
    </row>
    <row r="58" spans="2:5" ht="15.75">
      <c r="B58" s="83" t="s">
        <v>258</v>
      </c>
      <c r="C58" s="439">
        <f>gen!C43</f>
        <v>0</v>
      </c>
      <c r="D58" s="616">
        <f>IF(AND(C58&gt;0,C59&gt;0),"Not Auth. Two General Transfers - Only One","")</f>
      </c>
      <c r="E58" s="617"/>
    </row>
    <row r="59" spans="2:5" ht="15.75">
      <c r="B59" s="86" t="s">
        <v>259</v>
      </c>
      <c r="C59" s="439">
        <f>gen!C45</f>
        <v>0</v>
      </c>
      <c r="D59" s="618"/>
      <c r="E59" s="617"/>
    </row>
    <row r="60" spans="2:5" ht="15.75">
      <c r="B60" s="87"/>
      <c r="C60" s="557"/>
      <c r="D60" s="14"/>
      <c r="E60" s="14"/>
    </row>
    <row r="61" spans="2:5" ht="15.75">
      <c r="B61" s="87" t="s">
        <v>22</v>
      </c>
      <c r="C61" s="557">
        <v>153</v>
      </c>
      <c r="D61" s="14"/>
      <c r="E61" s="14"/>
    </row>
    <row r="62" spans="2:5" ht="15.75">
      <c r="B62" s="87" t="s">
        <v>21</v>
      </c>
      <c r="C62" s="557"/>
      <c r="D62" s="14"/>
      <c r="E62" s="14"/>
    </row>
    <row r="63" spans="2:5" ht="15.75">
      <c r="B63" s="88" t="s">
        <v>24</v>
      </c>
      <c r="C63" s="143">
        <f>SUM(C55:C62)</f>
        <v>79976</v>
      </c>
      <c r="D63" s="14"/>
      <c r="E63" s="14"/>
    </row>
    <row r="64" spans="2:5" ht="15.75">
      <c r="B64" s="88" t="s">
        <v>26</v>
      </c>
      <c r="C64" s="557">
        <v>71299</v>
      </c>
      <c r="D64" s="14"/>
      <c r="E64" s="14"/>
    </row>
    <row r="65" spans="2:5" ht="15.75">
      <c r="B65" s="88" t="s">
        <v>27</v>
      </c>
      <c r="C65" s="438">
        <f>SUM(C63-C64)</f>
        <v>8677</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1" operator="greaterThan" stopIfTrue="1">
      <formula>#REF!</formula>
    </cfRule>
  </conditionalFormatting>
  <conditionalFormatting sqref="D43">
    <cfRule type="cellIs" priority="13" dxfId="1" operator="greaterThan" stopIfTrue="1">
      <formula>$D$45</formula>
    </cfRule>
  </conditionalFormatting>
  <conditionalFormatting sqref="D38">
    <cfRule type="cellIs" priority="14" dxfId="1" operator="greaterThan" stopIfTrue="1">
      <formula>$D$24*0.25</formula>
    </cfRule>
  </conditionalFormatting>
  <conditionalFormatting sqref="E38">
    <cfRule type="cellIs" priority="15" dxfId="1"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VALVERDE TOWNSHIP</v>
      </c>
      <c r="C1" s="22" t="s">
        <v>35</v>
      </c>
      <c r="D1" s="14"/>
      <c r="E1" s="15">
        <f>inputPrYr!D5</f>
        <v>2014</v>
      </c>
    </row>
    <row r="2" spans="2:5" ht="15.75">
      <c r="B2" s="17"/>
      <c r="C2" s="14"/>
      <c r="D2" s="14"/>
      <c r="E2" s="89"/>
    </row>
    <row r="3" spans="2:5" ht="15.75">
      <c r="B3" s="560" t="s">
        <v>744</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inputOth!B49</f>
        <v>0</v>
      </c>
      <c r="D34" s="172">
        <f>inputPrYr!D19</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inputOth!B50</f>
        <v>0</v>
      </c>
      <c r="D71" s="172">
        <f>inputPrYr!D20</f>
        <v>0</v>
      </c>
      <c r="E71" s="33" t="s">
        <v>301</v>
      </c>
      <c r="F71" s="50"/>
    </row>
    <row r="72" spans="2:6" ht="15.75">
      <c r="B72" s="48"/>
      <c r="C72" s="609" t="s">
        <v>645</v>
      </c>
      <c r="D72" s="610"/>
      <c r="E72" s="34"/>
      <c r="F72" s="50">
        <f>IF(E69/0.95-E69&lt;E72,"Exceeds 5%","")</f>
      </c>
    </row>
    <row r="73" spans="2:5" ht="15.75">
      <c r="B73" s="436" t="str">
        <f>CONCATENATE(C90,"     ",D90)</f>
        <v>     </v>
      </c>
      <c r="C73" s="611" t="s">
        <v>646</v>
      </c>
      <c r="D73" s="612"/>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VALVERDE TOWNSHIP</v>
      </c>
      <c r="C1" s="14"/>
      <c r="D1" s="14"/>
      <c r="E1" s="15">
        <f>inputPrYr!D5</f>
        <v>2014</v>
      </c>
    </row>
    <row r="2" spans="2:5" ht="15.75">
      <c r="B2" s="17"/>
      <c r="C2" s="14"/>
      <c r="D2" s="62"/>
      <c r="E2" s="93"/>
    </row>
    <row r="3" spans="2:5" ht="15.75">
      <c r="B3" s="560" t="s">
        <v>744</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inputOth!B51</f>
        <v>0</v>
      </c>
      <c r="D34" s="172">
        <f>inputPrYr!D21</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inputOth!B52</f>
        <v>0</v>
      </c>
      <c r="D71" s="172">
        <f>inputPrYr!D22</f>
        <v>0</v>
      </c>
      <c r="E71" s="33" t="s">
        <v>301</v>
      </c>
      <c r="F71" s="50"/>
    </row>
    <row r="72" spans="2:6" ht="15.75">
      <c r="B72" s="48"/>
      <c r="C72" s="609" t="s">
        <v>645</v>
      </c>
      <c r="D72" s="610"/>
      <c r="E72" s="559"/>
      <c r="F72" s="50">
        <f>IF(E69/0.95-E69&lt;E72,"Exceeds 5%","")</f>
      </c>
    </row>
    <row r="73" spans="2:6" ht="15.75">
      <c r="B73" s="436" t="str">
        <f>CONCATENATE(C90,"     ",D90)</f>
        <v>     </v>
      </c>
      <c r="C73" s="611" t="s">
        <v>646</v>
      </c>
      <c r="D73" s="612"/>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VALVERDE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inputOth!B53</f>
        <v>0</v>
      </c>
      <c r="D34" s="172">
        <f>inputPrYr!D23</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inputOth!B54</f>
        <v>0</v>
      </c>
      <c r="D71" s="172">
        <f>inputPrYr!D24</f>
        <v>0</v>
      </c>
      <c r="E71" s="33" t="s">
        <v>301</v>
      </c>
      <c r="F71" s="50"/>
    </row>
    <row r="72" spans="2:6" ht="15.75">
      <c r="B72" s="48"/>
      <c r="C72" s="609" t="s">
        <v>645</v>
      </c>
      <c r="D72" s="610"/>
      <c r="E72" s="34"/>
      <c r="F72" s="50">
        <f>IF(E69/0.95-E69&lt;E72,"Exceeds 5%","")</f>
      </c>
    </row>
    <row r="73" spans="2:5" ht="15.75">
      <c r="B73" s="48"/>
      <c r="C73" s="611" t="s">
        <v>646</v>
      </c>
      <c r="D73" s="612"/>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tabSelected="1" zoomScalePageLayoutView="0" workbookViewId="0" topLeftCell="A1">
      <selection activeCell="D22" sqref="D22"/>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VALVERDE TOWNSHIP</v>
      </c>
      <c r="C1" s="14"/>
      <c r="D1" s="14"/>
      <c r="E1" s="15">
        <f>inputPrYr!D5</f>
        <v>2014</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t="str">
        <f>inputPrYr!B28</f>
        <v>Fire</v>
      </c>
      <c r="C5" s="26" t="str">
        <f>gen!C5</f>
        <v>Actual 2012</v>
      </c>
      <c r="D5" s="26" t="str">
        <f>gen!D5</f>
        <v>Estimate 2013</v>
      </c>
      <c r="E5" s="26" t="str">
        <f>gen!E5</f>
        <v>Year 2014</v>
      </c>
    </row>
    <row r="6" spans="2:5" ht="15.75">
      <c r="B6" s="94" t="s">
        <v>147</v>
      </c>
      <c r="C6" s="34">
        <v>2283</v>
      </c>
      <c r="D6" s="32">
        <f>C29</f>
        <v>2283</v>
      </c>
      <c r="E6" s="32">
        <f>D29</f>
        <v>2283</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2283</v>
      </c>
      <c r="D16" s="42">
        <f>D6+D15</f>
        <v>2283</v>
      </c>
      <c r="E16" s="42">
        <f>E6+E15</f>
        <v>2283</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2283</v>
      </c>
      <c r="D29" s="46">
        <f>D16-D28</f>
        <v>2283</v>
      </c>
      <c r="E29" s="46">
        <f>E16-E28</f>
        <v>2283</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t="str">
        <f>inputPrYr!B29</f>
        <v>Firemens Relief</v>
      </c>
      <c r="C36" s="26" t="str">
        <f>C5</f>
        <v>Actual 2012</v>
      </c>
      <c r="D36" s="26" t="str">
        <f>D5</f>
        <v>Estimate 2013</v>
      </c>
      <c r="E36" s="26" t="str">
        <f>E5</f>
        <v>Year 2014</v>
      </c>
    </row>
    <row r="37" spans="2:5" ht="15.75">
      <c r="B37" s="94" t="s">
        <v>147</v>
      </c>
      <c r="C37" s="34">
        <v>14307</v>
      </c>
      <c r="D37" s="32">
        <f>C60</f>
        <v>14694</v>
      </c>
      <c r="E37" s="32">
        <f>D60</f>
        <v>14694</v>
      </c>
    </row>
    <row r="38" spans="2:5" s="16" customFormat="1" ht="15.75">
      <c r="B38" s="94" t="s">
        <v>124</v>
      </c>
      <c r="C38" s="96"/>
      <c r="D38" s="96"/>
      <c r="E38" s="96"/>
    </row>
    <row r="39" spans="2:5" ht="15.75">
      <c r="B39" s="37" t="s">
        <v>816</v>
      </c>
      <c r="C39" s="34">
        <v>3288</v>
      </c>
      <c r="D39" s="34"/>
      <c r="E39" s="34"/>
    </row>
    <row r="40" spans="2:5" ht="15.75">
      <c r="B40" s="37"/>
      <c r="C40" s="34"/>
      <c r="D40" s="34"/>
      <c r="E40" s="34"/>
    </row>
    <row r="41" spans="2:5" ht="15.75">
      <c r="B41" s="37" t="s">
        <v>817</v>
      </c>
      <c r="C41" s="34">
        <v>240</v>
      </c>
      <c r="D41" s="34"/>
      <c r="E41" s="34"/>
    </row>
    <row r="42" spans="2:5" ht="15.75">
      <c r="B42" s="37"/>
      <c r="C42" s="34"/>
      <c r="D42" s="34"/>
      <c r="E42" s="34"/>
    </row>
    <row r="43" spans="2:5" ht="15.75">
      <c r="B43" s="97" t="s">
        <v>22</v>
      </c>
      <c r="C43" s="34">
        <v>23</v>
      </c>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3551</v>
      </c>
      <c r="D46" s="42">
        <f>SUM(D39:D44)</f>
        <v>0</v>
      </c>
      <c r="E46" s="42">
        <f>SUM(E39:E44)</f>
        <v>0</v>
      </c>
    </row>
    <row r="47" spans="2:5" ht="15.75">
      <c r="B47" s="43" t="s">
        <v>24</v>
      </c>
      <c r="C47" s="42">
        <f>C37+C46</f>
        <v>17858</v>
      </c>
      <c r="D47" s="42">
        <f>D37+D46</f>
        <v>14694</v>
      </c>
      <c r="E47" s="42">
        <f>E37+E46</f>
        <v>14694</v>
      </c>
    </row>
    <row r="48" spans="2:5" ht="15.75">
      <c r="B48" s="27" t="s">
        <v>25</v>
      </c>
      <c r="C48" s="32"/>
      <c r="D48" s="32"/>
      <c r="E48" s="32"/>
    </row>
    <row r="49" spans="2:5" ht="15.75">
      <c r="B49" s="37" t="s">
        <v>818</v>
      </c>
      <c r="C49" s="34">
        <v>3164</v>
      </c>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3164</v>
      </c>
      <c r="D59" s="42">
        <f>SUM(D49:D57)</f>
        <v>0</v>
      </c>
      <c r="E59" s="42">
        <f>SUM(E49:E57)</f>
        <v>0</v>
      </c>
    </row>
    <row r="60" spans="2:5" ht="15.75">
      <c r="B60" s="27" t="s">
        <v>123</v>
      </c>
      <c r="C60" s="46">
        <f>C47-C59</f>
        <v>14694</v>
      </c>
      <c r="D60" s="46">
        <f>D47-D59</f>
        <v>14694</v>
      </c>
      <c r="E60" s="46">
        <f>E47-E59</f>
        <v>14694</v>
      </c>
    </row>
    <row r="61" spans="2:5" ht="15.75">
      <c r="B61" s="48" t="str">
        <f>CONCATENATE("",E1-2,"/",E1-1," Budget Authority Amount:")</f>
        <v>2012/2013 Budget Authority Amount:</v>
      </c>
      <c r="C61" s="143">
        <v>3164</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v>6</v>
      </c>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1" operator="greaterThan" stopIfTrue="1">
      <formula>$C$61</formula>
    </cfRule>
  </conditionalFormatting>
  <conditionalFormatting sqref="C60 E60 E29 C29">
    <cfRule type="cellIs" priority="16" dxfId="1" operator="lessThan" stopIfTrue="1">
      <formula>0</formula>
    </cfRule>
  </conditionalFormatting>
  <conditionalFormatting sqref="C28">
    <cfRule type="cellIs" priority="17" dxfId="1" operator="greaterThan" stopIfTrue="1">
      <formula>$C$30</formula>
    </cfRule>
  </conditionalFormatting>
  <conditionalFormatting sqref="D28">
    <cfRule type="cellIs" priority="18" dxfId="1" operator="greaterThan" stopIfTrue="1">
      <formula>$D$30</formula>
    </cfRule>
  </conditionalFormatting>
  <conditionalFormatting sqref="D59">
    <cfRule type="cellIs" priority="19" dxfId="1"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tabSelected="1" zoomScalePageLayoutView="0" workbookViewId="0" topLeftCell="A1">
      <selection activeCell="D22" sqref="D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VALVERDE TOWNSHIP</v>
      </c>
      <c r="B1" s="100"/>
      <c r="C1" s="101"/>
      <c r="D1" s="101"/>
      <c r="E1" s="101"/>
      <c r="F1" s="102" t="s">
        <v>337</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19" t="str">
        <f>inputPrYr!B33</f>
        <v>FEMA</v>
      </c>
      <c r="B5" s="620"/>
      <c r="C5" s="619">
        <f>inputPrYr!B34</f>
        <v>0</v>
      </c>
      <c r="D5" s="620"/>
      <c r="E5" s="619">
        <f>inputPrYr!B35</f>
        <v>0</v>
      </c>
      <c r="F5" s="620"/>
      <c r="G5" s="621">
        <f>inputPrYr!B36</f>
        <v>0</v>
      </c>
      <c r="H5" s="620"/>
      <c r="I5" s="621">
        <f>inputPrYr!B37</f>
        <v>0</v>
      </c>
      <c r="J5" s="620"/>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v>2876</v>
      </c>
      <c r="C7" s="114" t="s">
        <v>345</v>
      </c>
      <c r="D7" s="113"/>
      <c r="E7" s="114" t="s">
        <v>345</v>
      </c>
      <c r="F7" s="113"/>
      <c r="G7" s="114" t="s">
        <v>345</v>
      </c>
      <c r="H7" s="113"/>
      <c r="I7" s="114" t="s">
        <v>345</v>
      </c>
      <c r="J7" s="113"/>
      <c r="K7" s="115">
        <f>SUM(B7+D7+F7+H7+J7)</f>
        <v>2876</v>
      </c>
    </row>
    <row r="8" spans="1:11" ht="15.75">
      <c r="A8" s="116" t="s">
        <v>124</v>
      </c>
      <c r="B8" s="117"/>
      <c r="C8" s="116" t="s">
        <v>124</v>
      </c>
      <c r="D8" s="118"/>
      <c r="E8" s="116" t="s">
        <v>124</v>
      </c>
      <c r="F8" s="100"/>
      <c r="G8" s="116" t="s">
        <v>124</v>
      </c>
      <c r="H8" s="101"/>
      <c r="I8" s="116" t="s">
        <v>124</v>
      </c>
      <c r="J8" s="101"/>
      <c r="K8" s="100"/>
    </row>
    <row r="9" spans="1:11" ht="15.75">
      <c r="A9" s="119"/>
      <c r="B9" s="113">
        <v>0</v>
      </c>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2876</v>
      </c>
      <c r="C18" s="116" t="s">
        <v>24</v>
      </c>
      <c r="D18" s="115">
        <f>SUM(D7+D17)</f>
        <v>0</v>
      </c>
      <c r="E18" s="116" t="s">
        <v>24</v>
      </c>
      <c r="F18" s="115">
        <f>SUM(F7+F17)</f>
        <v>0</v>
      </c>
      <c r="G18" s="116" t="s">
        <v>24</v>
      </c>
      <c r="H18" s="115">
        <f>SUM(H7+H17)</f>
        <v>0</v>
      </c>
      <c r="I18" s="116" t="s">
        <v>24</v>
      </c>
      <c r="J18" s="115">
        <f>SUM(J7+J17)</f>
        <v>0</v>
      </c>
      <c r="K18" s="115">
        <f>SUM(B18+D18+F18+H18+J18)</f>
        <v>2876</v>
      </c>
    </row>
    <row r="19" spans="1:11" ht="15.75">
      <c r="A19" s="116" t="s">
        <v>25</v>
      </c>
      <c r="B19" s="117"/>
      <c r="C19" s="116" t="s">
        <v>25</v>
      </c>
      <c r="D19" s="118"/>
      <c r="E19" s="116" t="s">
        <v>25</v>
      </c>
      <c r="F19" s="100"/>
      <c r="G19" s="116" t="s">
        <v>25</v>
      </c>
      <c r="H19" s="101"/>
      <c r="I19" s="116" t="s">
        <v>25</v>
      </c>
      <c r="J19" s="101"/>
      <c r="K19" s="100"/>
    </row>
    <row r="20" spans="1:11" ht="15.75">
      <c r="A20" s="119" t="s">
        <v>820</v>
      </c>
      <c r="B20" s="113">
        <v>1283</v>
      </c>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1283</v>
      </c>
      <c r="C28" s="116" t="s">
        <v>26</v>
      </c>
      <c r="D28" s="115">
        <f>SUM(D20:D27)</f>
        <v>0</v>
      </c>
      <c r="E28" s="116" t="s">
        <v>26</v>
      </c>
      <c r="F28" s="129">
        <f>SUM(F20:F27)</f>
        <v>0</v>
      </c>
      <c r="G28" s="116" t="s">
        <v>26</v>
      </c>
      <c r="H28" s="129">
        <f>SUM(H20:H27)</f>
        <v>0</v>
      </c>
      <c r="I28" s="116" t="s">
        <v>26</v>
      </c>
      <c r="J28" s="115">
        <f>SUM(J20:J27)</f>
        <v>0</v>
      </c>
      <c r="K28" s="115">
        <f>SUM(B28+D28+F28+H28+J28)</f>
        <v>1283</v>
      </c>
    </row>
    <row r="29" spans="1:12" ht="15.75">
      <c r="A29" s="116" t="s">
        <v>346</v>
      </c>
      <c r="B29" s="115">
        <f>SUM(B18-B28)</f>
        <v>1593</v>
      </c>
      <c r="C29" s="116" t="s">
        <v>346</v>
      </c>
      <c r="D29" s="115">
        <f>SUM(D18-D28)</f>
        <v>0</v>
      </c>
      <c r="E29" s="116" t="s">
        <v>346</v>
      </c>
      <c r="F29" s="115">
        <f>SUM(F18-F28)</f>
        <v>0</v>
      </c>
      <c r="G29" s="116" t="s">
        <v>346</v>
      </c>
      <c r="H29" s="115">
        <f>SUM(H18-H28)</f>
        <v>0</v>
      </c>
      <c r="I29" s="116" t="s">
        <v>346</v>
      </c>
      <c r="J29" s="115">
        <f>SUM(J18-J28)</f>
        <v>0</v>
      </c>
      <c r="K29" s="130">
        <f>SUM(B29+D29+F29+H29+J29)</f>
        <v>1593</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1593</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v>7</v>
      </c>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21">
      <selection activeCell="I34" sqref="I3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813</v>
      </c>
      <c r="E2" s="19"/>
    </row>
    <row r="3" spans="1:5" ht="15.75">
      <c r="A3" s="79" t="s">
        <v>236</v>
      </c>
      <c r="B3" s="14"/>
      <c r="C3" s="14"/>
      <c r="D3" s="409" t="s">
        <v>812</v>
      </c>
      <c r="E3" s="19"/>
    </row>
    <row r="4" spans="1:5" ht="15.75">
      <c r="A4" s="14"/>
      <c r="B4" s="14"/>
      <c r="C4" s="14"/>
      <c r="D4" s="14"/>
      <c r="E4" s="14"/>
    </row>
    <row r="5" spans="1:5" ht="15.75">
      <c r="A5" s="17" t="s">
        <v>149</v>
      </c>
      <c r="B5" s="14"/>
      <c r="C5" s="14"/>
      <c r="D5" s="332">
        <v>2014</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570" t="s">
        <v>162</v>
      </c>
      <c r="B10" s="571"/>
      <c r="C10" s="571"/>
      <c r="D10" s="571"/>
      <c r="E10" s="571"/>
    </row>
    <row r="11" spans="1:5" ht="15.75">
      <c r="A11" s="79"/>
      <c r="B11" s="14"/>
      <c r="C11" s="14"/>
      <c r="D11" s="14"/>
      <c r="E11" s="14"/>
    </row>
    <row r="12" spans="1:5" ht="15.75">
      <c r="A12" s="333" t="s">
        <v>150</v>
      </c>
      <c r="B12" s="319"/>
      <c r="C12" s="14"/>
      <c r="D12" s="49"/>
      <c r="E12" s="334"/>
    </row>
    <row r="13" spans="1:5" ht="15.75">
      <c r="A13" s="335" t="str">
        <f>CONCATENATE("the ",D5-1," Budget, Certificate Page:")</f>
        <v>the 2013 Budget, Certificate Page:</v>
      </c>
      <c r="B13" s="336"/>
      <c r="C13" s="49"/>
      <c r="D13" s="14"/>
      <c r="E13" s="14"/>
    </row>
    <row r="14" spans="1:5" ht="15.75">
      <c r="A14" s="335" t="s">
        <v>327</v>
      </c>
      <c r="B14" s="336"/>
      <c r="C14" s="49"/>
      <c r="D14" s="337">
        <f>$D$5-1</f>
        <v>2013</v>
      </c>
      <c r="E14" s="338">
        <f>$D$5-2</f>
        <v>2012</v>
      </c>
    </row>
    <row r="15" spans="1:5" ht="15.75">
      <c r="A15" s="22" t="s">
        <v>283</v>
      </c>
      <c r="B15" s="14"/>
      <c r="C15" s="339" t="s">
        <v>282</v>
      </c>
      <c r="D15" s="340" t="s">
        <v>355</v>
      </c>
      <c r="E15" s="341" t="s">
        <v>16</v>
      </c>
    </row>
    <row r="16" spans="1:5" ht="15.75">
      <c r="A16" s="14"/>
      <c r="B16" s="83" t="s">
        <v>284</v>
      </c>
      <c r="C16" s="172" t="s">
        <v>285</v>
      </c>
      <c r="D16" s="200">
        <v>14336</v>
      </c>
      <c r="E16" s="200">
        <v>13033</v>
      </c>
    </row>
    <row r="17" spans="1:5" ht="15.75">
      <c r="A17" s="14"/>
      <c r="B17" s="83" t="s">
        <v>311</v>
      </c>
      <c r="C17" s="172" t="s">
        <v>156</v>
      </c>
      <c r="D17" s="200"/>
      <c r="E17" s="200"/>
    </row>
    <row r="18" spans="1:5" ht="15.75">
      <c r="A18" s="14"/>
      <c r="B18" s="83" t="s">
        <v>286</v>
      </c>
      <c r="C18" s="192" t="s">
        <v>326</v>
      </c>
      <c r="D18" s="200">
        <v>100718</v>
      </c>
      <c r="E18" s="200">
        <v>91674</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104707</v>
      </c>
    </row>
    <row r="26" spans="1:5" ht="15.75">
      <c r="A26" s="19"/>
      <c r="B26" s="19"/>
      <c r="C26" s="19"/>
      <c r="D26" s="24"/>
      <c r="E26" s="151"/>
    </row>
    <row r="27" spans="1:5" ht="15.75">
      <c r="A27" s="14" t="s">
        <v>145</v>
      </c>
      <c r="B27" s="14"/>
      <c r="C27" s="14"/>
      <c r="D27" s="14"/>
      <c r="E27" s="14"/>
    </row>
    <row r="28" spans="1:5" ht="15.75">
      <c r="A28" s="14"/>
      <c r="B28" s="241" t="s">
        <v>814</v>
      </c>
      <c r="C28" s="14"/>
      <c r="D28" s="36"/>
      <c r="E28" s="19"/>
    </row>
    <row r="29" spans="1:5" ht="15.75">
      <c r="A29" s="14"/>
      <c r="B29" s="241" t="s">
        <v>815</v>
      </c>
      <c r="C29" s="14"/>
      <c r="D29" s="36"/>
      <c r="E29" s="19"/>
    </row>
    <row r="30" spans="1:5" ht="15.75">
      <c r="A30" s="342" t="str">
        <f>CONCATENATE("Total Expenditures for ",D5-1,"")</f>
        <v>Total Expenditures for 2013</v>
      </c>
      <c r="B30" s="345"/>
      <c r="C30" s="283"/>
      <c r="D30" s="169">
        <f>SUM(D16:D24,D28:D29)</f>
        <v>115054</v>
      </c>
      <c r="E30" s="14"/>
    </row>
    <row r="31" spans="1:5" ht="15.75">
      <c r="A31" s="14"/>
      <c r="B31" s="14"/>
      <c r="C31" s="14"/>
      <c r="D31" s="14"/>
      <c r="E31" s="14"/>
    </row>
    <row r="32" spans="1:5" ht="15.75">
      <c r="A32" s="300" t="s">
        <v>349</v>
      </c>
      <c r="B32" s="19"/>
      <c r="C32" s="14"/>
      <c r="D32" s="14"/>
      <c r="E32" s="14"/>
    </row>
    <row r="33" spans="1:5" ht="15.75">
      <c r="A33" s="346">
        <v>1</v>
      </c>
      <c r="B33" s="241" t="s">
        <v>819</v>
      </c>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5.531</v>
      </c>
      <c r="E41" s="14"/>
    </row>
    <row r="42" spans="1:5" ht="15.75">
      <c r="A42" s="14"/>
      <c r="B42" s="96" t="str">
        <f t="shared" si="0"/>
        <v>Debt Service</v>
      </c>
      <c r="C42" s="14"/>
      <c r="D42" s="348"/>
      <c r="E42" s="14"/>
    </row>
    <row r="43" spans="1:5" ht="15.75">
      <c r="A43" s="14"/>
      <c r="B43" s="96" t="str">
        <f t="shared" si="0"/>
        <v>Road</v>
      </c>
      <c r="C43" s="14"/>
      <c r="D43" s="348">
        <v>34.495</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40.025999999999996</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95594</v>
      </c>
    </row>
    <row r="53" spans="1:5" ht="15.75">
      <c r="A53" s="353" t="str">
        <f>CONCATENATE("Assessed Valuation (",D5-2," budget column)")</f>
        <v>Assessed Valuation (2012 budget column)</v>
      </c>
      <c r="B53" s="354"/>
      <c r="C53" s="291"/>
      <c r="D53" s="28"/>
      <c r="E53" s="200">
        <v>2388259</v>
      </c>
    </row>
    <row r="54" spans="1:5" ht="15.75">
      <c r="A54" s="300"/>
      <c r="B54" s="19"/>
      <c r="C54" s="19"/>
      <c r="D54" s="19"/>
      <c r="E54" s="310"/>
    </row>
    <row r="55" spans="1:5" ht="15.75">
      <c r="A55" s="14"/>
      <c r="B55" s="14"/>
      <c r="C55" s="14"/>
      <c r="D55" s="14"/>
      <c r="E55" s="55"/>
    </row>
    <row r="56" spans="1:5" ht="15.75">
      <c r="A56" s="319" t="s">
        <v>209</v>
      </c>
      <c r="B56" s="319"/>
      <c r="C56" s="140"/>
      <c r="D56" s="355">
        <f>D5-3</f>
        <v>2011</v>
      </c>
      <c r="E56" s="355">
        <f>D5-2</f>
        <v>2012</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VALVERDE TOWNSHIP</v>
      </c>
      <c r="C4" s="626"/>
      <c r="D4" s="626"/>
      <c r="E4" s="626"/>
      <c r="F4" s="626"/>
      <c r="G4" s="626"/>
      <c r="H4" s="626"/>
      <c r="I4" s="626"/>
    </row>
    <row r="5" spans="2:9" ht="15.75">
      <c r="B5" s="626" t="str">
        <f>inputPrYr!D3</f>
        <v>SUMNER COUNTY</v>
      </c>
      <c r="C5" s="626"/>
      <c r="D5" s="626"/>
      <c r="E5" s="626"/>
      <c r="F5" s="626"/>
      <c r="G5" s="626"/>
      <c r="H5" s="626"/>
      <c r="I5" s="626"/>
    </row>
    <row r="6" spans="2:9" ht="15.75">
      <c r="B6" s="625" t="str">
        <f>CONCATENATE("will meet on ",inputBudSum!B5," at ",inputBudSum!B7," at ",inputBudSum!B9," for the purpose of hearing and")</f>
        <v>will meet on August 27, 2013 at 7:00 P.M. at Slate Valley Baptist Church, 801 S. Oxford Rd. for the purpose of hearing and</v>
      </c>
      <c r="C6" s="625"/>
      <c r="D6" s="625"/>
      <c r="E6" s="625"/>
      <c r="F6" s="625"/>
      <c r="G6" s="625"/>
      <c r="H6" s="625"/>
      <c r="I6" s="625"/>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Slate Valley Baptist Church, 801 S. Oxford Rd.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219</v>
      </c>
      <c r="H15" s="623"/>
      <c r="I15" s="167" t="s">
        <v>41</v>
      </c>
      <c r="J15" s="160"/>
    </row>
    <row r="16" spans="2:10" ht="15.75">
      <c r="B16" s="25" t="s">
        <v>297</v>
      </c>
      <c r="C16" s="26" t="s">
        <v>42</v>
      </c>
      <c r="D16" s="26" t="s">
        <v>43</v>
      </c>
      <c r="E16" s="26" t="s">
        <v>42</v>
      </c>
      <c r="F16" s="26" t="s">
        <v>43</v>
      </c>
      <c r="G16" s="26" t="s">
        <v>743</v>
      </c>
      <c r="H16" s="624"/>
      <c r="I16" s="26" t="s">
        <v>43</v>
      </c>
      <c r="J16" s="160"/>
    </row>
    <row r="17" spans="2:10" ht="15.75">
      <c r="B17" s="96" t="str">
        <f>inputPrYr!B16</f>
        <v>General</v>
      </c>
      <c r="C17" s="67">
        <f>IF(gen!$C$50&lt;&gt;0,gen!$C$50,"  ")</f>
        <v>13976</v>
      </c>
      <c r="D17" s="549">
        <f>IF(inputPrYr!D41&gt;0,inputPrYr!D41,"  ")</f>
        <v>5.531</v>
      </c>
      <c r="E17" s="32">
        <f>IF(gen!$D$50&lt;&gt;0,gen!$D$50,"  ")</f>
        <v>14336</v>
      </c>
      <c r="F17" s="253">
        <f>IF(inputOth!D17&gt;0,inputOth!D17,"  ")</f>
        <v>5.005</v>
      </c>
      <c r="G17" s="32">
        <f>IF(gen!$E$50&lt;&gt;0,gen!$E$50,"  ")</f>
        <v>14336</v>
      </c>
      <c r="H17" s="32">
        <f>IF(gen!$E$57&lt;&gt;0,gen!$E$57," ")</f>
        <v>13278.53</v>
      </c>
      <c r="I17" s="551">
        <f>IF(gen!E57&gt;0,ROUND(H17/$G$35*1000,3)," ")</f>
        <v>4.824</v>
      </c>
      <c r="J17" s="160"/>
    </row>
    <row r="18" spans="2:10" ht="15.75">
      <c r="B18" s="96" t="s">
        <v>289</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91226</v>
      </c>
      <c r="D19" s="549">
        <f>IF(inputPrYr!D43&gt;0,inputPrYr!D43,"  ")</f>
        <v>34.495</v>
      </c>
      <c r="E19" s="32">
        <f>IF(road!$D$43&lt;&gt;0,road!$D$43,"  ")</f>
        <v>100718</v>
      </c>
      <c r="F19" s="253">
        <f>IF(inputOth!D19&gt;0,inputOth!D19,"  ")</f>
        <v>35.203</v>
      </c>
      <c r="G19" s="32">
        <f>IF(road!$E$43&lt;&gt;0,road!$E$43,"  ")</f>
        <v>106760</v>
      </c>
      <c r="H19" s="32">
        <f>IF(road!$E$50&lt;&gt;0,road!$E$50,"  ")</f>
        <v>97400.65</v>
      </c>
      <c r="I19" s="551">
        <f>IF(road!E50&gt;0,ROUND(H19/$G$35*1000,3)," ")</f>
        <v>35.384</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Fire</v>
      </c>
      <c r="C26" s="32" t="str">
        <f>IF('fire-firemansreliefpage6'!$C$28&lt;&gt;0,'fire-firemansreliefpage6'!$C$28,"  ")</f>
        <v>  </v>
      </c>
      <c r="D26" s="168"/>
      <c r="E26" s="32" t="str">
        <f>IF('fire-firemansreliefpage6'!$D$28&lt;&gt;0,'fire-firemansreliefpage6'!$D$28,"  ")</f>
        <v>  </v>
      </c>
      <c r="F26" s="253"/>
      <c r="G26" s="32" t="str">
        <f>IF('fire-firemansreliefpage6'!$E$28&lt;&gt;0,'fire-firemansreliefpage6'!$E$28,"  ")</f>
        <v>  </v>
      </c>
      <c r="H26" s="32"/>
      <c r="I26" s="253"/>
    </row>
    <row r="27" spans="2:9" ht="15.75">
      <c r="B27" s="96" t="str">
        <f>IF(inputPrYr!$B29&gt;"  ",inputPrYr!$B29,"  ")</f>
        <v>Firemens Relief</v>
      </c>
      <c r="C27" s="32">
        <f>IF('fire-firemansreliefpage6'!$C$59&lt;&gt;0,'fire-firemansreliefpage6'!$C$59,"  ")</f>
        <v>3164</v>
      </c>
      <c r="D27" s="168"/>
      <c r="E27" s="32" t="str">
        <f>IF('fire-firemansreliefpage6'!$D$59&lt;&gt;0,'fire-firemansreliefpage6'!$D$59,"  ")</f>
        <v>  </v>
      </c>
      <c r="F27" s="253"/>
      <c r="G27" s="32" t="str">
        <f>IF('fire-firemansreliefpage6'!$E$59&lt;&gt;0,'fire-firemansreliefpage6'!$E$59,"  ")</f>
        <v>  </v>
      </c>
      <c r="H27" s="32"/>
      <c r="I27" s="253"/>
    </row>
    <row r="28" spans="2:9" ht="15.75">
      <c r="B28" s="96" t="str">
        <f>IF((inputPrYr!$B33&gt;"  "),(nonbudpage7!$A3),"  ")</f>
        <v>Non-Budgeted Funds</v>
      </c>
      <c r="C28" s="67">
        <f>IF((nonbudpage7!$K$28)&lt;&gt;0,(nonbudpage7!$K$28),"  ")</f>
        <v>1283</v>
      </c>
      <c r="D28" s="168"/>
      <c r="E28" s="32"/>
      <c r="F28" s="168"/>
      <c r="G28" s="32"/>
      <c r="H28" s="32"/>
      <c r="I28" s="168"/>
    </row>
    <row r="29" spans="2:9" ht="16.5" thickBot="1">
      <c r="B29" s="83" t="s">
        <v>299</v>
      </c>
      <c r="C29" s="530">
        <f>IF(road!C64&lt;&gt;0,road!C64,"  ")</f>
        <v>71299</v>
      </c>
      <c r="D29" s="531"/>
      <c r="E29" s="550"/>
      <c r="F29" s="531"/>
      <c r="G29" s="550"/>
      <c r="H29" s="550"/>
      <c r="I29" s="531"/>
    </row>
    <row r="30" spans="2:9" ht="15.75">
      <c r="B30" s="83" t="s">
        <v>300</v>
      </c>
      <c r="C30" s="552">
        <f aca="true" t="shared" si="0" ref="C30:I30">SUM(C17:C29)</f>
        <v>180948</v>
      </c>
      <c r="D30" s="529">
        <f t="shared" si="0"/>
        <v>40.025999999999996</v>
      </c>
      <c r="E30" s="552">
        <f t="shared" si="0"/>
        <v>115054</v>
      </c>
      <c r="F30" s="529">
        <f t="shared" si="0"/>
        <v>40.208000000000006</v>
      </c>
      <c r="G30" s="552">
        <f t="shared" si="0"/>
        <v>121096</v>
      </c>
      <c r="H30" s="552">
        <f t="shared" si="0"/>
        <v>110679.18</v>
      </c>
      <c r="I30" s="555">
        <f t="shared" si="0"/>
        <v>40.208</v>
      </c>
    </row>
    <row r="31" spans="2:9" ht="15.75">
      <c r="B31" s="83" t="s">
        <v>44</v>
      </c>
      <c r="C31" s="32">
        <f>transfer!C29</f>
        <v>0</v>
      </c>
      <c r="D31" s="14"/>
      <c r="E31" s="32">
        <f>transfer!D29</f>
        <v>0</v>
      </c>
      <c r="F31" s="62"/>
      <c r="G31" s="32">
        <f>transfer!E29</f>
        <v>0</v>
      </c>
      <c r="H31" s="14"/>
      <c r="I31" s="14"/>
    </row>
    <row r="32" spans="2:9" ht="16.5" thickBot="1">
      <c r="B32" s="83" t="s">
        <v>45</v>
      </c>
      <c r="C32" s="553">
        <f>C30-C31</f>
        <v>180948</v>
      </c>
      <c r="D32" s="14"/>
      <c r="E32" s="553">
        <f>E30-E31</f>
        <v>115054</v>
      </c>
      <c r="F32" s="14"/>
      <c r="G32" s="553">
        <f>G30-G31</f>
        <v>121096</v>
      </c>
      <c r="H32" s="14"/>
      <c r="I32" s="14"/>
    </row>
    <row r="33" spans="2:9" ht="16.5" thickTop="1">
      <c r="B33" s="83" t="s">
        <v>46</v>
      </c>
      <c r="C33" s="554">
        <f>inputPrYr!E52</f>
        <v>95594</v>
      </c>
      <c r="D33" s="62"/>
      <c r="E33" s="554">
        <f>inputPrYr!E25</f>
        <v>104707</v>
      </c>
      <c r="F33" s="14"/>
      <c r="G33" s="545" t="s">
        <v>301</v>
      </c>
      <c r="H33" s="14"/>
      <c r="I33" s="14"/>
    </row>
    <row r="34" spans="2:9" ht="15.75">
      <c r="B34" s="279" t="s">
        <v>47</v>
      </c>
      <c r="C34" s="55"/>
      <c r="D34" s="62"/>
      <c r="E34" s="55"/>
      <c r="F34" s="62"/>
      <c r="G34" s="14"/>
      <c r="H34" s="14"/>
      <c r="I34" s="14"/>
    </row>
    <row r="35" spans="2:9" ht="15.75">
      <c r="B35" s="563" t="s">
        <v>48</v>
      </c>
      <c r="C35" s="31">
        <f>inputPrYr!E53</f>
        <v>2388259</v>
      </c>
      <c r="D35" s="14"/>
      <c r="E35" s="32">
        <f>inputOth!E28</f>
        <v>2604162</v>
      </c>
      <c r="F35" s="14"/>
      <c r="G35" s="32">
        <f>inputOth!E7</f>
        <v>2752708</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793</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D22" sqref="D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VALVERDE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v>13279</v>
      </c>
      <c r="D6" s="142">
        <f aca="true" t="shared" si="0" ref="D6:D14">IF(C6&gt;0,C6/$D$20,"")</f>
        <v>4.823976971040881</v>
      </c>
      <c r="E6" s="143">
        <f aca="true" t="shared" si="1" ref="E6:E14">IF(C6&gt;0,ROUND(D6*$D$24,0),"")</f>
        <v>149</v>
      </c>
      <c r="F6" s="140"/>
    </row>
    <row r="7" spans="1:6" ht="15.75">
      <c r="A7" s="14"/>
      <c r="B7" s="83" t="str">
        <f>inputPrYr!B17</f>
        <v>Debt Service</v>
      </c>
      <c r="C7" s="141"/>
      <c r="D7" s="142">
        <f t="shared" si="0"/>
      </c>
      <c r="E7" s="143">
        <f t="shared" si="1"/>
      </c>
      <c r="F7" s="140"/>
    </row>
    <row r="8" spans="1:6" ht="15.75">
      <c r="A8" s="14"/>
      <c r="B8" s="83" t="str">
        <f>inputPrYr!B18</f>
        <v>Road</v>
      </c>
      <c r="C8" s="141">
        <v>97401</v>
      </c>
      <c r="D8" s="142">
        <f t="shared" si="0"/>
        <v>35.38370215802039</v>
      </c>
      <c r="E8" s="143">
        <f t="shared" si="1"/>
        <v>1090</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110680</v>
      </c>
      <c r="D15" s="146">
        <f>SUM(D6:D14)</f>
        <v>40.20767912906127</v>
      </c>
      <c r="E15" s="145">
        <f>SUM(E6:E14)</f>
        <v>1239</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2752708</v>
      </c>
      <c r="E18" s="14"/>
      <c r="F18" s="140"/>
    </row>
    <row r="19" spans="1:6" ht="15.75">
      <c r="A19" s="14"/>
      <c r="B19" s="14"/>
      <c r="C19" s="14"/>
      <c r="D19" s="14"/>
      <c r="E19" s="14"/>
      <c r="F19" s="140"/>
    </row>
    <row r="20" spans="1:6" ht="15.75">
      <c r="A20" s="14"/>
      <c r="B20" s="629" t="s">
        <v>378</v>
      </c>
      <c r="C20" s="629"/>
      <c r="D20" s="148">
        <f>IF(D18&gt;0,(D18*0.001),"")</f>
        <v>2752.708</v>
      </c>
      <c r="E20" s="14"/>
      <c r="F20" s="140"/>
    </row>
    <row r="21" spans="1:6" ht="15.75">
      <c r="A21" s="14"/>
      <c r="B21" s="48"/>
      <c r="C21" s="48"/>
      <c r="D21" s="149"/>
      <c r="E21" s="14"/>
      <c r="F21" s="140"/>
    </row>
    <row r="22" spans="1:6" ht="15.75">
      <c r="A22" s="627" t="s">
        <v>380</v>
      </c>
      <c r="B22" s="582"/>
      <c r="C22" s="582"/>
      <c r="D22" s="150">
        <f>inputOth!E13</f>
        <v>30794</v>
      </c>
      <c r="E22" s="151"/>
      <c r="F22" s="151"/>
    </row>
    <row r="23" spans="1:6" ht="15.75">
      <c r="A23" s="151"/>
      <c r="B23" s="151"/>
      <c r="C23" s="151"/>
      <c r="D23" s="152"/>
      <c r="E23" s="151"/>
      <c r="F23" s="151"/>
    </row>
    <row r="24" spans="1:6" ht="15.75">
      <c r="A24" s="151"/>
      <c r="B24" s="627" t="s">
        <v>381</v>
      </c>
      <c r="C24" s="628"/>
      <c r="D24" s="153">
        <f>IF(D22&gt;0,(D22*0.001),"")</f>
        <v>30.794</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9</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D22" sqref="D22"/>
    </sheetView>
  </sheetViews>
  <sheetFormatPr defaultColWidth="8.796875" defaultRowHeight="15.75"/>
  <sheetData>
    <row r="1" spans="1:7" ht="15.75">
      <c r="A1" s="633" t="s">
        <v>133</v>
      </c>
      <c r="B1" s="633"/>
      <c r="C1" s="633"/>
      <c r="D1" s="633"/>
      <c r="E1" s="633"/>
      <c r="F1" s="633"/>
      <c r="G1" s="633"/>
    </row>
    <row r="2" ht="15.75">
      <c r="A2" s="1"/>
    </row>
    <row r="3" spans="1:7" ht="15.75">
      <c r="A3" s="634" t="s">
        <v>821</v>
      </c>
      <c r="B3" s="634"/>
      <c r="C3" s="634"/>
      <c r="D3" s="634"/>
      <c r="E3" s="634"/>
      <c r="F3" s="634"/>
      <c r="G3" s="634"/>
    </row>
    <row r="4" ht="15.75">
      <c r="A4" s="2"/>
    </row>
    <row r="5" ht="15.75">
      <c r="A5" s="2"/>
    </row>
    <row r="6" spans="1:9" ht="15.75">
      <c r="A6" s="8" t="str">
        <f>CONCATENATE("A resolution expressing the property taxation policy of the Board of ",(inputPrYr!D2)," ")</f>
        <v>A resolution expressing the property taxation policy of the Board of VALVERDE TOWNSHIP </v>
      </c>
      <c r="I6">
        <f>CONCATENATE(I7)</f>
      </c>
    </row>
    <row r="7" spans="1:7" ht="15.75">
      <c r="A7" s="635" t="str">
        <f>CONCATENATE("   with respect to financing the ",inputPrYr!D5," annual budget for ",(inputPrYr!D2)," , ",(inputPrYr!D3)," , Kansas.")</f>
        <v>   with respect to financing the 2014 annual budget for VALVERDE TOWNSHIP , SUMNER COUNTY , Kansas.</v>
      </c>
      <c r="B7" s="631"/>
      <c r="C7" s="631"/>
      <c r="D7" s="631"/>
      <c r="E7" s="631"/>
      <c r="F7" s="631"/>
      <c r="G7" s="631"/>
    </row>
    <row r="8" spans="1:7" ht="15.75">
      <c r="A8" s="631"/>
      <c r="B8" s="631"/>
      <c r="C8" s="631"/>
      <c r="D8" s="631"/>
      <c r="E8" s="631"/>
      <c r="F8" s="631"/>
      <c r="G8" s="631"/>
    </row>
    <row r="9" ht="15.75">
      <c r="A9" s="1"/>
    </row>
    <row r="10" ht="15.75">
      <c r="A10" s="9" t="s">
        <v>134</v>
      </c>
    </row>
    <row r="11" ht="15.75">
      <c r="A11" s="7" t="str">
        <f>CONCATENATE("to finance the ",inputPrYr!D5," ",(inputPrYr!D2)," budget exceed the amount levied to finance the ",inputPrYr!D5-1,"")</f>
        <v>to finance the 2014 VALVERDE TOWNSHIP budget exceed the amount levied to finance the 2013</v>
      </c>
    </row>
    <row r="12" spans="1:7" ht="15.75">
      <c r="A12" s="630" t="str">
        <f>CONCATENATE((inputPrYr!D2)," Township budget, except with regard to revenue produced and attributable to the taxation of 1) new improvements to real property; 2) increased personal property valuation, other than increased")</f>
        <v>VALVERDE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30" t="s">
        <v>139</v>
      </c>
      <c r="B14" s="631"/>
      <c r="C14" s="631"/>
      <c r="D14" s="631"/>
      <c r="E14" s="631"/>
      <c r="F14" s="631"/>
      <c r="G14" s="631"/>
    </row>
    <row r="15" spans="1:7" ht="15.75">
      <c r="A15" s="631"/>
      <c r="B15" s="631"/>
      <c r="C15" s="631"/>
      <c r="D15" s="631"/>
      <c r="E15" s="631"/>
      <c r="F15" s="631"/>
      <c r="G15" s="631"/>
    </row>
    <row r="16" spans="1:7" ht="15.75">
      <c r="A16" s="632"/>
      <c r="B16" s="632"/>
      <c r="C16" s="632"/>
      <c r="D16" s="632"/>
      <c r="E16" s="632"/>
      <c r="F16" s="632"/>
      <c r="G16" s="632"/>
    </row>
    <row r="17" ht="15.75">
      <c r="A17" s="2"/>
    </row>
    <row r="18" spans="1:7" ht="15.75">
      <c r="A18" s="636" t="s">
        <v>135</v>
      </c>
      <c r="B18" s="631"/>
      <c r="C18" s="631"/>
      <c r="D18" s="631"/>
      <c r="E18" s="631"/>
      <c r="F18" s="631"/>
      <c r="G18" s="631"/>
    </row>
    <row r="19" spans="1:7" ht="15.75">
      <c r="A19" s="631"/>
      <c r="B19" s="631"/>
      <c r="C19" s="631"/>
      <c r="D19" s="631"/>
      <c r="E19" s="631"/>
      <c r="F19" s="631"/>
      <c r="G19" s="631"/>
    </row>
    <row r="20" ht="15.75">
      <c r="A20" s="2"/>
    </row>
    <row r="21" spans="1:7" ht="15.75">
      <c r="A21" s="636" t="str">
        <f>CONCATENATE("Whereas, ",(inputPrYr!D2)," provides essential services to protect the safety and well being of the citizens of the township; and")</f>
        <v>Whereas, VALVERDE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4"/>
    </row>
    <row r="24" ht="15.75">
      <c r="A24" s="3" t="s">
        <v>136</v>
      </c>
    </row>
    <row r="25" ht="15.75">
      <c r="A25" s="4"/>
    </row>
    <row r="26" spans="1:7" ht="15.75">
      <c r="A26" s="636" t="str">
        <f>CONCATENATE("NOW, THEREFORE, BE IT RESOLVED by the Board of ",(inputPrYr!D2)," of ",(inputPrYr!D3),", Kansas that is our desire to notify the public of increased property taxes to finance the ",inputPrYr!D5," ",(inputPrYr!D2),"  budget as defined above.")</f>
        <v>NOW, THEREFORE, BE IT RESOLVED by the Board of VALVERDE TOWNSHIP of SUMNER COUNTY, Kansas that is our desire to notify the public of increased property taxes to finance the 2014 VALVERDE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4"/>
    </row>
    <row r="30" spans="1:7" ht="15.75">
      <c r="A30" s="639" t="str">
        <f>CONCATENATE("Adopted this ____26_____ day of ___July________, ",inputPrYr!D5-1," by the ",(inputPrYr!D2)," Board, ",(inputPrYr!D3),", Kansas.")</f>
        <v>Adopted this ____26_____ day of ___July________, 2013 by the VALVERDE TOWNSHIP Board, SUMNER COUNTY, Kansas.</v>
      </c>
      <c r="B30" s="631"/>
      <c r="C30" s="631"/>
      <c r="D30" s="631"/>
      <c r="E30" s="631"/>
      <c r="F30" s="631"/>
      <c r="G30" s="631"/>
    </row>
    <row r="31" spans="1:7" ht="15.75">
      <c r="A31" s="631"/>
      <c r="B31" s="631"/>
      <c r="C31" s="631"/>
      <c r="D31" s="631"/>
      <c r="E31" s="631"/>
      <c r="F31" s="631"/>
      <c r="G31" s="631"/>
    </row>
    <row r="32" ht="15.75">
      <c r="A32" s="4"/>
    </row>
    <row r="33" spans="4:7" ht="15.75">
      <c r="D33" s="637" t="str">
        <f>CONCATENATE((inputPrYr!D2)," Board")</f>
        <v>VALVERDE TOWNSHIP Board</v>
      </c>
      <c r="E33" s="637"/>
      <c r="F33" s="637"/>
      <c r="G33" s="637"/>
    </row>
    <row r="35" spans="4:7" ht="15.75">
      <c r="D35" s="638" t="s">
        <v>137</v>
      </c>
      <c r="E35" s="638"/>
      <c r="F35" s="638"/>
      <c r="G35" s="638"/>
    </row>
    <row r="36" spans="1:7" ht="15.75">
      <c r="A36" s="5"/>
      <c r="D36" s="638" t="s">
        <v>141</v>
      </c>
      <c r="E36" s="638"/>
      <c r="F36" s="638"/>
      <c r="G36" s="638"/>
    </row>
    <row r="37" spans="4:7" ht="15.75">
      <c r="D37" s="638"/>
      <c r="E37" s="638"/>
      <c r="F37" s="638"/>
      <c r="G37" s="638"/>
    </row>
    <row r="38" spans="4:7" ht="15.75">
      <c r="D38" s="638" t="s">
        <v>137</v>
      </c>
      <c r="E38" s="638"/>
      <c r="F38" s="638"/>
      <c r="G38" s="638"/>
    </row>
    <row r="39" spans="1:7" ht="15.75">
      <c r="A39" s="4"/>
      <c r="D39" s="638" t="s">
        <v>142</v>
      </c>
      <c r="E39" s="638"/>
      <c r="F39" s="638"/>
      <c r="G39" s="638"/>
    </row>
    <row r="40" spans="4:7" ht="15.75">
      <c r="D40" s="638"/>
      <c r="E40" s="638"/>
      <c r="F40" s="638"/>
      <c r="G40" s="638"/>
    </row>
    <row r="41" spans="4:7" ht="15.75">
      <c r="D41" s="638" t="s">
        <v>140</v>
      </c>
      <c r="E41" s="638"/>
      <c r="F41" s="638"/>
      <c r="G41" s="638"/>
    </row>
    <row r="42" spans="1:7" ht="15.75">
      <c r="A42" s="4"/>
      <c r="D42" s="638" t="s">
        <v>143</v>
      </c>
      <c r="E42" s="638"/>
      <c r="F42" s="638"/>
      <c r="G42" s="638"/>
    </row>
    <row r="43" ht="15.75">
      <c r="A43" s="6"/>
    </row>
    <row r="44" ht="15.75">
      <c r="A44" s="6"/>
    </row>
    <row r="45" ht="15.75">
      <c r="A45" s="6" t="s">
        <v>138</v>
      </c>
    </row>
    <row r="50" spans="3:4" ht="15.75">
      <c r="C50" s="10" t="s">
        <v>9</v>
      </c>
      <c r="D50" s="11">
        <v>10</v>
      </c>
    </row>
  </sheetData>
  <sheetProtection sheet="1"/>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2012 'total expenditures' exceed your 2012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2014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2012 budget was amended, did you</v>
      </c>
    </row>
    <row r="26" ht="15.75">
      <c r="A26" s="379" t="s">
        <v>407</v>
      </c>
    </row>
    <row r="27" ht="15.75">
      <c r="A27" s="379"/>
    </row>
    <row r="28" ht="15.75">
      <c r="A28" s="379" t="str">
        <f>CONCATENATE("Next, look to see if any of your ",inputPrYr!D5-2," expenditures can be")</f>
        <v>Next, look to see if any of your 2012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2012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2012 financial records have been closed?</v>
      </c>
    </row>
    <row r="76" ht="15.75">
      <c r="A76" s="379" t="s">
        <v>442</v>
      </c>
    </row>
    <row r="77" ht="15.75">
      <c r="A77" s="379" t="str">
        <f>CONCATENATE("(i.e. an audit for ",inputPrYr!D5-2," has been completed, or the ",inputPrYr!D5)</f>
        <v>(i.e. an audit for 2012 has been completed, or the 2014</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2012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2014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2014 'total expenditures' exceed your 2014</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0" t="s">
        <v>649</v>
      </c>
      <c r="C6" s="641"/>
      <c r="D6" s="641"/>
      <c r="E6" s="641"/>
      <c r="F6" s="641"/>
      <c r="G6" s="641"/>
      <c r="H6" s="641"/>
      <c r="I6" s="641"/>
      <c r="J6" s="641"/>
      <c r="K6" s="641"/>
      <c r="L6" s="446"/>
    </row>
    <row r="7" spans="1:12" ht="40.5" customHeight="1">
      <c r="A7" s="443"/>
      <c r="B7" s="642" t="s">
        <v>650</v>
      </c>
      <c r="C7" s="643"/>
      <c r="D7" s="643"/>
      <c r="E7" s="643"/>
      <c r="F7" s="643"/>
      <c r="G7" s="643"/>
      <c r="H7" s="643"/>
      <c r="I7" s="643"/>
      <c r="J7" s="643"/>
      <c r="K7" s="643"/>
      <c r="L7" s="443"/>
    </row>
    <row r="8" spans="1:12" ht="14.25">
      <c r="A8" s="443"/>
      <c r="B8" s="644" t="s">
        <v>651</v>
      </c>
      <c r="C8" s="644"/>
      <c r="D8" s="644"/>
      <c r="E8" s="644"/>
      <c r="F8" s="644"/>
      <c r="G8" s="644"/>
      <c r="H8" s="644"/>
      <c r="I8" s="644"/>
      <c r="J8" s="644"/>
      <c r="K8" s="644"/>
      <c r="L8" s="443"/>
    </row>
    <row r="9" spans="1:12" ht="14.25">
      <c r="A9" s="443"/>
      <c r="L9" s="443"/>
    </row>
    <row r="10" spans="1:12" ht="14.25">
      <c r="A10" s="443"/>
      <c r="B10" s="644" t="s">
        <v>652</v>
      </c>
      <c r="C10" s="644"/>
      <c r="D10" s="644"/>
      <c r="E10" s="644"/>
      <c r="F10" s="644"/>
      <c r="G10" s="644"/>
      <c r="H10" s="644"/>
      <c r="I10" s="644"/>
      <c r="J10" s="644"/>
      <c r="K10" s="644"/>
      <c r="L10" s="443"/>
    </row>
    <row r="11" spans="1:12" ht="14.25">
      <c r="A11" s="443"/>
      <c r="B11" s="447"/>
      <c r="C11" s="447"/>
      <c r="D11" s="447"/>
      <c r="E11" s="447"/>
      <c r="F11" s="447"/>
      <c r="G11" s="447"/>
      <c r="H11" s="447"/>
      <c r="I11" s="447"/>
      <c r="J11" s="447"/>
      <c r="K11" s="447"/>
      <c r="L11" s="443"/>
    </row>
    <row r="12" spans="1:12" ht="32.25" customHeight="1">
      <c r="A12" s="443"/>
      <c r="B12" s="645" t="s">
        <v>653</v>
      </c>
      <c r="C12" s="645"/>
      <c r="D12" s="645"/>
      <c r="E12" s="645"/>
      <c r="F12" s="645"/>
      <c r="G12" s="645"/>
      <c r="H12" s="645"/>
      <c r="I12" s="645"/>
      <c r="J12" s="645"/>
      <c r="K12" s="645"/>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46">
        <v>133685008</v>
      </c>
      <c r="G23" s="646"/>
      <c r="L23" s="443"/>
    </row>
    <row r="24" spans="1:12" ht="14.25">
      <c r="A24" s="443"/>
      <c r="L24" s="443"/>
    </row>
    <row r="25" spans="1:12" ht="14.25">
      <c r="A25" s="443"/>
      <c r="C25" s="647">
        <f>F23</f>
        <v>133685008</v>
      </c>
      <c r="D25" s="647"/>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48" t="s">
        <v>650</v>
      </c>
      <c r="C30" s="648"/>
      <c r="D30" s="648"/>
      <c r="E30" s="648"/>
      <c r="F30" s="648"/>
      <c r="G30" s="648"/>
      <c r="H30" s="648"/>
      <c r="I30" s="648"/>
      <c r="J30" s="648"/>
      <c r="K30" s="648"/>
      <c r="L30" s="443"/>
    </row>
    <row r="31" spans="1:12" ht="14.25">
      <c r="A31" s="443"/>
      <c r="B31" s="644" t="s">
        <v>664</v>
      </c>
      <c r="C31" s="644"/>
      <c r="D31" s="644"/>
      <c r="E31" s="644"/>
      <c r="F31" s="644"/>
      <c r="G31" s="644"/>
      <c r="H31" s="644"/>
      <c r="I31" s="644"/>
      <c r="J31" s="644"/>
      <c r="K31" s="644"/>
      <c r="L31" s="443"/>
    </row>
    <row r="32" spans="1:12" ht="14.25">
      <c r="A32" s="443"/>
      <c r="L32" s="443"/>
    </row>
    <row r="33" spans="1:12" ht="14.25">
      <c r="A33" s="443"/>
      <c r="B33" s="644" t="s">
        <v>665</v>
      </c>
      <c r="C33" s="644"/>
      <c r="D33" s="644"/>
      <c r="E33" s="644"/>
      <c r="F33" s="644"/>
      <c r="G33" s="644"/>
      <c r="H33" s="644"/>
      <c r="I33" s="644"/>
      <c r="J33" s="644"/>
      <c r="K33" s="644"/>
      <c r="L33" s="443"/>
    </row>
    <row r="34" spans="1:12" ht="14.25">
      <c r="A34" s="443"/>
      <c r="L34" s="443"/>
    </row>
    <row r="35" spans="1:12" ht="89.25" customHeight="1">
      <c r="A35" s="443"/>
      <c r="B35" s="645" t="s">
        <v>666</v>
      </c>
      <c r="C35" s="649"/>
      <c r="D35" s="649"/>
      <c r="E35" s="649"/>
      <c r="F35" s="649"/>
      <c r="G35" s="649"/>
      <c r="H35" s="649"/>
      <c r="I35" s="649"/>
      <c r="J35" s="649"/>
      <c r="K35" s="649"/>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650">
        <v>3120000</v>
      </c>
      <c r="D41" s="650"/>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46">
        <v>133685008</v>
      </c>
      <c r="C48" s="646"/>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651" t="s">
        <v>674</v>
      </c>
      <c r="H50" s="652"/>
      <c r="I50" s="456" t="s">
        <v>660</v>
      </c>
      <c r="J50" s="466">
        <f>B50/F50</f>
        <v>52.8690023342034</v>
      </c>
      <c r="K50" s="458"/>
      <c r="L50" s="443"/>
    </row>
    <row r="51" spans="1:15" ht="15" thickBot="1">
      <c r="A51" s="443"/>
      <c r="B51" s="459"/>
      <c r="C51" s="460"/>
      <c r="D51" s="460"/>
      <c r="E51" s="460"/>
      <c r="F51" s="460"/>
      <c r="G51" s="460"/>
      <c r="H51" s="460"/>
      <c r="I51" s="653" t="s">
        <v>675</v>
      </c>
      <c r="J51" s="653"/>
      <c r="K51" s="654"/>
      <c r="L51" s="443"/>
      <c r="O51" s="467"/>
    </row>
    <row r="52" spans="1:12" ht="40.5" customHeight="1">
      <c r="A52" s="443"/>
      <c r="B52" s="648" t="s">
        <v>650</v>
      </c>
      <c r="C52" s="648"/>
      <c r="D52" s="648"/>
      <c r="E52" s="648"/>
      <c r="F52" s="648"/>
      <c r="G52" s="648"/>
      <c r="H52" s="648"/>
      <c r="I52" s="648"/>
      <c r="J52" s="648"/>
      <c r="K52" s="648"/>
      <c r="L52" s="443"/>
    </row>
    <row r="53" spans="1:12" ht="14.25">
      <c r="A53" s="443"/>
      <c r="B53" s="644" t="s">
        <v>676</v>
      </c>
      <c r="C53" s="644"/>
      <c r="D53" s="644"/>
      <c r="E53" s="644"/>
      <c r="F53" s="644"/>
      <c r="G53" s="644"/>
      <c r="H53" s="644"/>
      <c r="I53" s="644"/>
      <c r="J53" s="644"/>
      <c r="K53" s="644"/>
      <c r="L53" s="443"/>
    </row>
    <row r="54" spans="1:12" ht="14.25">
      <c r="A54" s="443"/>
      <c r="B54" s="447"/>
      <c r="C54" s="447"/>
      <c r="D54" s="447"/>
      <c r="E54" s="447"/>
      <c r="F54" s="447"/>
      <c r="G54" s="447"/>
      <c r="H54" s="447"/>
      <c r="I54" s="447"/>
      <c r="J54" s="447"/>
      <c r="K54" s="447"/>
      <c r="L54" s="443"/>
    </row>
    <row r="55" spans="1:12" ht="14.25">
      <c r="A55" s="443"/>
      <c r="B55" s="640" t="s">
        <v>677</v>
      </c>
      <c r="C55" s="640"/>
      <c r="D55" s="640"/>
      <c r="E55" s="640"/>
      <c r="F55" s="640"/>
      <c r="G55" s="640"/>
      <c r="H55" s="640"/>
      <c r="I55" s="640"/>
      <c r="J55" s="640"/>
      <c r="K55" s="640"/>
      <c r="L55" s="443"/>
    </row>
    <row r="56" spans="1:12" ht="15" customHeight="1">
      <c r="A56" s="443"/>
      <c r="L56" s="443"/>
    </row>
    <row r="57" spans="1:24" ht="74.25" customHeight="1">
      <c r="A57" s="443"/>
      <c r="B57" s="645" t="s">
        <v>678</v>
      </c>
      <c r="C57" s="649"/>
      <c r="D57" s="649"/>
      <c r="E57" s="649"/>
      <c r="F57" s="649"/>
      <c r="G57" s="649"/>
      <c r="H57" s="649"/>
      <c r="I57" s="649"/>
      <c r="J57" s="649"/>
      <c r="K57" s="649"/>
      <c r="L57" s="443"/>
      <c r="M57" s="468"/>
      <c r="N57" s="469"/>
      <c r="O57" s="469"/>
      <c r="P57" s="469"/>
      <c r="Q57" s="469"/>
      <c r="R57" s="469"/>
      <c r="S57" s="469"/>
      <c r="T57" s="469"/>
      <c r="U57" s="469"/>
      <c r="V57" s="469"/>
      <c r="W57" s="469"/>
      <c r="X57" s="469"/>
    </row>
    <row r="58" spans="1:24" ht="15" customHeight="1">
      <c r="A58" s="443"/>
      <c r="B58" s="645"/>
      <c r="C58" s="649"/>
      <c r="D58" s="649"/>
      <c r="E58" s="649"/>
      <c r="F58" s="649"/>
      <c r="G58" s="649"/>
      <c r="H58" s="649"/>
      <c r="I58" s="649"/>
      <c r="J58" s="649"/>
      <c r="K58" s="649"/>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46">
        <v>133685008</v>
      </c>
      <c r="D74" s="646"/>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46">
        <v>5000</v>
      </c>
      <c r="D77" s="646"/>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46">
        <v>100000</v>
      </c>
      <c r="D80" s="646"/>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655">
        <f>H80</f>
        <v>11500</v>
      </c>
      <c r="D83" s="655"/>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48" t="s">
        <v>650</v>
      </c>
      <c r="C85" s="648"/>
      <c r="D85" s="648"/>
      <c r="E85" s="648"/>
      <c r="F85" s="648"/>
      <c r="G85" s="648"/>
      <c r="H85" s="648"/>
      <c r="I85" s="648"/>
      <c r="J85" s="648"/>
      <c r="K85" s="648"/>
      <c r="L85" s="443"/>
    </row>
    <row r="86" spans="1:12" ht="14.25">
      <c r="A86" s="443"/>
      <c r="B86" s="640" t="s">
        <v>698</v>
      </c>
      <c r="C86" s="640"/>
      <c r="D86" s="640"/>
      <c r="E86" s="640"/>
      <c r="F86" s="640"/>
      <c r="G86" s="640"/>
      <c r="H86" s="640"/>
      <c r="I86" s="640"/>
      <c r="J86" s="640"/>
      <c r="K86" s="640"/>
      <c r="L86" s="443"/>
    </row>
    <row r="87" spans="1:12" ht="14.25">
      <c r="A87" s="443"/>
      <c r="B87" s="483"/>
      <c r="C87" s="483"/>
      <c r="D87" s="483"/>
      <c r="E87" s="483"/>
      <c r="F87" s="483"/>
      <c r="G87" s="483"/>
      <c r="H87" s="483"/>
      <c r="I87" s="483"/>
      <c r="J87" s="483"/>
      <c r="K87" s="483"/>
      <c r="L87" s="443"/>
    </row>
    <row r="88" spans="1:12" ht="14.25">
      <c r="A88" s="443"/>
      <c r="B88" s="640" t="s">
        <v>699</v>
      </c>
      <c r="C88" s="640"/>
      <c r="D88" s="640"/>
      <c r="E88" s="640"/>
      <c r="F88" s="640"/>
      <c r="G88" s="640"/>
      <c r="H88" s="640"/>
      <c r="I88" s="640"/>
      <c r="J88" s="640"/>
      <c r="K88" s="640"/>
      <c r="L88" s="443"/>
    </row>
    <row r="89" spans="1:12" ht="14.25">
      <c r="A89" s="443"/>
      <c r="B89" s="484"/>
      <c r="C89" s="484"/>
      <c r="D89" s="484"/>
      <c r="E89" s="484"/>
      <c r="F89" s="484"/>
      <c r="G89" s="484"/>
      <c r="H89" s="484"/>
      <c r="I89" s="484"/>
      <c r="J89" s="484"/>
      <c r="K89" s="484"/>
      <c r="L89" s="443"/>
    </row>
    <row r="90" spans="1:12" ht="45" customHeight="1">
      <c r="A90" s="443"/>
      <c r="B90" s="645" t="s">
        <v>700</v>
      </c>
      <c r="C90" s="645"/>
      <c r="D90" s="645"/>
      <c r="E90" s="645"/>
      <c r="F90" s="645"/>
      <c r="G90" s="645"/>
      <c r="H90" s="645"/>
      <c r="I90" s="645"/>
      <c r="J90" s="645"/>
      <c r="K90" s="645"/>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46">
        <v>133685008</v>
      </c>
      <c r="D94" s="646"/>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46">
        <v>50000</v>
      </c>
      <c r="D97" s="646"/>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46">
        <v>2500000</v>
      </c>
      <c r="D100" s="646"/>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655">
        <f>H100</f>
        <v>750000</v>
      </c>
      <c r="D103" s="655"/>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48" t="s">
        <v>650</v>
      </c>
      <c r="C105" s="656"/>
      <c r="D105" s="656"/>
      <c r="E105" s="656"/>
      <c r="F105" s="656"/>
      <c r="G105" s="656"/>
      <c r="H105" s="656"/>
      <c r="I105" s="656"/>
      <c r="J105" s="656"/>
      <c r="K105" s="656"/>
      <c r="L105" s="443"/>
    </row>
    <row r="106" spans="1:12" ht="15" customHeight="1">
      <c r="A106" s="443"/>
      <c r="B106" s="657" t="s">
        <v>702</v>
      </c>
      <c r="C106" s="641"/>
      <c r="D106" s="641"/>
      <c r="E106" s="641"/>
      <c r="F106" s="641"/>
      <c r="G106" s="641"/>
      <c r="H106" s="641"/>
      <c r="I106" s="641"/>
      <c r="J106" s="641"/>
      <c r="K106" s="641"/>
      <c r="L106" s="443"/>
    </row>
    <row r="107" spans="1:12" ht="15" customHeight="1">
      <c r="A107" s="443"/>
      <c r="B107" s="489"/>
      <c r="C107" s="497"/>
      <c r="D107" s="497"/>
      <c r="E107" s="456"/>
      <c r="F107" s="466"/>
      <c r="G107" s="456"/>
      <c r="H107" s="456"/>
      <c r="I107" s="456"/>
      <c r="J107" s="478"/>
      <c r="K107" s="489"/>
      <c r="L107" s="443"/>
    </row>
    <row r="108" spans="1:12" ht="15" customHeight="1">
      <c r="A108" s="443"/>
      <c r="B108" s="657" t="s">
        <v>703</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704</v>
      </c>
      <c r="C110" s="649"/>
      <c r="D110" s="649"/>
      <c r="E110" s="649"/>
      <c r="F110" s="649"/>
      <c r="G110" s="649"/>
      <c r="H110" s="649"/>
      <c r="I110" s="649"/>
      <c r="J110" s="649"/>
      <c r="K110" s="649"/>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46">
        <v>133685008</v>
      </c>
      <c r="D114" s="646"/>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46">
        <v>50000</v>
      </c>
      <c r="D117" s="646"/>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46">
        <v>2500000</v>
      </c>
      <c r="D120" s="646"/>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655">
        <f>H120</f>
        <v>625000</v>
      </c>
      <c r="D123" s="655"/>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48" t="s">
        <v>650</v>
      </c>
      <c r="C125" s="648"/>
      <c r="D125" s="648"/>
      <c r="E125" s="648"/>
      <c r="F125" s="648"/>
      <c r="G125" s="648"/>
      <c r="H125" s="648"/>
      <c r="I125" s="648"/>
      <c r="J125" s="648"/>
      <c r="K125" s="648"/>
      <c r="L125" s="498"/>
    </row>
    <row r="126" spans="1:12" ht="14.25">
      <c r="A126" s="443"/>
      <c r="B126" s="640" t="s">
        <v>705</v>
      </c>
      <c r="C126" s="640"/>
      <c r="D126" s="640"/>
      <c r="E126" s="640"/>
      <c r="F126" s="640"/>
      <c r="G126" s="640"/>
      <c r="H126" s="640"/>
      <c r="I126" s="640"/>
      <c r="J126" s="640"/>
      <c r="K126" s="640"/>
      <c r="L126" s="498"/>
    </row>
    <row r="127" spans="1:12" ht="14.25">
      <c r="A127" s="443"/>
      <c r="B127" s="447"/>
      <c r="C127" s="447"/>
      <c r="D127" s="447"/>
      <c r="E127" s="447"/>
      <c r="F127" s="447"/>
      <c r="G127" s="447"/>
      <c r="H127" s="447"/>
      <c r="I127" s="447"/>
      <c r="J127" s="447"/>
      <c r="K127" s="447"/>
      <c r="L127" s="498"/>
    </row>
    <row r="128" spans="1:12" ht="14.25">
      <c r="A128" s="443"/>
      <c r="B128" s="640" t="s">
        <v>706</v>
      </c>
      <c r="C128" s="640"/>
      <c r="D128" s="640"/>
      <c r="E128" s="640"/>
      <c r="F128" s="640"/>
      <c r="G128" s="640"/>
      <c r="H128" s="640"/>
      <c r="I128" s="640"/>
      <c r="J128" s="640"/>
      <c r="K128" s="640"/>
      <c r="L128" s="498"/>
    </row>
    <row r="129" spans="1:12" ht="14.25">
      <c r="A129" s="443"/>
      <c r="B129" s="484"/>
      <c r="C129" s="484"/>
      <c r="D129" s="484"/>
      <c r="E129" s="484"/>
      <c r="F129" s="484"/>
      <c r="G129" s="484"/>
      <c r="H129" s="484"/>
      <c r="I129" s="484"/>
      <c r="J129" s="484"/>
      <c r="K129" s="484"/>
      <c r="L129" s="498"/>
    </row>
    <row r="130" spans="1:12" ht="74.25" customHeight="1">
      <c r="A130" s="443"/>
      <c r="B130" s="645" t="s">
        <v>707</v>
      </c>
      <c r="C130" s="645"/>
      <c r="D130" s="645"/>
      <c r="E130" s="645"/>
      <c r="F130" s="645"/>
      <c r="G130" s="645"/>
      <c r="H130" s="645"/>
      <c r="I130" s="645"/>
      <c r="J130" s="645"/>
      <c r="K130" s="645"/>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660" t="s">
        <v>708</v>
      </c>
      <c r="D133" s="660"/>
      <c r="E133" s="455"/>
      <c r="F133" s="456" t="s">
        <v>709</v>
      </c>
      <c r="G133" s="455"/>
      <c r="H133" s="660" t="s">
        <v>694</v>
      </c>
      <c r="I133" s="660"/>
      <c r="J133" s="455"/>
      <c r="K133" s="458"/>
      <c r="L133" s="443"/>
    </row>
    <row r="134" spans="1:12" ht="14.25">
      <c r="A134" s="443"/>
      <c r="B134" s="464" t="s">
        <v>687</v>
      </c>
      <c r="C134" s="646">
        <v>100000</v>
      </c>
      <c r="D134" s="646"/>
      <c r="E134" s="456" t="s">
        <v>301</v>
      </c>
      <c r="F134" s="456">
        <v>0.115</v>
      </c>
      <c r="G134" s="456" t="s">
        <v>660</v>
      </c>
      <c r="H134" s="661">
        <f>C134*F134</f>
        <v>11500</v>
      </c>
      <c r="I134" s="66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62" t="s">
        <v>694</v>
      </c>
      <c r="D136" s="662"/>
      <c r="E136" s="475"/>
      <c r="F136" s="476" t="s">
        <v>710</v>
      </c>
      <c r="G136" s="476"/>
      <c r="H136" s="475"/>
      <c r="I136" s="475"/>
      <c r="J136" s="475" t="s">
        <v>711</v>
      </c>
      <c r="K136" s="477"/>
      <c r="L136" s="443"/>
    </row>
    <row r="137" spans="1:12" ht="14.25">
      <c r="A137" s="443"/>
      <c r="B137" s="464" t="s">
        <v>690</v>
      </c>
      <c r="C137" s="661">
        <f>H134</f>
        <v>11500</v>
      </c>
      <c r="D137" s="661"/>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63" t="s">
        <v>714</v>
      </c>
      <c r="C144" s="664"/>
      <c r="D144" s="664"/>
      <c r="E144" s="664"/>
      <c r="F144" s="664"/>
      <c r="G144" s="664"/>
      <c r="H144" s="664"/>
      <c r="I144" s="664"/>
      <c r="J144" s="664"/>
      <c r="K144" s="665"/>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61" t="s">
        <v>715</v>
      </c>
      <c r="D147" s="661"/>
      <c r="E147" s="456"/>
      <c r="F147" s="516" t="s">
        <v>716</v>
      </c>
      <c r="G147" s="456"/>
      <c r="H147" s="456"/>
      <c r="I147" s="456"/>
      <c r="J147" s="666" t="s">
        <v>717</v>
      </c>
      <c r="K147" s="667"/>
      <c r="L147" s="443"/>
    </row>
    <row r="148" spans="1:12" ht="14.25">
      <c r="A148" s="443"/>
      <c r="B148" s="464"/>
      <c r="C148" s="668">
        <v>52.869</v>
      </c>
      <c r="D148" s="668"/>
      <c r="E148" s="456" t="s">
        <v>301</v>
      </c>
      <c r="F148" s="521">
        <v>133685008</v>
      </c>
      <c r="G148" s="522" t="s">
        <v>661</v>
      </c>
      <c r="H148" s="456">
        <v>1000</v>
      </c>
      <c r="I148" s="456" t="s">
        <v>660</v>
      </c>
      <c r="J148" s="661">
        <f>C148*(F148/1000)</f>
        <v>7067792.687952</v>
      </c>
      <c r="K148" s="669"/>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G20" sqref="G20"/>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VALVERDE TOWNSHIP</v>
      </c>
      <c r="B1" s="101"/>
      <c r="C1" s="101"/>
      <c r="D1" s="101"/>
      <c r="E1" s="101">
        <f>inputPrYr!D5</f>
        <v>2014</v>
      </c>
    </row>
    <row r="2" spans="1:5" ht="15.75">
      <c r="A2" s="99" t="str">
        <f>inputPrYr!D3</f>
        <v>SUMNER COUNTY</v>
      </c>
      <c r="B2" s="101"/>
      <c r="C2" s="101"/>
      <c r="D2" s="101"/>
      <c r="E2" s="101"/>
    </row>
    <row r="3" spans="1:5" ht="15.75">
      <c r="A3" s="101"/>
      <c r="B3" s="101"/>
      <c r="C3" s="101"/>
      <c r="D3" s="101"/>
      <c r="E3" s="101"/>
    </row>
    <row r="4" spans="1:5" ht="15.75">
      <c r="A4" s="570" t="s">
        <v>162</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2752708</v>
      </c>
    </row>
    <row r="8" spans="1:5" ht="15.75">
      <c r="A8" s="22" t="str">
        <f>CONCATENATE("New Improvements for ",E1-1,"")</f>
        <v>New Improvements for 2013</v>
      </c>
      <c r="B8" s="19"/>
      <c r="C8" s="19"/>
      <c r="D8" s="19"/>
      <c r="E8" s="309">
        <v>25561</v>
      </c>
    </row>
    <row r="9" spans="1:5" ht="15.75">
      <c r="A9" s="22" t="str">
        <f>CONCATENATE("Personal Property excluding oil, gas, and mobile homes - ",E1-1,"")</f>
        <v>Personal Property excluding oil, gas, and mobile homes - 2013</v>
      </c>
      <c r="B9" s="19"/>
      <c r="C9" s="19"/>
      <c r="D9" s="19"/>
      <c r="E9" s="309">
        <v>76472</v>
      </c>
    </row>
    <row r="10" spans="1:5" ht="15.75">
      <c r="A10" s="22" t="str">
        <f>CONCATENATE("Property that has changed in use for ",E1-1,"")</f>
        <v>Property that has changed in use for 2013</v>
      </c>
      <c r="B10" s="19"/>
      <c r="C10" s="19"/>
      <c r="D10" s="19"/>
      <c r="E10" s="309">
        <v>16586</v>
      </c>
    </row>
    <row r="11" spans="1:5" ht="15.75">
      <c r="A11" s="22" t="str">
        <f>CONCATENATE("Personal Property excluding oil, gas, and mobile homes- ",E1-2,"")</f>
        <v>Personal Property excluding oil, gas, and mobile homes- 2012</v>
      </c>
      <c r="B11" s="19"/>
      <c r="C11" s="19"/>
      <c r="D11" s="19"/>
      <c r="E11" s="309">
        <v>76070</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30794</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297</v>
      </c>
      <c r="B16" s="573"/>
      <c r="C16" s="101"/>
      <c r="D16" s="313" t="s">
        <v>3</v>
      </c>
      <c r="E16" s="312"/>
    </row>
    <row r="17" spans="1:5" ht="15.75">
      <c r="A17" s="82" t="str">
        <f>inputPrYr!B16</f>
        <v>General</v>
      </c>
      <c r="B17" s="20"/>
      <c r="C17" s="19"/>
      <c r="D17" s="314">
        <v>5.005</v>
      </c>
      <c r="E17" s="312"/>
    </row>
    <row r="18" spans="1:5" ht="15.75">
      <c r="A18" s="82" t="str">
        <f>inputPrYr!B17</f>
        <v>Debt Service</v>
      </c>
      <c r="B18" s="291"/>
      <c r="C18" s="19"/>
      <c r="D18" s="315"/>
      <c r="E18" s="312"/>
    </row>
    <row r="19" spans="1:5" ht="15.75">
      <c r="A19" s="82" t="str">
        <f>inputPrYr!B18</f>
        <v>Road</v>
      </c>
      <c r="B19" s="291"/>
      <c r="C19" s="19"/>
      <c r="D19" s="315">
        <v>35.203</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40.208000000000006</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2604162</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163</v>
      </c>
      <c r="B31" s="20"/>
      <c r="C31" s="20"/>
      <c r="D31" s="321"/>
      <c r="E31" s="34">
        <v>6697</v>
      </c>
    </row>
    <row r="32" spans="1:5" ht="15.75">
      <c r="A32" s="322" t="s">
        <v>288</v>
      </c>
      <c r="B32" s="291"/>
      <c r="C32" s="291"/>
      <c r="D32" s="31"/>
      <c r="E32" s="34">
        <v>63</v>
      </c>
    </row>
    <row r="33" spans="1:5" ht="15.75">
      <c r="A33" s="322" t="s">
        <v>164</v>
      </c>
      <c r="B33" s="291"/>
      <c r="C33" s="291"/>
      <c r="D33" s="31"/>
      <c r="E33" s="34">
        <v>1556</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2100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t="str">
        <f>inputPrYr!B28</f>
        <v>Fire</v>
      </c>
      <c r="B55" s="36"/>
      <c r="C55" s="151"/>
      <c r="D55" s="151"/>
      <c r="E55" s="151"/>
    </row>
    <row r="56" spans="1:5" ht="15.75">
      <c r="A56" s="330" t="str">
        <f>inputPrYr!B29</f>
        <v>Firemens Relief</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4" ht="15.75">
      <c r="A4" s="401" t="s">
        <v>804</v>
      </c>
    </row>
    <row r="5" ht="15.75">
      <c r="A5" s="91" t="s">
        <v>805</v>
      </c>
    </row>
    <row r="7" ht="15.75">
      <c r="A7" s="401" t="s">
        <v>801</v>
      </c>
    </row>
    <row r="8" ht="15.75">
      <c r="A8" s="562" t="s">
        <v>802</v>
      </c>
    </row>
    <row r="10" ht="15.75">
      <c r="A10" s="401" t="s">
        <v>798</v>
      </c>
    </row>
    <row r="11" ht="15.75">
      <c r="A11" s="91" t="s">
        <v>799</v>
      </c>
    </row>
    <row r="12" ht="15.75">
      <c r="A12" s="91" t="s">
        <v>800</v>
      </c>
    </row>
    <row r="14" ht="15.75">
      <c r="A14" s="401" t="s">
        <v>771</v>
      </c>
    </row>
    <row r="15" ht="15.75">
      <c r="A15" s="562" t="s">
        <v>772</v>
      </c>
    </row>
    <row r="16" ht="15.75">
      <c r="A16" s="562" t="s">
        <v>773</v>
      </c>
    </row>
    <row r="17" ht="31.5">
      <c r="A17" s="561" t="s">
        <v>774</v>
      </c>
    </row>
    <row r="18" ht="15.75">
      <c r="A18" s="562" t="s">
        <v>775</v>
      </c>
    </row>
    <row r="19" ht="15.75">
      <c r="A19" s="562" t="s">
        <v>776</v>
      </c>
    </row>
    <row r="20" ht="15.75">
      <c r="A20" s="562" t="s">
        <v>777</v>
      </c>
    </row>
    <row r="21" ht="15.75">
      <c r="A21" s="562" t="s">
        <v>778</v>
      </c>
    </row>
    <row r="22" ht="15.75">
      <c r="A22" s="562" t="s">
        <v>779</v>
      </c>
    </row>
    <row r="23" ht="15.75">
      <c r="A23" s="562" t="s">
        <v>780</v>
      </c>
    </row>
    <row r="24" ht="15.75">
      <c r="A24" s="562" t="s">
        <v>781</v>
      </c>
    </row>
    <row r="25" ht="15.75">
      <c r="A25" s="562" t="s">
        <v>782</v>
      </c>
    </row>
    <row r="26" ht="15.75">
      <c r="A26" s="562" t="s">
        <v>783</v>
      </c>
    </row>
    <row r="27" ht="15.75">
      <c r="A27" s="562" t="s">
        <v>794</v>
      </c>
    </row>
    <row r="28" ht="15.75">
      <c r="A28" s="562" t="s">
        <v>784</v>
      </c>
    </row>
    <row r="29" ht="15.75">
      <c r="A29" s="562" t="s">
        <v>785</v>
      </c>
    </row>
    <row r="30" ht="15.75">
      <c r="A30" s="562" t="s">
        <v>786</v>
      </c>
    </row>
    <row r="31" ht="15.75">
      <c r="A31" s="562" t="s">
        <v>787</v>
      </c>
    </row>
    <row r="32" ht="15.75">
      <c r="A32" s="562" t="s">
        <v>788</v>
      </c>
    </row>
    <row r="33" ht="15.75">
      <c r="A33" s="562" t="s">
        <v>789</v>
      </c>
    </row>
    <row r="34" ht="15.75">
      <c r="A34" s="562" t="s">
        <v>790</v>
      </c>
    </row>
    <row r="35" ht="15.75">
      <c r="A35" s="562" t="s">
        <v>791</v>
      </c>
    </row>
    <row r="36" ht="15.75">
      <c r="A36" s="562" t="s">
        <v>792</v>
      </c>
    </row>
    <row r="37" ht="15.75">
      <c r="A37" s="562" t="s">
        <v>797</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E16" sqref="E16"/>
    </sheetView>
  </sheetViews>
  <sheetFormatPr defaultColWidth="8.796875" defaultRowHeight="15.75"/>
  <cols>
    <col min="1" max="1" width="13.69921875" style="0" customWidth="1"/>
    <col min="2" max="2" width="16" style="0" customWidth="1"/>
  </cols>
  <sheetData>
    <row r="2" spans="1:6" ht="54" customHeight="1">
      <c r="A2" s="578" t="s">
        <v>384</v>
      </c>
      <c r="B2" s="579"/>
      <c r="C2" s="579"/>
      <c r="D2" s="579"/>
      <c r="E2" s="579"/>
      <c r="F2" s="579"/>
    </row>
    <row r="4" spans="1:6" ht="15.75">
      <c r="A4" s="383"/>
      <c r="B4" s="383"/>
      <c r="C4" s="383"/>
      <c r="D4" s="385"/>
      <c r="E4" s="383"/>
      <c r="F4" s="383"/>
    </row>
    <row r="5" spans="1:6" ht="15.75">
      <c r="A5" s="384" t="s">
        <v>385</v>
      </c>
      <c r="B5" s="386" t="s">
        <v>822</v>
      </c>
      <c r="C5" s="387"/>
      <c r="D5" s="384" t="s">
        <v>796</v>
      </c>
      <c r="E5" s="383"/>
      <c r="F5" s="383"/>
    </row>
    <row r="6" spans="1:6" ht="15.75">
      <c r="A6" s="384"/>
      <c r="B6" s="388"/>
      <c r="C6" s="389"/>
      <c r="D6" s="384" t="s">
        <v>795</v>
      </c>
      <c r="E6" s="383"/>
      <c r="F6" s="383"/>
    </row>
    <row r="7" spans="1:6" ht="15.75">
      <c r="A7" s="384" t="s">
        <v>386</v>
      </c>
      <c r="B7" s="386" t="s">
        <v>823</v>
      </c>
      <c r="C7" s="390"/>
      <c r="D7" s="384"/>
      <c r="E7" s="383"/>
      <c r="F7" s="383"/>
    </row>
    <row r="8" spans="1:6" ht="15.75">
      <c r="A8" s="384"/>
      <c r="B8" s="384"/>
      <c r="C8" s="384"/>
      <c r="D8" s="384"/>
      <c r="E8" s="383"/>
      <c r="F8" s="383"/>
    </row>
    <row r="9" spans="1:6" ht="15.75">
      <c r="A9" s="384" t="s">
        <v>387</v>
      </c>
      <c r="B9" s="391" t="s">
        <v>824</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824</v>
      </c>
      <c r="C12" s="391"/>
      <c r="D12" s="391"/>
      <c r="E12" s="392"/>
      <c r="F12" s="383"/>
    </row>
    <row r="15" spans="1:6" ht="15.75">
      <c r="A15" s="580" t="s">
        <v>389</v>
      </c>
      <c r="B15" s="580"/>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SUMNER COUNTY, State of Kansas</v>
      </c>
      <c r="C3" s="591"/>
      <c r="D3" s="591"/>
      <c r="E3" s="591"/>
      <c r="F3" s="591"/>
      <c r="G3" s="591"/>
      <c r="H3" s="591"/>
    </row>
    <row r="4" spans="2:7" s="14" customFormat="1" ht="15.75">
      <c r="B4" s="158" t="s">
        <v>155</v>
      </c>
      <c r="C4" s="156"/>
      <c r="D4" s="156"/>
      <c r="E4" s="156"/>
      <c r="F4" s="156"/>
      <c r="G4" s="156"/>
    </row>
    <row r="5" s="14" customFormat="1" ht="15.75">
      <c r="D5" s="427" t="str">
        <f>inputPrYr!D2</f>
        <v>VALVERDE TOWNSHIP</v>
      </c>
    </row>
    <row r="6" spans="2:7" s="14" customFormat="1" ht="15.75">
      <c r="B6" s="590" t="s">
        <v>153</v>
      </c>
      <c r="C6" s="591"/>
      <c r="D6" s="591"/>
      <c r="E6" s="591"/>
      <c r="F6" s="591"/>
      <c r="G6" s="591"/>
    </row>
    <row r="7" spans="2:7" s="14" customFormat="1" ht="15.75" customHeight="1">
      <c r="B7" s="592" t="s">
        <v>154</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289</v>
      </c>
      <c r="F12" s="584" t="str">
        <f>CONCATENATE("Amount of ",H1-1," Ad Valorem Tax")</f>
        <v>Amount of 2013 Ad Valorem Tax</v>
      </c>
      <c r="G12" s="23" t="s">
        <v>290</v>
      </c>
    </row>
    <row r="13" spans="4:7" s="14" customFormat="1" ht="15.75">
      <c r="D13" s="23" t="s">
        <v>291</v>
      </c>
      <c r="E13" s="547" t="s">
        <v>219</v>
      </c>
      <c r="F13" s="585"/>
      <c r="G13" s="167" t="s">
        <v>292</v>
      </c>
    </row>
    <row r="14" spans="2:7" s="14" customFormat="1" ht="15.75">
      <c r="B14" s="82" t="s">
        <v>293</v>
      </c>
      <c r="C14" s="20"/>
      <c r="D14" s="26" t="s">
        <v>294</v>
      </c>
      <c r="E14" s="548" t="s">
        <v>743</v>
      </c>
      <c r="F14" s="586"/>
      <c r="G14" s="26" t="s">
        <v>296</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808</v>
      </c>
      <c r="E17" s="19"/>
      <c r="F17" s="19"/>
      <c r="G17" s="281"/>
    </row>
    <row r="18" spans="2:7" s="14" customFormat="1" ht="15.75">
      <c r="B18" s="74" t="s">
        <v>144</v>
      </c>
      <c r="C18" s="28"/>
      <c r="D18" s="172" t="s">
        <v>808</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14336</v>
      </c>
      <c r="F20" s="172">
        <f>IF(gen!$E$57&lt;&gt;0,gen!$E$57,0)</f>
        <v>13278.53</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106760</v>
      </c>
      <c r="F22" s="172">
        <f>IF(road!$E$50&lt;&gt;0,road!$E$50,"  ")</f>
        <v>97400.65</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Fire</v>
      </c>
      <c r="C29" s="287"/>
      <c r="D29" s="288">
        <f>IF('fire-firemansreliefpage6'!$C$65&gt;0,'fire-firemansreliefpage6'!$C$65,"  ")</f>
        <v>6</v>
      </c>
      <c r="E29" s="172" t="str">
        <f>IF('fire-firemansreliefpage6'!$E$28&lt;&gt;0,'fire-firemansreliefpage6'!$E$28,"  ")</f>
        <v>  </v>
      </c>
      <c r="F29" s="172"/>
      <c r="G29" s="168"/>
    </row>
    <row r="30" spans="2:7" s="14" customFormat="1" ht="15.75">
      <c r="B30" s="289" t="str">
        <f>IF(inputPrYr!$B29&gt;"  ",inputPrYr!$B29,"  ")</f>
        <v>Firemens Relief</v>
      </c>
      <c r="C30" s="25"/>
      <c r="D30" s="288">
        <f>IF('fire-firemansreliefpage6'!$C$65&gt;0,'fire-firemansreliefpage6'!$C$65,"  ")</f>
        <v>6</v>
      </c>
      <c r="E30" s="172" t="str">
        <f>IF('fire-firemansreliefpage6'!$E$59&lt;&gt;0,'fire-firemansreliefpage6'!$E$59,"  ")</f>
        <v>  </v>
      </c>
      <c r="F30" s="172"/>
      <c r="G30" s="168"/>
    </row>
    <row r="31" spans="2:7" s="14" customFormat="1" ht="15.75">
      <c r="B31" s="286" t="str">
        <f>IF((inputPrYr!$B33&gt;"  "),(nonbudpage7!$A3),"  ")</f>
        <v>Non-Budgeted Funds</v>
      </c>
      <c r="C31" s="25"/>
      <c r="D31" s="288">
        <f>IF(nonbudpage7!$F$33&gt;0,nonbudpage7!$F$33,"  ")</f>
        <v>7</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121096</v>
      </c>
      <c r="F33" s="292">
        <f>SUM(F20:F28)</f>
        <v>110679.18</v>
      </c>
      <c r="G33" s="293">
        <f>IF(SUM(G20:G28)&gt;0,SUM(G20:G28),"")</f>
      </c>
    </row>
    <row r="34" spans="2:4" s="14" customFormat="1" ht="16.5" thickTop="1">
      <c r="B34" s="27" t="s">
        <v>174</v>
      </c>
      <c r="C34" s="283"/>
      <c r="D34" s="288">
        <f>summ!D47</f>
        <v>8</v>
      </c>
    </row>
    <row r="35" spans="2:6" s="14" customFormat="1" ht="15.75">
      <c r="B35" s="27" t="s">
        <v>225</v>
      </c>
      <c r="C35" s="28"/>
      <c r="D35" s="288">
        <f>IF(nhood!C37&gt;0,nhood!C37,"")</f>
        <v>9</v>
      </c>
      <c r="E35" s="294" t="s">
        <v>161</v>
      </c>
      <c r="F35" s="295" t="str">
        <f>IF(F33&gt;computation!J34,"Yes","No")</f>
        <v>Yes</v>
      </c>
    </row>
    <row r="36" spans="2:6" s="14" customFormat="1" ht="15.75">
      <c r="B36" s="27" t="s">
        <v>160</v>
      </c>
      <c r="C36" s="28"/>
      <c r="D36" s="288">
        <f>IF(Resolution!D50&gt;0,Resolution!D50,"")</f>
        <v>10</v>
      </c>
      <c r="E36" s="296"/>
      <c r="F36" s="297"/>
    </row>
    <row r="37" spans="2:7" s="14" customFormat="1" ht="15.75">
      <c r="B37" s="74" t="s">
        <v>101</v>
      </c>
      <c r="C37" s="594" t="s">
        <v>128</v>
      </c>
      <c r="D37" s="595"/>
      <c r="E37" s="298"/>
      <c r="G37" s="22" t="s">
        <v>302</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152</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305</v>
      </c>
      <c r="C52" s="14"/>
      <c r="D52" s="14"/>
      <c r="E52" s="581" t="s">
        <v>304</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VALVERDE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104707</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104707</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25561</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76472</v>
      </c>
      <c r="F14" s="270"/>
      <c r="G14" s="55"/>
      <c r="H14" s="55"/>
      <c r="I14" s="53"/>
      <c r="J14" s="55"/>
    </row>
    <row r="15" spans="1:10" ht="15.75">
      <c r="A15" s="269"/>
      <c r="B15" s="14" t="s">
        <v>91</v>
      </c>
      <c r="C15" s="14" t="str">
        <f>CONCATENATE("Personal Property ",J1-2,"")</f>
        <v>Personal Property 2012</v>
      </c>
      <c r="D15" s="269" t="s">
        <v>86</v>
      </c>
      <c r="E15" s="273">
        <f>inputOth!E11</f>
        <v>76070</v>
      </c>
      <c r="F15" s="270"/>
      <c r="G15" s="53"/>
      <c r="H15" s="53"/>
      <c r="I15" s="55"/>
      <c r="J15" s="55"/>
    </row>
    <row r="16" spans="1:10" ht="15.75">
      <c r="A16" s="269"/>
      <c r="B16" s="14" t="s">
        <v>92</v>
      </c>
      <c r="C16" s="14" t="s">
        <v>112</v>
      </c>
      <c r="D16" s="14"/>
      <c r="E16" s="55"/>
      <c r="F16" s="55" t="s">
        <v>15</v>
      </c>
      <c r="G16" s="271">
        <f>IF(E14&gt;E15,E14-E15,0)</f>
        <v>402</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16586</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42549</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2752708</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2710159</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0.015699816874212916</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1644</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106351</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106351</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VALVERDE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238</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166</v>
      </c>
      <c r="L10" s="111"/>
    </row>
    <row r="11" spans="2:12" ht="15.75">
      <c r="B11" s="96" t="str">
        <f>inputPrYr!B16</f>
        <v>General</v>
      </c>
      <c r="C11" s="252"/>
      <c r="D11" s="96">
        <f>IF(inputPrYr!E16&gt;0,inputPrYr!E16,"  ")</f>
        <v>13033</v>
      </c>
      <c r="E11" s="253">
        <f>IF(inputOth!D17&gt;0,inputOth!D17,"  ")</f>
        <v>5.005</v>
      </c>
      <c r="F11" s="254"/>
      <c r="G11" s="96">
        <f>IF(inputPrYr!E16=0,0,G22-SUM(G12:G19))</f>
        <v>834</v>
      </c>
      <c r="H11" s="255"/>
      <c r="I11" s="96">
        <f>IF(inputPrYr!E16=0,0,I24-SUM(I12:I19))</f>
        <v>8</v>
      </c>
      <c r="J11" s="96">
        <v>215</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91674</v>
      </c>
      <c r="E13" s="253">
        <f>IF(inputOth!D19&gt;0,inputOth!D19,"  ")</f>
        <v>35.203</v>
      </c>
      <c r="F13" s="254"/>
      <c r="G13" s="96">
        <f>IF(inputPrYr!E18=0,0,ROUND(D13*$G$30,0))</f>
        <v>5863</v>
      </c>
      <c r="H13" s="255"/>
      <c r="I13" s="96">
        <f>IF(inputPrYr!$E$18=0,0,ROUND($D$13*$I$32,0))</f>
        <v>55</v>
      </c>
      <c r="J13" s="96">
        <v>1341</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104707</v>
      </c>
      <c r="E20" s="259">
        <f>SUM(E11:E19)</f>
        <v>40.208000000000006</v>
      </c>
      <c r="F20" s="260"/>
      <c r="G20" s="258">
        <f>SUM(G11:G19)</f>
        <v>6697</v>
      </c>
      <c r="H20" s="258"/>
      <c r="I20" s="258">
        <f>SUM(I11:I19)</f>
        <v>63</v>
      </c>
      <c r="J20" s="258">
        <f>SUM(J11:J19)</f>
        <v>1556</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6697</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63</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1556</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0.06395942964653747</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0.0006016789708424461</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0.014860515533822954</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VALVERDE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175</v>
      </c>
      <c r="B5" s="583"/>
      <c r="C5" s="583"/>
      <c r="D5" s="583"/>
      <c r="E5" s="583"/>
      <c r="F5" s="583"/>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2012</v>
      </c>
      <c r="D9" s="236">
        <f>F1-1</f>
        <v>2013</v>
      </c>
      <c r="E9" s="236">
        <f>F1</f>
        <v>2014</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0</v>
      </c>
      <c r="D27" s="245">
        <f>SUM(D10:D26)</f>
        <v>0</v>
      </c>
      <c r="E27" s="245">
        <f>SUM(E10:E26)</f>
        <v>0</v>
      </c>
      <c r="F27" s="140"/>
    </row>
    <row r="28" spans="1:6" ht="15.75">
      <c r="A28" s="140"/>
      <c r="B28" s="244" t="s">
        <v>632</v>
      </c>
      <c r="C28" s="140"/>
      <c r="D28" s="241"/>
      <c r="E28" s="241"/>
      <c r="F28" s="140"/>
    </row>
    <row r="29" spans="1:6" ht="15.75">
      <c r="A29" s="140"/>
      <c r="B29" s="192" t="s">
        <v>183</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2013-07-26T19:34:40Z</cp:lastPrinted>
  <dcterms:created xsi:type="dcterms:W3CDTF">1998-08-26T16:30:41Z</dcterms:created>
  <dcterms:modified xsi:type="dcterms:W3CDTF">2013-07-26T19:45:55Z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