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<sst xmlns="http://schemas.openxmlformats.org/spreadsheetml/2006/main" count="1582" uniqueCount="952">
  <si>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</si>
  <si>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</si>
  <si>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</si>
  <si>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</si>
  <si>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</si>
  <si>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</si>
  <si>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</si>
  <si>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</si>
  <si>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</si>
  <si>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</si>
  <si>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</si>
  <si>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</si>
  <si>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</si>
  <si>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</si>
  <si>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</si>
  <si>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</si>
  <si>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</si>
  <si>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</si>
  <si>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</si>
  <si>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</si>
  <si>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</si>
  <si>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</si>
  <si>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</si>
  <si>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</si>
  <si>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</si>
  <si>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</si>
  <si>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</si>
  <si>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</si>
  <si>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</si>
  <si>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</si>
  <si>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</si>
  <si>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</si>
  <si>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</si>
  <si>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</si>
  <si>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</si>
  <si>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</si>
  <si>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</si>
  <si>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</si>
  <si>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</si>
  <si>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</si>
  <si>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</si>
  <si>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</si>
  <si>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</si>
  <si>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</si>
  <si>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</si>
  <si>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</si>
  <si>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</si>
  <si>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</si>
  <si>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</si>
  <si>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</si>
  <si>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</si>
  <si>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</si>
  <si>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</si>
  <si>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</si>
  <si>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</si>
  <si>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</si>
  <si>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</si>
  <si>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</si>
  <si>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</si>
  <si>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</si>
  <si>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</si>
  <si>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</si>
  <si>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</si>
  <si>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</si>
  <si>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</si>
  <si>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</si>
  <si>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</si>
  <si>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</si>
  <si>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</si>
  <si>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</si>
  <si>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</si>
  <si>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</si>
  <si>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</si>
  <si>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</si>
  <si>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</si>
  <si>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</si>
  <si>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</si>
  <si>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</si>
  <si>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</si>
  <si>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</si>
  <si>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</si>
  <si>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</si>
  <si>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</si>
  <si>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</si>
  <si>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</si>
  <si>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</si>
  <si>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</si>
  <si>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</si>
  <si>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</si>
  <si>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</si>
  <si>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</si>
  <si>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</si>
  <si>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</si>
  <si>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</si>
  <si>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</si>
  <si>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</si>
  <si>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</si>
  <si>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</si>
  <si>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</si>
  <si>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</si>
  <si>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</si>
  <si>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</si>
  <si>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</si>
  <si>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</si>
  <si>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</si>
  <si>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</si>
  <si>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</si>
  <si>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</si>
  <si>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</si>
  <si>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</si>
  <si>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</si>
  <si>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</si>
  <si>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</si>
  <si>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</si>
  <si>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</si>
  <si>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</si>
  <si>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</si>
  <si>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</si>
  <si>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</si>
  <si>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</si>
  <si>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</si>
  <si>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</si>
  <si>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</si>
  <si>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</si>
  <si>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</si>
  <si>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</si>
  <si>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</si>
  <si>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</si>
  <si>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</si>
  <si>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</si>
  <si>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</si>
  <si>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</si>
  <si>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</si>
  <si>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</si>
  <si>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</si>
  <si>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</si>
  <si>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</si>
  <si>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</si>
  <si>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</si>
  <si>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</si>
  <si>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</si>
  <si>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</si>
  <si>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</si>
  <si>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</si>
  <si>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</si>
  <si>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</si>
  <si>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</si>
  <si>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</si>
  <si>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</si>
  <si>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</si>
  <si>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</si>
  <si>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</si>
  <si>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</si>
  <si>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</si>
  <si>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</si>
  <si>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</si>
  <si>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</si>
  <si>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</si>
  <si>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</si>
  <si>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</si>
  <si>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</si>
  <si>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</si>
  <si>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</si>
  <si>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</si>
  <si>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</si>
  <si>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</si>
  <si>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</si>
  <si>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</si>
  <si>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</si>
  <si>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</si>
  <si>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</si>
  <si>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</si>
  <si>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</si>
  <si>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</si>
  <si>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</si>
  <si>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</si>
  <si>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</si>
  <si>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</si>
  <si>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</si>
  <si>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</si>
  <si>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</si>
  <si>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</si>
  <si>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</si>
  <si>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</si>
  <si>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</si>
  <si>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</si>
  <si>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</si>
  <si>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</si>
  <si>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</si>
  <si>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</si>
  <si>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</si>
  <si>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</si>
  <si>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</si>
  <si>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</si>
  <si>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</si>
  <si>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</si>
  <si>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</si>
  <si>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</si>
  <si>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</si>
  <si>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</si>
  <si>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</si>
  <si>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</si>
  <si>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</si>
  <si>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</si>
  <si>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</si>
  <si>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</si>
  <si>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</si>
  <si>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</si>
  <si>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</si>
  <si>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</si>
  <si>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</si>
  <si>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</si>
  <si>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</si>
  <si>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</si>
  <si>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</si>
  <si>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</si>
  <si>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</si>
  <si>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</si>
  <si>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</si>
  <si>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</si>
  <si>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</si>
  <si>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</si>
  <si>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</si>
  <si>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</si>
  <si>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</si>
  <si>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</si>
  <si>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</si>
  <si>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</si>
  <si>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</si>
  <si>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</si>
  <si>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</si>
  <si>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</si>
  <si>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</si>
  <si>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</si>
  <si>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</si>
  <si>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</si>
  <si>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</si>
  <si>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</si>
  <si>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</si>
  <si>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</si>
  <si>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</si>
  <si>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</si>
  <si>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</si>
  <si>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</si>
  <si>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</si>
  <si>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</si>
  <si>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</si>
  <si>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</si>
  <si>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</si>
  <si>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</si>
  <si>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</si>
  <si>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</si>
  <si>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</si>
  <si>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</si>
  <si>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</si>
  <si>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</si>
  <si>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</si>
  <si>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</si>
  <si>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</si>
  <si>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</si>
  <si>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</si>
  <si>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</si>
  <si>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</si>
  <si>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</si>
  <si>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</si>
  <si>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</si>
  <si>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</si>
  <si>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</si>
  <si>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</si>
  <si>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</si>
  <si>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</si>
  <si>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</si>
  <si>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</si>
  <si>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</si>
  <si>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</si>
  <si>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</si>
  <si>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</si>
  <si>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</si>
  <si>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</si>
  <si>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</si>
  <si>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</si>
  <si>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</si>
  <si>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</si>
  <si>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</si>
  <si>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</si>
  <si>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</si>
  <si>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</si>
  <si>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</si>
  <si>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</si>
  <si>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</si>
  <si>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</si>
  <si>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</si>
  <si>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</si>
  <si>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</si>
  <si>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</si>
  <si>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</si>
  <si>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</si>
  <si>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</si>
  <si>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</si>
  <si>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</si>
  <si>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</si>
  <si>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</si>
  <si>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</si>
  <si>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</si>
  <si>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</si>
  <si>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</si>
  <si>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</si>
  <si>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</si>
  <si>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</si>
  <si>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</si>
  <si>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</si>
  <si>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</si>
  <si>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</si>
  <si>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</si>
  <si>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</si>
  <si>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</si>
  <si>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</si>
  <si>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</si>
  <si>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</si>
  <si>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</si>
  <si>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</si>
  <si>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</si>
  <si>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</si>
  <si>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</si>
  <si>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</si>
  <si>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</si>
  <si>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</si>
  <si>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</si>
  <si>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</si>
  <si>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</si>
  <si>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</si>
  <si>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</si>
  <si>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</si>
  <si>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</si>
  <si>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</si>
  <si>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</si>
  <si>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</si>
  <si>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</si>
  <si>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</si>
  <si>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</si>
  <si>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</si>
  <si>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</si>
  <si>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</si>
  <si>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</si>
  <si>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</si>
  <si>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</si>
  <si>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</si>
  <si>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</si>
  <si>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</si>
  <si>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</si>
  <si>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</si>
  <si>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</si>
  <si>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</si>
  <si>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</si>
  <si>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</si>
  <si>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</si>
  <si>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</si>
  <si>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</si>
  <si>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</si>
  <si>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</si>
  <si>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</si>
  <si>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</si>
  <si>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</si>
  <si>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</si>
  <si>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</si>
  <si>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</si>
  <si>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</si>
  <si>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</si>
  <si>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</si>
  <si>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</si>
  <si>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</si>
  <si>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</si>
  <si>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</si>
  <si>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</si>
  <si>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</si>
  <si>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</si>
  <si>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</si>
  <si>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</si>
  <si>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</si>
  <si>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</si>
  <si>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</si>
  <si>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</si>
  <si>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</si>
  <si>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</si>
  <si>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</si>
  <si>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</si>
  <si>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</si>
  <si>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</si>
  <si>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</si>
  <si>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</si>
  <si>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</si>
  <si>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</si>
  <si>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</si>
  <si>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</si>
  <si>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</si>
  <si>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</si>
  <si>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</si>
  <si>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</si>
  <si>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</si>
  <si>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</si>
  <si>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</si>
  <si>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</si>
  <si>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</si>
  <si>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</si>
  <si>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</si>
  <si>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</si>
  <si>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</si>
  <si>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</si>
  <si>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</si>
  <si>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</si>
  <si>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</si>
  <si>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</si>
  <si>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</si>
  <si>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</si>
  <si>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</si>
  <si>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</si>
  <si>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</si>
  <si>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</si>
  <si>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</si>
  <si>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</si>
  <si>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</si>
  <si>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</si>
  <si>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</si>
  <si>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</si>
  <si>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</si>
  <si>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</si>
  <si>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</si>
  <si>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</si>
  <si>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</si>
  <si>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</si>
  <si>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</si>
  <si>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</si>
  <si>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</si>
  <si>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</si>
  <si>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</si>
  <si>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</si>
  <si>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</si>
  <si>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</si>
  <si>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</si>
  <si>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</si>
  <si>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</si>
  <si>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</si>
  <si>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</si>
  <si>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</si>
  <si>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</si>
  <si>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</si>
  <si>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</si>
  <si>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</si>
  <si>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</si>
  <si>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</si>
  <si>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</si>
  <si>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</si>
  <si>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</si>
  <si>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</si>
  <si>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</si>
  <si>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</si>
  <si>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</si>
  <si>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</si>
  <si>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</si>
  <si>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</si>
  <si>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</si>
  <si>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</si>
  <si>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</si>
  <si>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</si>
  <si>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</si>
  <si>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</si>
  <si>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</si>
  <si>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</si>
  <si>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</si>
  <si>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</si>
  <si>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</si>
  <si>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</si>
  <si>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</si>
  <si>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</si>
  <si>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</si>
  <si>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</si>
  <si>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</si>
  <si>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</si>
  <si>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</si>
  <si>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</si>
  <si>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</si>
  <si>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</si>
  <si>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</si>
  <si>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</si>
  <si>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</si>
  <si>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</si>
  <si>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</si>
  <si>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</si>
  <si>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</si>
  <si>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</si>
  <si>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</si>
  <si>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</si>
  <si>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</si>
  <si>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</si>
  <si>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</si>
  <si>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</si>
  <si>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</si>
  <si>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</si>
  <si>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</si>
  <si>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</si>
  <si>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</si>
  <si>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</si>
  <si>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</si>
  <si>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</si>
  <si>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</si>
  <si>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</si>
  <si>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</si>
  <si>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</si>
  <si>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</si>
  <si>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</si>
  <si>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</si>
  <si>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</si>
  <si>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</si>
  <si>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</si>
  <si>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</si>
  <si>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</si>
  <si>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</si>
  <si>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</si>
  <si>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</si>
  <si>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</si>
  <si>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</si>
  <si>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</si>
  <si>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</si>
  <si>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</si>
  <si>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</si>
  <si>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</si>
  <si>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</si>
  <si>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</si>
  <si>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</si>
  <si>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</si>
  <si>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</si>
  <si>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</si>
  <si>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</si>
  <si>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</si>
  <si>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</si>
  <si>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</si>
  <si>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</si>
  <si>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</si>
  <si>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</si>
  <si>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</si>
  <si>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</si>
  <si>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</si>
  <si>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</si>
  <si>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</si>
  <si>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</si>
  <si>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</si>
  <si>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</si>
  <si>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</si>
  <si>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</si>
  <si>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</si>
  <si>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</si>
  <si>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</si>
  <si>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</si>
  <si>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</si>
  <si>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</si>
  <si>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</si>
  <si>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</si>
  <si>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</si>
  <si>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</si>
  <si>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</si>
  <si>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</si>
  <si>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</si>
  <si>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</si>
  <si>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</si>
  <si>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</si>
  <si>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</si>
  <si>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</si>
  <si>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</si>
  <si>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</si>
  <si>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</si>
  <si>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</si>
  <si>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</si>
  <si>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</si>
  <si>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</si>
  <si>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</si>
  <si>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</si>
  <si>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</si>
  <si>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</si>
  <si>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</si>
  <si>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</si>
  <si>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</si>
  <si>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</si>
  <si>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</si>
  <si>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</si>
  <si>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</si>
  <si>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</si>
  <si>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</si>
  <si>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</si>
  <si>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</si>
  <si>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</si>
  <si>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</si>
  <si>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</si>
  <si>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</si>
  <si>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</si>
  <si>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</si>
  <si>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</si>
  <si>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</si>
  <si>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</si>
  <si>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</si>
  <si>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</si>
  <si>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</si>
  <si>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</si>
  <si>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</si>
  <si>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</si>
  <si>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</si>
  <si>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</si>
  <si>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</si>
  <si>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</si>
  <si>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</si>
  <si>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</si>
  <si>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</si>
  <si>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</si>
  <si>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</si>
  <si>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</si>
  <si>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</si>
  <si>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</si>
  <si>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</si>
  <si>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</si>
  <si>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</si>
  <si>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</si>
  <si>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</si>
  <si>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</si>
  <si>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</si>
  <si>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</si>
  <si>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</si>
  <si>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</si>
  <si>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</si>
  <si>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</si>
  <si>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</si>
  <si>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</si>
  <si>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</si>
  <si>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</si>
  <si>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</si>
  <si>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</si>
  <si>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</si>
  <si>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</si>
  <si>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</si>
  <si>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</si>
  <si>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</si>
  <si>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</si>
  <si>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</si>
  <si>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</si>
  <si>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</si>
  <si>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</si>
  <si>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</si>
  <si>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</si>
  <si>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</si>
  <si>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</si>
  <si>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</si>
  <si>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</si>
  <si>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</si>
  <si>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</si>
  <si>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</si>
  <si>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</si>
  <si>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</si>
  <si>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</si>
  <si>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</si>
  <si>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</si>
  <si>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</si>
  <si>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</si>
  <si>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</si>
  <si>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</si>
  <si>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</si>
  <si>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</si>
  <si>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</si>
  <si>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</si>
  <si>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</si>
  <si>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</si>
  <si>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</si>
  <si>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</si>
  <si>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</si>
  <si>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</si>
  <si>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</si>
  <si>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</si>
  <si>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</si>
  <si>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</si>
  <si>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</si>
  <si>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</si>
  <si>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</si>
  <si>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</si>
  <si>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</si>
  <si>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</si>
  <si>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</si>
  <si>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</si>
  <si>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</si>
  <si>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</si>
  <si>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</si>
  <si>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</si>
  <si>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</si>
  <si>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</si>
  <si>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</si>
  <si>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</si>
  <si>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</si>
  <si>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</si>
  <si>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</si>
  <si>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</si>
  <si>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</si>
  <si>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</si>
  <si>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</si>
  <si>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</si>
  <si>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</si>
  <si>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</si>
  <si>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</si>
  <si>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</si>
  <si>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</si>
  <si>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</si>
  <si>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</si>
  <si>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</si>
  <si>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</si>
  <si>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</si>
  <si>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</si>
  <si>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</si>
  <si>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</si>
  <si>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</si>
  <si>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</si>
  <si>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</si>
  <si>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</si>
  <si>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</si>
  <si>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</si>
  <si>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</si>
  <si>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</si>
  <si>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</si>
  <si>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</si>
  <si>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</si>
  <si>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</si>
  <si>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</si>
  <si>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</si>
  <si>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</si>
  <si>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</si>
  <si>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</si>
  <si>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</si>
  <si>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</si>
  <si>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</si>
  <si>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</si>
  <si>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</si>
  <si>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</si>
  <si>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</si>
  <si>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</si>
  <si>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</si>
  <si>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</si>
  <si>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</si>
  <si>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</si>
  <si>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</si>
  <si>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</si>
  <si>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</si>
  <si>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</si>
  <si>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</si>
  <si>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</si>
  <si>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</si>
  <si>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</si>
  <si>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</si>
  <si>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</si>
  <si>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</si>
  <si>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</si>
  <si>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</si>
  <si>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</si>
  <si>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</si>
  <si>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</si>
  <si>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</si>
  <si>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</si>
  <si>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</si>
  <si>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</si>
  <si>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</si>
  <si>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</si>
  <si>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</si>
  <si>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</si>
  <si>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</si>
  <si>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</si>
  <si>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</si>
  <si>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</si>
  <si>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</si>
  <si>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</si>
  <si>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</si>
  <si>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</si>
  <si>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</si>
  <si>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</si>
  <si>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</si>
  <si>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</si>
  <si>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</si>
  <si>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</si>
  <si>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</si>
  <si>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</si>
  <si>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</si>
  <si>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</si>
  <si>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</si>
  <si>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</si>
  <si>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</si>
  <si>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</si>
  <si>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</si>
  <si>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</si>
  <si>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</si>
  <si>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</si>
  <si>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</si>
  <si>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</si>
  <si>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</si>
  <si>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</si>
  <si>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</si>
  <si>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</si>
  <si>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</si>
  <si>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</si>
  <si>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</si>
  <si>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</si>
  <si>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</si>
  <si>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</si>
  <si>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</si>
  <si>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</si>
  <si>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</si>
  <si>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</si>
  <si>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</si>
  <si>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</si>
  <si>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</si>
  <si>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</si>
  <si>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</si>
  <si>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</si>
  <si>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</si>
  <si>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</si>
  <si>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</si>
  <si>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</si>
  <si>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</si>
  <si>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</si>
  <si>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</si>
  <si>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</si>
  <si>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</si>
  <si>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</si>
  <si>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</si>
  <si>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</si>
  <si>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</si>
  <si>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</si>
  <si>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</si>
  <si>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</si>
  <si>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</si>
  <si>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</si>
  <si>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</si>
  <si>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</si>
  <si>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</si>
  <si>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</si>
  <si>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</si>
  <si>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</si>
  <si>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</si>
  <si>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</si>
  <si>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</si>
  <si>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</si>
  <si>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</si>
  <si>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</si>
  <si>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</si>
  <si>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</si>
  <si>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</si>
  <si>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</si>
  <si>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</si>
  <si>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</si>
  <si>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</si>
  <si>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</si>
  <si>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</si>
  <si>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</si>
  <si>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</si>
  <si>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</si>
  <si>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</si>
  <si>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</si>
  <si>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</si>
  <si>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</si>
  <si>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</si>
  <si>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</si>
  <si>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</si>
  <si>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</si>
  <si>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</si>
  <si>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</si>
  <si>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</si>
  <si>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</si>
  <si>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</si>
  <si>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</si>
  <si>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</si>
  <si>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</si>
  <si>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</si>
  <si>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</si>
  <si>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</si>
  <si>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</si>
  <si>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</si>
  <si>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</si>
  <si>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</si>
  <si>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</si>
  <si>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</si>
  <si>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</si>
  <si>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</si>
  <si>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</si>
  <si>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</si>
  <si>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</si>
  <si>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</si>
  <si>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</si>
  <si>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</si>
  <si>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</si>
  <si>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</si>
  <si>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</si>
  <si>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</si>
  <si>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</si>
  <si>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</si>
  <si>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</si>
  <si>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</si>
  <si>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</si>
  <si>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</si>
  <si>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</si>
  <si>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</si>
  <si>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</si>
  <si>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</si>
  <si>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</si>
  <si>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</si>
  <si>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</si>
  <si>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</si>
  <si>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</si>
  <si>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</si>
  <si>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</si>
  <si>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</si>
  <si>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</si>
  <si>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</si>
  <si>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</si>
  <si>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</si>
  <si>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</si>
  <si>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</si>
  <si>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</si>
  <si>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</si>
  <si>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</si>
  <si>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</si>
  <si>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</si>
  <si>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</si>
  <si>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</si>
  <si>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</si>
  <si>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</si>
  <si>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</si>
  <si>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</si>
  <si>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</si>
  <si>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</si>
  <si>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</si>
  <si>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</si>
  <si>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</si>
  <si>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</si>
  <si>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</si>
  <si>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</si>
  <si>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</si>
  <si>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</si>
  <si>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</si>
  <si>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</si>
  <si>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</si>
  <si>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Sterling Township</t>
  </si>
  <si>
    <t>Rice County</t>
  </si>
  <si>
    <t>Cemetery</t>
  </si>
  <si>
    <t>Township Official</t>
  </si>
  <si>
    <t>Rice County Clerk</t>
  </si>
  <si>
    <t>Repairs</t>
  </si>
  <si>
    <t>Appropriations</t>
  </si>
  <si>
    <t>August 13, 2013</t>
  </si>
  <si>
    <t>11:00 a.m.</t>
  </si>
  <si>
    <t>Mishler Building, Sterling</t>
  </si>
  <si>
    <t>RESOLUTION NO.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</si>
</sst>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5" sqref="A5"/>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Sterling Township</v>
      </c>
      <c r="C1" s="167"/>
      <c r="D1" s="167"/>
      <c r="E1" s="167"/>
      <c r="F1" s="167"/>
      <c r="G1" s="167"/>
      <c r="H1" s="167"/>
      <c r="I1" s="167"/>
      <c r="J1" s="14"/>
      <c r="K1" s="14"/>
      <c r="L1" s="15">
        <f>inputPrYr!D5</f>
        <v>2014</v>
      </c>
    </row>
    <row r="2" spans="2:12" ht="15.75">
      <c r="B2" s="166" t="str">
        <f>inputPrYr!$D$3</f>
        <v>Rice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830</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940</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940</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940</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Sterling Township</v>
      </c>
      <c r="C7" s="556"/>
      <c r="D7" s="556"/>
      <c r="E7" s="556"/>
      <c r="F7" s="556"/>
      <c r="G7" s="556"/>
      <c r="H7" s="556"/>
      <c r="I7" s="556"/>
    </row>
    <row r="8" spans="2:9" ht="15.75">
      <c r="B8" s="557" t="str">
        <f>inputPrYr!D3</f>
        <v>Rice County</v>
      </c>
      <c r="C8" s="556"/>
      <c r="D8" s="556"/>
      <c r="E8" s="556"/>
      <c r="F8" s="556"/>
      <c r="G8" s="556"/>
      <c r="H8" s="556"/>
      <c r="I8" s="556"/>
    </row>
    <row r="9" spans="2:9" ht="15.75">
      <c r="B9" s="556"/>
      <c r="C9" s="556"/>
      <c r="D9" s="556"/>
      <c r="E9" s="556"/>
      <c r="F9" s="556"/>
      <c r="G9" s="556"/>
      <c r="H9" s="556"/>
      <c r="I9" s="556"/>
    </row>
    <row r="10" spans="2:9" ht="39" customHeight="1">
      <c r="B10" s="796" t="s">
        <v>770</v>
      </c>
      <c r="C10" s="796"/>
      <c r="D10" s="796"/>
      <c r="E10" s="796"/>
      <c r="F10" s="796"/>
      <c r="G10" s="796"/>
      <c r="H10" s="796"/>
      <c r="I10" s="796"/>
    </row>
    <row r="11" spans="2:9" ht="15.75">
      <c r="B11" s="556"/>
      <c r="C11" s="556"/>
      <c r="D11" s="556"/>
      <c r="E11" s="556"/>
      <c r="F11" s="556"/>
      <c r="G11" s="556"/>
      <c r="H11" s="556"/>
      <c r="I11" s="556"/>
    </row>
    <row r="12" spans="2:9" ht="15.75">
      <c r="B12" s="558" t="s">
        <v>771</v>
      </c>
      <c r="C12" s="556"/>
      <c r="D12" s="556"/>
      <c r="E12" s="556"/>
      <c r="F12" s="556"/>
      <c r="G12" s="556"/>
      <c r="H12" s="556"/>
      <c r="I12" s="556"/>
    </row>
    <row r="13" spans="2:9" ht="15.75">
      <c r="B13" s="556"/>
      <c r="C13" s="556"/>
      <c r="D13" s="556"/>
      <c r="E13" s="559" t="s">
        <v>12</v>
      </c>
      <c r="F13" s="556"/>
      <c r="G13" s="559" t="s">
        <v>772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773</v>
      </c>
      <c r="C22" s="556"/>
      <c r="D22" s="556"/>
      <c r="E22" s="562">
        <f>SUM(E15:E21)</f>
        <v>0</v>
      </c>
      <c r="F22" s="556"/>
      <c r="G22" s="562">
        <f>SUM(G15:G21)</f>
        <v>0</v>
      </c>
      <c r="H22" s="556"/>
      <c r="I22" s="556"/>
    </row>
    <row r="23" spans="2:9" ht="15.75">
      <c r="B23" s="556" t="s">
        <v>774</v>
      </c>
      <c r="C23" s="556"/>
      <c r="D23" s="556"/>
      <c r="E23" s="563">
        <f>G22-E22</f>
        <v>0</v>
      </c>
      <c r="F23" s="556"/>
      <c r="G23" s="564"/>
      <c r="H23" s="556"/>
      <c r="I23" s="556"/>
    </row>
    <row r="24" spans="2:9" ht="15.75">
      <c r="B24" s="556" t="s">
        <v>775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776</v>
      </c>
      <c r="C26" s="556"/>
      <c r="D26" s="556"/>
      <c r="E26" s="556"/>
      <c r="F26" s="556"/>
      <c r="G26" s="556"/>
      <c r="H26" s="556"/>
      <c r="I26" s="556"/>
    </row>
    <row r="27" spans="2:9" ht="15.75">
      <c r="B27" s="556" t="s">
        <v>777</v>
      </c>
      <c r="C27" s="556"/>
      <c r="D27" s="556"/>
      <c r="E27" s="561">
        <f>summ!E37</f>
        <v>3731345</v>
      </c>
      <c r="F27" s="556"/>
      <c r="G27" s="561">
        <f>summ!G37</f>
        <v>3895437</v>
      </c>
      <c r="H27" s="556"/>
      <c r="I27" s="556"/>
    </row>
    <row r="28" spans="2:9" ht="15.75">
      <c r="B28" s="556" t="s">
        <v>778</v>
      </c>
      <c r="C28" s="556"/>
      <c r="D28" s="556"/>
      <c r="E28" s="566" t="str">
        <f>IF(G27-E27&gt;=0,"No","Yes")</f>
        <v>No</v>
      </c>
      <c r="F28" s="556"/>
      <c r="G28" s="556"/>
      <c r="H28" s="556"/>
      <c r="I28" s="556"/>
    </row>
    <row r="29" spans="2:9" ht="15.75">
      <c r="B29" s="556" t="s">
        <v>779</v>
      </c>
      <c r="C29" s="556"/>
      <c r="D29" s="556"/>
      <c r="E29" s="567" t="str">
        <f>summ!F20</f>
        <v>  </v>
      </c>
      <c r="F29" s="556"/>
      <c r="G29" s="567" t="str">
        <f>summ!I20</f>
        <v> </v>
      </c>
      <c r="H29" s="556"/>
      <c r="I29" s="556"/>
    </row>
    <row r="30" spans="2:9" ht="15.75">
      <c r="B30" s="556" t="s">
        <v>780</v>
      </c>
      <c r="C30" s="556"/>
      <c r="D30" s="556"/>
      <c r="E30" s="568" t="e">
        <f>G29-E29</f>
        <v>#VALUE!</v>
      </c>
      <c r="F30" s="556"/>
      <c r="G30" s="556"/>
      <c r="H30" s="556"/>
      <c r="I30" s="556"/>
    </row>
    <row r="31" spans="2:9" ht="15.75">
      <c r="B31" s="556" t="s">
        <v>775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782</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784</v>
      </c>
      <c r="C43" s="798"/>
      <c r="D43" s="798"/>
      <c r="E43" s="798"/>
      <c r="F43" s="798"/>
      <c r="G43" s="798"/>
      <c r="H43" s="798"/>
      <c r="I43" s="798"/>
    </row>
    <row r="44" spans="2:9" ht="15.75">
      <c r="B44" s="556"/>
      <c r="C44" s="556"/>
      <c r="D44" s="556"/>
      <c r="E44" s="556"/>
      <c r="F44" s="556"/>
      <c r="G44" s="556"/>
      <c r="H44" s="556"/>
      <c r="I44" s="556"/>
    </row>
    <row r="45" spans="2:9" ht="15.75">
      <c r="B45" s="573" t="s">
        <v>785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786</v>
      </c>
      <c r="C49" s="573"/>
      <c r="D49" s="574"/>
      <c r="E49" s="574"/>
      <c r="F49" s="574"/>
      <c r="G49" s="574"/>
      <c r="H49" s="574"/>
      <c r="I49" s="574"/>
    </row>
    <row r="50" spans="2:9" ht="15.75">
      <c r="B50" s="573" t="s">
        <v>787</v>
      </c>
      <c r="C50" s="573"/>
      <c r="D50" s="574"/>
      <c r="E50" s="574"/>
      <c r="F50" s="574"/>
      <c r="G50" s="574"/>
      <c r="H50" s="574"/>
      <c r="I50" s="574"/>
    </row>
    <row r="51" spans="2:9" ht="15.75">
      <c r="B51" s="573" t="s">
        <v>788</v>
      </c>
      <c r="C51" s="573"/>
      <c r="D51" s="574"/>
      <c r="E51" s="574"/>
      <c r="F51" s="574"/>
      <c r="G51" s="574"/>
      <c r="H51" s="574"/>
      <c r="I51" s="574"/>
    </row>
    <row r="52" spans="2:9" ht="15">
      <c r="B52" s="574"/>
      <c r="C52" s="574"/>
      <c r="D52" s="574"/>
      <c r="E52" s="574"/>
      <c r="F52" s="574"/>
      <c r="G52" s="574"/>
      <c r="H52" s="574"/>
      <c r="I52" s="574"/>
    </row>
    <row r="53" spans="2:9" ht="15.75">
      <c r="B53" s="575" t="s">
        <v>789</v>
      </c>
      <c r="C53" s="574"/>
      <c r="D53" s="574"/>
      <c r="E53" s="574"/>
      <c r="F53" s="574"/>
      <c r="G53" s="574"/>
      <c r="H53" s="574"/>
      <c r="I53" s="574"/>
    </row>
    <row r="54" spans="2:9" ht="15">
      <c r="B54" s="574"/>
      <c r="C54" s="574"/>
      <c r="D54" s="574"/>
      <c r="E54" s="574"/>
      <c r="F54" s="574"/>
      <c r="G54" s="574"/>
      <c r="H54" s="574"/>
      <c r="I54" s="574"/>
    </row>
    <row r="55" spans="2:9" ht="15.75">
      <c r="B55" s="573" t="s">
        <v>790</v>
      </c>
      <c r="C55" s="574"/>
      <c r="D55" s="574"/>
      <c r="E55" s="574"/>
      <c r="F55" s="574"/>
      <c r="G55" s="574"/>
      <c r="H55" s="574"/>
      <c r="I55" s="574"/>
    </row>
    <row r="56" spans="2:9" ht="15.75">
      <c r="B56" s="573" t="s">
        <v>791</v>
      </c>
      <c r="C56" s="574"/>
      <c r="D56" s="574"/>
      <c r="E56" s="574"/>
      <c r="F56" s="574"/>
      <c r="G56" s="574"/>
      <c r="H56" s="574"/>
      <c r="I56" s="574"/>
    </row>
    <row r="57" spans="2:9" ht="15">
      <c r="B57" s="574"/>
      <c r="C57" s="574"/>
      <c r="D57" s="574"/>
      <c r="E57" s="574"/>
      <c r="F57" s="574"/>
      <c r="G57" s="574"/>
      <c r="H57" s="574"/>
      <c r="I57" s="574"/>
    </row>
    <row r="58" spans="2:9" ht="15.75">
      <c r="B58" s="575" t="s">
        <v>792</v>
      </c>
      <c r="C58" s="573"/>
      <c r="D58" s="573"/>
      <c r="E58" s="573"/>
      <c r="F58" s="573"/>
      <c r="G58" s="574"/>
      <c r="H58" s="574"/>
      <c r="I58" s="574"/>
    </row>
    <row r="59" spans="2:9" ht="15.75">
      <c r="B59" s="573"/>
      <c r="C59" s="573"/>
      <c r="D59" s="573"/>
      <c r="E59" s="573"/>
      <c r="F59" s="573"/>
      <c r="G59" s="574"/>
      <c r="H59" s="574"/>
      <c r="I59" s="574"/>
    </row>
    <row r="60" spans="2:9" ht="15.75">
      <c r="B60" s="573" t="s">
        <v>793</v>
      </c>
      <c r="C60" s="573"/>
      <c r="D60" s="573"/>
      <c r="E60" s="573"/>
      <c r="F60" s="573"/>
      <c r="G60" s="574"/>
      <c r="H60" s="574"/>
      <c r="I60" s="574"/>
    </row>
    <row r="61" spans="2:9" ht="15.75">
      <c r="B61" s="573" t="s">
        <v>794</v>
      </c>
      <c r="C61" s="573"/>
      <c r="D61" s="573"/>
      <c r="E61" s="573"/>
      <c r="F61" s="573"/>
      <c r="G61" s="574"/>
      <c r="H61" s="574"/>
      <c r="I61" s="574"/>
    </row>
    <row r="62" spans="2:9" ht="15.75">
      <c r="B62" s="573" t="s">
        <v>795</v>
      </c>
      <c r="C62" s="573"/>
      <c r="D62" s="573"/>
      <c r="E62" s="573"/>
      <c r="F62" s="573"/>
      <c r="G62" s="574"/>
      <c r="H62" s="574"/>
      <c r="I62" s="574"/>
    </row>
    <row r="63" spans="2:9" ht="15.75">
      <c r="B63" s="573" t="s">
        <v>796</v>
      </c>
      <c r="C63" s="573"/>
      <c r="D63" s="573"/>
      <c r="E63" s="573"/>
      <c r="F63" s="573"/>
      <c r="G63" s="574"/>
      <c r="H63" s="574"/>
      <c r="I63" s="574"/>
    </row>
    <row r="64" spans="2:9" ht="15">
      <c r="B64" s="576"/>
      <c r="C64" s="576"/>
      <c r="D64" s="576"/>
      <c r="E64" s="576"/>
      <c r="F64" s="576"/>
      <c r="G64" s="574"/>
      <c r="H64" s="574"/>
      <c r="I64" s="574"/>
    </row>
    <row r="65" spans="2:9" ht="15.75">
      <c r="B65" s="573" t="s">
        <v>797</v>
      </c>
      <c r="C65" s="576"/>
      <c r="D65" s="576"/>
      <c r="E65" s="576"/>
      <c r="F65" s="576"/>
      <c r="G65" s="574"/>
      <c r="H65" s="574"/>
      <c r="I65" s="574"/>
    </row>
    <row r="66" spans="2:9" ht="15.75">
      <c r="B66" s="573" t="s">
        <v>798</v>
      </c>
      <c r="C66" s="576"/>
      <c r="D66" s="576"/>
      <c r="E66" s="576"/>
      <c r="F66" s="576"/>
      <c r="G66" s="574"/>
      <c r="H66" s="574"/>
      <c r="I66" s="574"/>
    </row>
    <row r="67" spans="2:9" ht="15">
      <c r="B67" s="576"/>
      <c r="C67" s="576"/>
      <c r="D67" s="576"/>
      <c r="E67" s="576"/>
      <c r="F67" s="576"/>
      <c r="G67" s="574"/>
      <c r="H67" s="574"/>
      <c r="I67" s="574"/>
    </row>
    <row r="68" spans="2:9" ht="15.75">
      <c r="B68" s="573" t="s">
        <v>799</v>
      </c>
      <c r="C68" s="576"/>
      <c r="D68" s="576"/>
      <c r="E68" s="576"/>
      <c r="F68" s="576"/>
      <c r="G68" s="574"/>
      <c r="H68" s="574"/>
      <c r="I68" s="574"/>
    </row>
    <row r="69" spans="2:9" ht="15.75">
      <c r="B69" s="573" t="s">
        <v>800</v>
      </c>
      <c r="C69" s="576"/>
      <c r="D69" s="576"/>
      <c r="E69" s="576"/>
      <c r="F69" s="576"/>
      <c r="G69" s="574"/>
      <c r="H69" s="574"/>
      <c r="I69" s="574"/>
    </row>
    <row r="70" spans="2:9" ht="15">
      <c r="B70" s="576"/>
      <c r="C70" s="576"/>
      <c r="D70" s="576"/>
      <c r="E70" s="576"/>
      <c r="F70" s="576"/>
      <c r="G70" s="574"/>
      <c r="H70" s="574"/>
      <c r="I70" s="574"/>
    </row>
    <row r="71" spans="2:9" ht="15.75">
      <c r="B71" s="575" t="s">
        <v>801</v>
      </c>
      <c r="C71" s="576"/>
      <c r="D71" s="576"/>
      <c r="E71" s="576"/>
      <c r="F71" s="576"/>
      <c r="G71" s="574"/>
      <c r="H71" s="574"/>
      <c r="I71" s="574"/>
    </row>
    <row r="72" spans="2:9" ht="15">
      <c r="B72" s="576"/>
      <c r="C72" s="576"/>
      <c r="D72" s="576"/>
      <c r="E72" s="576"/>
      <c r="F72" s="576"/>
      <c r="G72" s="574"/>
      <c r="H72" s="574"/>
      <c r="I72" s="574"/>
    </row>
    <row r="73" spans="2:9" ht="15.75">
      <c r="B73" s="573" t="s">
        <v>802</v>
      </c>
      <c r="C73" s="576"/>
      <c r="D73" s="576"/>
      <c r="E73" s="576"/>
      <c r="F73" s="576"/>
      <c r="G73" s="574"/>
      <c r="H73" s="574"/>
      <c r="I73" s="574"/>
    </row>
    <row r="74" spans="2:9" ht="15.75">
      <c r="B74" s="573" t="s">
        <v>803</v>
      </c>
      <c r="C74" s="576"/>
      <c r="D74" s="576"/>
      <c r="E74" s="576"/>
      <c r="F74" s="576"/>
      <c r="G74" s="574"/>
      <c r="H74" s="574"/>
      <c r="I74" s="574"/>
    </row>
    <row r="75" spans="2:9" ht="15">
      <c r="B75" s="576"/>
      <c r="C75" s="576"/>
      <c r="D75" s="576"/>
      <c r="E75" s="576"/>
      <c r="F75" s="576"/>
      <c r="G75" s="574"/>
      <c r="H75" s="574"/>
      <c r="I75" s="574"/>
    </row>
    <row r="76" spans="2:9" ht="15.75">
      <c r="B76" s="575" t="s">
        <v>804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805</v>
      </c>
      <c r="C79" s="576"/>
      <c r="D79" s="576"/>
      <c r="E79" s="576"/>
      <c r="F79" s="576"/>
      <c r="G79" s="574"/>
      <c r="H79" s="574"/>
      <c r="I79" s="574"/>
    </row>
    <row r="80" spans="2:9" ht="15">
      <c r="B80" s="576"/>
      <c r="C80" s="576"/>
      <c r="D80" s="576"/>
      <c r="E80" s="576"/>
      <c r="F80" s="576"/>
      <c r="G80" s="574"/>
      <c r="H80" s="574"/>
      <c r="I80" s="574"/>
    </row>
    <row r="81" spans="2:9" ht="15.75">
      <c r="B81" s="575" t="s">
        <v>390</v>
      </c>
      <c r="C81" s="576"/>
      <c r="D81" s="576"/>
      <c r="E81" s="576"/>
      <c r="F81" s="576"/>
      <c r="G81" s="574"/>
      <c r="H81" s="574"/>
      <c r="I81" s="574"/>
    </row>
    <row r="82" spans="2:9" ht="15">
      <c r="B82" s="576"/>
      <c r="C82" s="576"/>
      <c r="D82" s="576"/>
      <c r="E82" s="576"/>
      <c r="F82" s="576"/>
      <c r="G82" s="574"/>
      <c r="H82" s="574"/>
      <c r="I82" s="574"/>
    </row>
    <row r="83" spans="2:9" ht="15.75">
      <c r="B83" s="573" t="s">
        <v>806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807</v>
      </c>
      <c r="C86" s="576"/>
      <c r="D86" s="576"/>
      <c r="E86" s="576"/>
      <c r="F86" s="576"/>
      <c r="G86" s="574"/>
      <c r="H86" s="574"/>
      <c r="I86" s="574"/>
    </row>
    <row r="87" spans="2:9" ht="15.75">
      <c r="B87" s="573" t="s">
        <v>808</v>
      </c>
      <c r="C87" s="576"/>
      <c r="D87" s="576"/>
      <c r="E87" s="576"/>
      <c r="F87" s="576"/>
      <c r="G87" s="574"/>
      <c r="H87" s="574"/>
      <c r="I87" s="574"/>
    </row>
    <row r="88" spans="2:9" ht="15.75">
      <c r="B88" s="573" t="s">
        <v>809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810</v>
      </c>
      <c r="C92" s="576"/>
      <c r="D92" s="576"/>
      <c r="E92" s="576"/>
      <c r="F92" s="576"/>
      <c r="G92" s="574"/>
      <c r="H92" s="574"/>
      <c r="I92" s="574"/>
    </row>
    <row r="93" spans="2:9" ht="15.75">
      <c r="B93" s="573" t="s">
        <v>811</v>
      </c>
      <c r="C93" s="576"/>
      <c r="D93" s="576"/>
      <c r="E93" s="576"/>
      <c r="F93" s="576"/>
      <c r="G93" s="574"/>
      <c r="H93" s="574"/>
      <c r="I93" s="574"/>
    </row>
    <row r="94" spans="2:9" ht="15.75">
      <c r="B94" s="573" t="s">
        <v>812</v>
      </c>
      <c r="C94" s="576"/>
      <c r="D94" s="576"/>
      <c r="E94" s="576"/>
      <c r="F94" s="576"/>
      <c r="G94" s="574"/>
      <c r="H94" s="574"/>
      <c r="I94" s="574"/>
    </row>
    <row r="95" spans="2:9" ht="15">
      <c r="B95" s="576"/>
      <c r="C95" s="576"/>
      <c r="D95" s="576"/>
      <c r="E95" s="576"/>
      <c r="F95" s="576"/>
      <c r="G95" s="574"/>
      <c r="H95" s="574"/>
      <c r="I95" s="574"/>
    </row>
    <row r="96" spans="2:9" ht="15.75">
      <c r="B96" s="575" t="s">
        <v>813</v>
      </c>
      <c r="C96" s="576"/>
      <c r="D96" s="576"/>
      <c r="E96" s="576"/>
      <c r="F96" s="576"/>
      <c r="G96" s="574"/>
      <c r="H96" s="574"/>
      <c r="I96" s="574"/>
    </row>
    <row r="97" spans="2:9" ht="15">
      <c r="B97" s="576"/>
      <c r="C97" s="576"/>
      <c r="D97" s="576"/>
      <c r="E97" s="576"/>
      <c r="F97" s="576"/>
      <c r="G97" s="574"/>
      <c r="H97" s="574"/>
      <c r="I97" s="574"/>
    </row>
    <row r="98" spans="2:9" ht="15.75">
      <c r="B98" s="573" t="s">
        <v>814</v>
      </c>
      <c r="C98" s="576"/>
      <c r="D98" s="576"/>
      <c r="E98" s="576"/>
      <c r="F98" s="576"/>
      <c r="G98" s="574"/>
      <c r="H98" s="574"/>
      <c r="I98" s="574"/>
    </row>
    <row r="99" spans="2:9" ht="15.75">
      <c r="B99" s="573" t="s">
        <v>815</v>
      </c>
      <c r="C99" s="576"/>
      <c r="D99" s="576"/>
      <c r="E99" s="576"/>
      <c r="F99" s="576"/>
      <c r="G99" s="574"/>
      <c r="H99" s="574"/>
      <c r="I99" s="574"/>
    </row>
    <row r="100" spans="2:9" ht="15">
      <c r="B100" s="576"/>
      <c r="C100" s="576"/>
      <c r="D100" s="576"/>
      <c r="E100" s="576"/>
      <c r="F100" s="576"/>
      <c r="G100" s="574"/>
      <c r="H100" s="574"/>
      <c r="I100" s="574"/>
    </row>
    <row r="101" spans="2:9" ht="15.75">
      <c r="B101" s="573" t="s">
        <v>816</v>
      </c>
      <c r="C101" s="576"/>
      <c r="D101" s="576"/>
      <c r="E101" s="576"/>
      <c r="F101" s="576"/>
      <c r="G101" s="574"/>
      <c r="H101" s="574"/>
      <c r="I101" s="574"/>
    </row>
    <row r="102" spans="2:9" ht="15.75">
      <c r="B102" s="573" t="s">
        <v>817</v>
      </c>
      <c r="C102" s="576"/>
      <c r="D102" s="576"/>
      <c r="E102" s="576"/>
      <c r="F102" s="576"/>
      <c r="G102" s="574"/>
      <c r="H102" s="574"/>
      <c r="I102" s="574"/>
    </row>
    <row r="103" spans="2:9" ht="15.75">
      <c r="B103" s="573" t="s">
        <v>818</v>
      </c>
      <c r="C103" s="576"/>
      <c r="D103" s="576"/>
      <c r="E103" s="576"/>
      <c r="F103" s="576"/>
      <c r="G103" s="574"/>
      <c r="H103" s="574"/>
      <c r="I103" s="574"/>
    </row>
    <row r="104" spans="2:9" ht="15.75">
      <c r="B104" s="573" t="s">
        <v>819</v>
      </c>
      <c r="C104" s="576"/>
      <c r="D104" s="576"/>
      <c r="E104" s="576"/>
      <c r="F104" s="576"/>
      <c r="G104" s="574"/>
      <c r="H104" s="574"/>
      <c r="I104" s="574"/>
    </row>
    <row r="105" spans="2:9" ht="15.75">
      <c r="B105" s="739" t="s">
        <v>927</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9"/>
  <sheetViews>
    <sheetView zoomScalePageLayoutView="0" workbookViewId="0" topLeftCell="A28">
      <selection activeCell="D34" sqref="D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Sterling Township</v>
      </c>
      <c r="C1" s="14"/>
      <c r="D1" s="14"/>
      <c r="E1" s="15">
        <f>inputPrYr!D5</f>
        <v>2014</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11292</v>
      </c>
      <c r="D6" s="387">
        <f>C51</f>
        <v>10892</v>
      </c>
      <c r="E6" s="32">
        <f>D51</f>
        <v>3314</v>
      </c>
    </row>
    <row r="7" spans="2:5" ht="15.75">
      <c r="B7" s="27" t="s">
        <v>120</v>
      </c>
      <c r="C7" s="387"/>
      <c r="D7" s="387"/>
      <c r="E7" s="33"/>
    </row>
    <row r="8" spans="2:5" ht="15.75">
      <c r="B8" s="27" t="s">
        <v>16</v>
      </c>
      <c r="C8" s="29">
        <v>5563</v>
      </c>
      <c r="D8" s="387">
        <f>IF(inputPrYr!H15&gt;0,inputPrYr!G16,inputPrYr!E16)</f>
        <v>1978</v>
      </c>
      <c r="E8" s="33" t="s">
        <v>288</v>
      </c>
    </row>
    <row r="9" spans="2:5" ht="15.75">
      <c r="B9" s="27" t="s">
        <v>17</v>
      </c>
      <c r="C9" s="29">
        <v>86</v>
      </c>
      <c r="D9" s="29"/>
      <c r="E9" s="34"/>
    </row>
    <row r="10" spans="2:5" ht="15.75">
      <c r="B10" s="27" t="s">
        <v>18</v>
      </c>
      <c r="C10" s="29">
        <v>655</v>
      </c>
      <c r="D10" s="29">
        <v>340</v>
      </c>
      <c r="E10" s="32">
        <f>mvalloc!G11</f>
        <v>132</v>
      </c>
    </row>
    <row r="11" spans="2:5" ht="15.75">
      <c r="B11" s="27" t="s">
        <v>19</v>
      </c>
      <c r="C11" s="29">
        <v>25</v>
      </c>
      <c r="D11" s="29">
        <v>19</v>
      </c>
      <c r="E11" s="32">
        <f>mvalloc!I11</f>
        <v>5</v>
      </c>
    </row>
    <row r="12" spans="2:5" ht="15.75">
      <c r="B12" s="35" t="s">
        <v>69</v>
      </c>
      <c r="C12" s="29">
        <v>100</v>
      </c>
      <c r="D12" s="29">
        <v>85</v>
      </c>
      <c r="E12" s="32">
        <f>mvalloc!J11</f>
        <v>26</v>
      </c>
    </row>
    <row r="13" spans="2:5" ht="15.75">
      <c r="B13" s="35" t="s">
        <v>160</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211</v>
      </c>
      <c r="C24" s="29"/>
      <c r="D24" s="29"/>
      <c r="E24" s="34"/>
    </row>
    <row r="25" spans="2:5" ht="15.75">
      <c r="B25" s="39" t="s">
        <v>212</v>
      </c>
      <c r="C25" s="384">
        <f>IF(C26*0.1&lt;C24,"Exceed 10% Rule","")</f>
      </c>
      <c r="D25" s="384">
        <f>IF(D26*0.1&lt;D24,"Exceed 10% Rule","")</f>
      </c>
      <c r="E25" s="45">
        <f>IF(E26*0.1+E57&lt;E24,"Exceed 10% Rule","")</f>
      </c>
    </row>
    <row r="26" spans="2:5" ht="15.75">
      <c r="B26" s="41" t="s">
        <v>23</v>
      </c>
      <c r="C26" s="389">
        <f>SUM(C8:C24)</f>
        <v>6429</v>
      </c>
      <c r="D26" s="389">
        <f>SUM(D8:D24)</f>
        <v>2422</v>
      </c>
      <c r="E26" s="42">
        <f>SUM(E8:E24)</f>
        <v>163</v>
      </c>
    </row>
    <row r="27" spans="2:5" ht="15.75">
      <c r="B27" s="43" t="s">
        <v>24</v>
      </c>
      <c r="C27" s="389">
        <f>C26+C6</f>
        <v>17721</v>
      </c>
      <c r="D27" s="389">
        <f>D26+D6</f>
        <v>13314</v>
      </c>
      <c r="E27" s="42">
        <f>E26+E6</f>
        <v>3477</v>
      </c>
    </row>
    <row r="28" spans="2:5" ht="15.75">
      <c r="B28" s="27" t="s">
        <v>25</v>
      </c>
      <c r="C28" s="387"/>
      <c r="D28" s="387"/>
      <c r="E28" s="32"/>
    </row>
    <row r="29" spans="2:5" ht="15.75">
      <c r="B29" s="37"/>
      <c r="C29" s="29"/>
      <c r="D29" s="29"/>
      <c r="E29" s="34"/>
    </row>
    <row r="30" spans="2:5" ht="15.75">
      <c r="B30" s="38" t="s">
        <v>101</v>
      </c>
      <c r="C30" s="29">
        <v>900</v>
      </c>
      <c r="D30" s="29">
        <v>900</v>
      </c>
      <c r="E30" s="34">
        <v>900</v>
      </c>
    </row>
    <row r="31" spans="2:5" ht="15.75">
      <c r="B31" s="38" t="s">
        <v>125</v>
      </c>
      <c r="C31" s="29">
        <v>0</v>
      </c>
      <c r="D31" s="29">
        <v>0</v>
      </c>
      <c r="E31" s="34">
        <v>0</v>
      </c>
    </row>
    <row r="32" spans="2:5" ht="15.75">
      <c r="B32" s="38" t="s">
        <v>102</v>
      </c>
      <c r="C32" s="29">
        <v>0</v>
      </c>
      <c r="D32" s="29">
        <v>0</v>
      </c>
      <c r="E32" s="34">
        <v>0</v>
      </c>
    </row>
    <row r="33" spans="2:5" ht="15.75">
      <c r="B33" s="38" t="s">
        <v>36</v>
      </c>
      <c r="C33" s="29">
        <v>0</v>
      </c>
      <c r="D33" s="29">
        <v>3000</v>
      </c>
      <c r="E33" s="34">
        <v>3000</v>
      </c>
    </row>
    <row r="34" spans="2:5" ht="15.75">
      <c r="B34" s="37" t="s">
        <v>103</v>
      </c>
      <c r="C34" s="29">
        <v>0</v>
      </c>
      <c r="D34" s="29">
        <v>600</v>
      </c>
      <c r="E34" s="34">
        <v>600</v>
      </c>
    </row>
    <row r="35" spans="2:5" ht="15.75">
      <c r="B35" s="37" t="s">
        <v>126</v>
      </c>
      <c r="C35" s="29">
        <v>0</v>
      </c>
      <c r="D35" s="29">
        <v>0</v>
      </c>
      <c r="E35" s="34">
        <v>0</v>
      </c>
    </row>
    <row r="36" spans="2:5" ht="15.75">
      <c r="B36" s="38" t="s">
        <v>128</v>
      </c>
      <c r="C36" s="29">
        <v>4541</v>
      </c>
      <c r="D36" s="29">
        <v>5000</v>
      </c>
      <c r="E36" s="34">
        <v>5000</v>
      </c>
    </row>
    <row r="37" spans="2:5" ht="15.75">
      <c r="B37" s="38" t="s">
        <v>65</v>
      </c>
      <c r="C37" s="29">
        <v>1388</v>
      </c>
      <c r="D37" s="29">
        <v>500</v>
      </c>
      <c r="E37" s="34">
        <v>500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2014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c r="D48" s="29"/>
      <c r="E48" s="34"/>
      <c r="G48" s="805" t="str">
        <f>CONCATENATE("Projected Carryover Into ",E1+1,"")</f>
        <v>Projected Carryover Into 2015</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6829</v>
      </c>
      <c r="D50" s="381">
        <f>SUM(D29:D48)</f>
        <v>10000</v>
      </c>
      <c r="E50" s="47">
        <f>SUM(E29:E43,E45,E47:E48)</f>
        <v>10000</v>
      </c>
      <c r="G50" s="484">
        <f>D51</f>
        <v>3314</v>
      </c>
      <c r="H50" s="485" t="str">
        <f>CONCATENATE("",E1-1," Ending Cash Balance (est.)")</f>
        <v>2013 Ending Cash Balance (est.)</v>
      </c>
      <c r="I50" s="486"/>
      <c r="J50" s="257"/>
    </row>
    <row r="51" spans="2:10" ht="15.75">
      <c r="B51" s="27" t="s">
        <v>119</v>
      </c>
      <c r="C51" s="382">
        <f>C27-C50</f>
        <v>10892</v>
      </c>
      <c r="D51" s="382">
        <f>SUM(D27-D50)</f>
        <v>3314</v>
      </c>
      <c r="E51" s="33" t="s">
        <v>288</v>
      </c>
      <c r="G51" s="484">
        <f>E26</f>
        <v>163</v>
      </c>
      <c r="H51" s="487" t="str">
        <f>CONCATENATE("",E1," Non-AV Receipts (est.)")</f>
        <v>2014 Non-AV Receipts (est.)</v>
      </c>
      <c r="I51" s="486"/>
      <c r="J51" s="257"/>
    </row>
    <row r="52" spans="2:11" ht="15.75">
      <c r="B52" s="48" t="str">
        <f>CONCATENATE("",E1-2,"/",E1-1," Budget Authority Amount:")</f>
        <v>2012/2013 Budget Authority Amount:</v>
      </c>
      <c r="C52" s="132">
        <f>inputOth!B46</f>
        <v>10000</v>
      </c>
      <c r="D52" s="161">
        <f>inputPrYr!D16</f>
        <v>10000</v>
      </c>
      <c r="E52" s="33" t="s">
        <v>288</v>
      </c>
      <c r="F52" s="50"/>
      <c r="G52" s="488">
        <f>IF(D56&gt;0,E55,E57)</f>
        <v>6523</v>
      </c>
      <c r="H52" s="487" t="str">
        <f>CONCATENATE("",E1," Ad Valorem Tax (est.)")</f>
        <v>2014 Ad Valorem Tax (est.)</v>
      </c>
      <c r="I52" s="486"/>
      <c r="J52" s="257"/>
      <c r="K52" s="701" t="str">
        <f>IF(G52=E57,"","Note: Does not include Delinquent Taxes")</f>
        <v>Note: Does not include Delinquent Taxes</v>
      </c>
    </row>
    <row r="53" spans="2:10" ht="15.75">
      <c r="B53" s="48"/>
      <c r="C53" s="801" t="s">
        <v>621</v>
      </c>
      <c r="D53" s="802"/>
      <c r="E53" s="34"/>
      <c r="F53" s="482">
        <f>IF(E50/0.95-E50&lt;E53,"Exceeds 5%","")</f>
      </c>
      <c r="G53" s="484">
        <f>SUM(G50:G52)</f>
        <v>10000</v>
      </c>
      <c r="H53" s="487" t="str">
        <f>CONCATENATE("Total ",E1," Resources Available")</f>
        <v>Total 2014 Resources Available</v>
      </c>
      <c r="I53" s="486"/>
      <c r="J53" s="257"/>
    </row>
    <row r="54" spans="2:10" ht="15.75">
      <c r="B54" s="395" t="str">
        <f>CONCATENATE(C72,"     ",D72)</f>
        <v>     </v>
      </c>
      <c r="C54" s="803" t="s">
        <v>622</v>
      </c>
      <c r="D54" s="804"/>
      <c r="E54" s="32">
        <f>E50+E53</f>
        <v>10000</v>
      </c>
      <c r="G54" s="489"/>
      <c r="H54" s="487"/>
      <c r="I54" s="487"/>
      <c r="J54" s="257"/>
    </row>
    <row r="55" spans="2:10" ht="15.75">
      <c r="B55" s="395" t="str">
        <f>CONCATENATE(C73,"     ",D73)</f>
        <v>     </v>
      </c>
      <c r="C55" s="60"/>
      <c r="D55" s="52" t="s">
        <v>28</v>
      </c>
      <c r="E55" s="46">
        <f>IF(E54-E27&gt;0,E54-E27,0)</f>
        <v>6523</v>
      </c>
      <c r="G55" s="488">
        <f>ROUND(C50*0.05+C50,0)</f>
        <v>7170</v>
      </c>
      <c r="H55" s="487" t="str">
        <f>CONCATENATE("Less ",E1-2," Expenditures + 5%")</f>
        <v>Less 2012 Expenditures + 5%</v>
      </c>
      <c r="I55" s="486"/>
      <c r="J55" s="257"/>
    </row>
    <row r="56" spans="2:10" ht="15.75">
      <c r="B56" s="52"/>
      <c r="C56" s="399" t="s">
        <v>623</v>
      </c>
      <c r="D56" s="689">
        <f>inputOth!$E$40</f>
        <v>0.01</v>
      </c>
      <c r="E56" s="32">
        <f>ROUND(IF(D56&gt;0,(E55*D56),0),0)</f>
        <v>65</v>
      </c>
      <c r="G56" s="490">
        <f>G53-G55</f>
        <v>2830</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6588</v>
      </c>
    </row>
    <row r="58" spans="2:10" ht="15.7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1.691</v>
      </c>
      <c r="H60" s="485" t="str">
        <f>CONCATENATE("",E1," Fund Mill Rate")</f>
        <v>2014 Fund Mill Rate</v>
      </c>
      <c r="I60" s="691"/>
      <c r="J60" s="703"/>
      <c r="K60" s="16"/>
    </row>
    <row r="61" spans="2:10" ht="15.75">
      <c r="B61" s="52" t="s">
        <v>9</v>
      </c>
      <c r="C61" s="401">
        <f>IF(inputPrYr!D18&gt;0,7,6)</f>
        <v>6</v>
      </c>
      <c r="D61" s="14"/>
      <c r="E61" s="55"/>
      <c r="G61" s="705">
        <f>summ!F18</f>
        <v>0.531</v>
      </c>
      <c r="H61" s="485" t="str">
        <f>CONCATENATE("",E1-1," Fund Mill Rate")</f>
        <v>2013 Fund Mill Rate</v>
      </c>
      <c r="I61" s="691"/>
      <c r="J61" s="703"/>
    </row>
    <row r="62" spans="7:10" ht="15.75">
      <c r="G62" s="706">
        <f>summ!I32</f>
        <v>27.227999999999998</v>
      </c>
      <c r="H62" s="485" t="str">
        <f>CONCATENATE("Total ",E1," Mill Rate")</f>
        <v>Total 2014 Mill Rate</v>
      </c>
      <c r="I62" s="691"/>
      <c r="J62" s="703"/>
    </row>
    <row r="63" spans="2:10" ht="15.75">
      <c r="B63" s="12"/>
      <c r="G63" s="705">
        <f>summ!F32</f>
        <v>27.223</v>
      </c>
      <c r="H63" s="707" t="str">
        <f>CONCATENATE("Total ",E1-1," Mill Rate")</f>
        <v>Total 2013 Mill Rate</v>
      </c>
      <c r="I63" s="708"/>
      <c r="J63" s="709"/>
    </row>
    <row r="64" spans="7:10" ht="15.75">
      <c r="G64" s="692"/>
      <c r="H64" s="494"/>
      <c r="I64" s="494"/>
      <c r="J64" s="694"/>
    </row>
    <row r="65" spans="7:10" ht="15.75">
      <c r="G65" s="744" t="s">
        <v>932</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row r="79" ht="15.75">
      <c r="K79" s="16">
        <v>6</v>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Sterling Township</v>
      </c>
      <c r="C1" s="579"/>
      <c r="D1" s="580"/>
      <c r="E1" s="581">
        <f>inputPrYr!D5</f>
        <v>2014</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143</v>
      </c>
      <c r="C6" s="595"/>
      <c r="D6" s="596">
        <f>C34</f>
        <v>0</v>
      </c>
      <c r="E6" s="597">
        <f>D34</f>
        <v>0</v>
      </c>
    </row>
    <row r="7" spans="2:5" ht="15.75">
      <c r="B7" s="594" t="s">
        <v>120</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5.75">
      <c r="B31" s="627" t="s">
        <v>211</v>
      </c>
      <c r="C31" s="607"/>
      <c r="D31" s="601"/>
      <c r="E31" s="602"/>
      <c r="G31" s="811" t="str">
        <f>CONCATENATE("Projected Carryover Into ",E1+1,"")</f>
        <v>Projected Carryover Into 2015</v>
      </c>
      <c r="H31" s="814"/>
      <c r="I31" s="814"/>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288</v>
      </c>
      <c r="F35" s="639"/>
      <c r="G35" s="640">
        <f>IF(E39&gt;0,E38,E40)</f>
        <v>0</v>
      </c>
      <c r="H35" s="615" t="str">
        <f>CONCATENATE("",E1," Ad Valorem Tax (est.)")</f>
        <v>2014 Ad Valorem Tax (est.)</v>
      </c>
      <c r="I35" s="615"/>
      <c r="J35" s="737"/>
      <c r="K35" s="738">
        <f>IF(G35=E40,"","Note: Does not include Delinquent Taxes")</f>
      </c>
    </row>
    <row r="36" spans="2:10" ht="15.75">
      <c r="B36" s="636"/>
      <c r="C36" s="801" t="s">
        <v>621</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622</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623</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820</v>
      </c>
      <c r="D44" s="588" t="s">
        <v>821</v>
      </c>
      <c r="E44" s="589" t="s">
        <v>822</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27.227999999999998</v>
      </c>
      <c r="H45" s="632" t="str">
        <f>CONCATENATE("Total ",E1," Mill Rate")</f>
        <v>Total 2014 Mill Rate</v>
      </c>
      <c r="I45" s="656"/>
      <c r="J45" s="657"/>
    </row>
    <row r="46" spans="2:10" ht="15.75">
      <c r="B46" s="594" t="s">
        <v>143</v>
      </c>
      <c r="C46" s="599">
        <v>0</v>
      </c>
      <c r="D46" s="596">
        <f>C74</f>
        <v>0</v>
      </c>
      <c r="E46" s="597">
        <f>D74</f>
        <v>0</v>
      </c>
      <c r="F46" s="635"/>
      <c r="G46" s="659">
        <f>summ!F32</f>
        <v>27.223</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288</v>
      </c>
      <c r="F48" s="635"/>
      <c r="G48" s="744" t="s">
        <v>932</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5.75">
      <c r="B70" s="603" t="s">
        <v>213</v>
      </c>
      <c r="C70" s="599"/>
      <c r="D70" s="601"/>
      <c r="E70" s="597">
        <f>nhood!E8</f>
      </c>
      <c r="F70" s="635"/>
    </row>
    <row r="71" spans="2:10" ht="15.75">
      <c r="B71" s="603" t="s">
        <v>211</v>
      </c>
      <c r="C71" s="607"/>
      <c r="D71" s="601"/>
      <c r="E71" s="602"/>
      <c r="F71" s="635"/>
      <c r="G71" s="811" t="str">
        <f>CONCATENATE("Projected Carryover Into ",E1+1,"")</f>
        <v>Projected Carryover Into 2015</v>
      </c>
      <c r="H71" s="821"/>
      <c r="I71" s="821"/>
      <c r="J71" s="815"/>
    </row>
    <row r="72" spans="2:10" ht="15.75">
      <c r="B72" s="603" t="s">
        <v>620</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288</v>
      </c>
      <c r="F75" s="639"/>
      <c r="G75" s="640">
        <f>IF(E79&gt;0,E78,E80)</f>
        <v>0</v>
      </c>
      <c r="H75" s="615" t="str">
        <f>CONCATENATE("",E1," Ad Valorem Tax (est.)")</f>
        <v>2014 Ad Valorem Tax (est.)</v>
      </c>
      <c r="I75" s="633"/>
      <c r="J75" s="668"/>
      <c r="K75" s="641">
        <f>IF(G75=E80,"","Note: Does not include Delinquent Taxes")</f>
      </c>
    </row>
    <row r="76" spans="2:10" ht="15.75">
      <c r="B76" s="636"/>
      <c r="C76" s="801" t="s">
        <v>621</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622</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623</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824</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27.227999999999998</v>
      </c>
      <c r="H85" s="632" t="str">
        <f>CONCATENATE("Total ",E1," Mill Rate")</f>
        <v>Total 2014 Mill Rate</v>
      </c>
      <c r="I85" s="656"/>
      <c r="J85" s="657"/>
    </row>
    <row r="86" spans="7:10" ht="15.75">
      <c r="G86" s="659">
        <f>summ!F32</f>
        <v>27.223</v>
      </c>
      <c r="H86" s="662" t="str">
        <f>CONCATENATE("Total ",E1-1," Mill Rate")</f>
        <v>Total 2013 Mill Rate</v>
      </c>
      <c r="I86" s="663"/>
      <c r="J86" s="664"/>
    </row>
    <row r="87" spans="7:10" ht="15.75">
      <c r="G87" s="678"/>
      <c r="H87" s="678"/>
      <c r="I87" s="678"/>
      <c r="J87" s="678"/>
    </row>
    <row r="88" spans="3:9" ht="15.75">
      <c r="C88" s="679" t="s">
        <v>825</v>
      </c>
      <c r="D88" s="679" t="s">
        <v>825</v>
      </c>
      <c r="G88" s="744" t="s">
        <v>932</v>
      </c>
      <c r="H88" s="743"/>
      <c r="I88" s="742" t="str">
        <f>cert!F37</f>
        <v>Yes</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Sterling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11752</v>
      </c>
      <c r="D6" s="387">
        <f>C44</f>
        <v>20903</v>
      </c>
      <c r="E6" s="32">
        <f>D44</f>
        <v>12843</v>
      </c>
    </row>
    <row r="7" spans="2:5" ht="15.75">
      <c r="B7" s="27" t="s">
        <v>120</v>
      </c>
      <c r="C7" s="387"/>
      <c r="D7" s="387"/>
      <c r="E7" s="33"/>
    </row>
    <row r="8" spans="2:5" ht="15.75">
      <c r="B8" s="27" t="s">
        <v>16</v>
      </c>
      <c r="C8" s="29">
        <v>89011</v>
      </c>
      <c r="D8" s="387">
        <f>IF(inputPrYr!H15&gt;0,inputPrYr!G19,inputPrYr!E19)</f>
        <v>95952</v>
      </c>
      <c r="E8" s="33" t="s">
        <v>288</v>
      </c>
    </row>
    <row r="9" spans="2:5" ht="15.75">
      <c r="B9" s="27" t="s">
        <v>17</v>
      </c>
      <c r="C9" s="29">
        <v>979</v>
      </c>
      <c r="D9" s="29"/>
      <c r="E9" s="34"/>
    </row>
    <row r="10" spans="2:5" ht="15.75">
      <c r="B10" s="27" t="s">
        <v>18</v>
      </c>
      <c r="C10" s="29">
        <v>6089</v>
      </c>
      <c r="D10" s="29">
        <v>5443</v>
      </c>
      <c r="E10" s="32">
        <f>mvalloc!G14</f>
        <v>6432</v>
      </c>
    </row>
    <row r="11" spans="2:5" ht="15.75">
      <c r="B11" s="27" t="s">
        <v>19</v>
      </c>
      <c r="C11" s="29">
        <v>236</v>
      </c>
      <c r="D11" s="29">
        <v>309</v>
      </c>
      <c r="E11" s="32">
        <f>mvalloc!I14</f>
        <v>278</v>
      </c>
    </row>
    <row r="12" spans="2:5" ht="15.75">
      <c r="B12" s="27" t="s">
        <v>99</v>
      </c>
      <c r="C12" s="29">
        <v>1096</v>
      </c>
      <c r="D12" s="29">
        <v>1359</v>
      </c>
      <c r="E12" s="32">
        <f>mvalloc!J14</f>
        <v>1267</v>
      </c>
    </row>
    <row r="13" spans="2:5" ht="15.75">
      <c r="B13" s="27" t="s">
        <v>100</v>
      </c>
      <c r="C13" s="29">
        <v>3322</v>
      </c>
      <c r="D13" s="29">
        <v>3177</v>
      </c>
      <c r="E13" s="32">
        <f>inputOth!E36</f>
        <v>3185</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100733</v>
      </c>
      <c r="D23" s="389">
        <f>SUM(D8:D21)</f>
        <v>106240</v>
      </c>
      <c r="E23" s="42">
        <f>SUM(E8:E21)</f>
        <v>11162</v>
      </c>
    </row>
    <row r="24" spans="2:5" ht="15.75">
      <c r="B24" s="43" t="s">
        <v>24</v>
      </c>
      <c r="C24" s="389">
        <f>C23+C6</f>
        <v>112485</v>
      </c>
      <c r="D24" s="389">
        <f>D23+D6</f>
        <v>127143</v>
      </c>
      <c r="E24" s="42">
        <f>E23+E6</f>
        <v>24005</v>
      </c>
    </row>
    <row r="25" spans="2:5" ht="15.75">
      <c r="B25" s="27" t="s">
        <v>25</v>
      </c>
      <c r="C25" s="387"/>
      <c r="D25" s="387"/>
      <c r="E25" s="32"/>
    </row>
    <row r="26" spans="2:5" ht="15.75">
      <c r="B26" s="38" t="s">
        <v>125</v>
      </c>
      <c r="C26" s="29">
        <v>29582</v>
      </c>
      <c r="D26" s="29">
        <v>28800</v>
      </c>
      <c r="E26" s="34">
        <v>28800</v>
      </c>
    </row>
    <row r="27" spans="2:5" ht="15.75">
      <c r="B27" s="37" t="s">
        <v>102</v>
      </c>
      <c r="C27" s="29">
        <v>7918</v>
      </c>
      <c r="D27" s="29">
        <v>12000</v>
      </c>
      <c r="E27" s="34">
        <v>12000</v>
      </c>
    </row>
    <row r="28" spans="2:5" ht="15.75">
      <c r="B28" s="38" t="s">
        <v>127</v>
      </c>
      <c r="C28" s="29">
        <v>13674</v>
      </c>
      <c r="D28" s="29">
        <v>20000</v>
      </c>
      <c r="E28" s="34">
        <v>20000</v>
      </c>
    </row>
    <row r="29" spans="2:5" ht="15.75">
      <c r="B29" s="38" t="s">
        <v>105</v>
      </c>
      <c r="C29" s="29">
        <v>3163</v>
      </c>
      <c r="D29" s="29">
        <v>20000</v>
      </c>
      <c r="E29" s="34">
        <v>22000</v>
      </c>
    </row>
    <row r="30" spans="2:5" ht="15.75">
      <c r="B30" s="38" t="s">
        <v>103</v>
      </c>
      <c r="C30" s="29">
        <v>6208</v>
      </c>
      <c r="D30" s="29">
        <v>26000</v>
      </c>
      <c r="E30" s="34">
        <v>26000</v>
      </c>
    </row>
    <row r="31" spans="2:5" ht="15.75">
      <c r="B31" s="38" t="s">
        <v>128</v>
      </c>
      <c r="C31" s="29">
        <v>1512</v>
      </c>
      <c r="D31" s="29">
        <v>0</v>
      </c>
      <c r="E31" s="34">
        <v>0</v>
      </c>
    </row>
    <row r="32" spans="2:5" ht="15.75">
      <c r="B32" s="38" t="s">
        <v>65</v>
      </c>
      <c r="C32" s="29">
        <v>205</v>
      </c>
      <c r="D32" s="29">
        <v>2500</v>
      </c>
      <c r="E32" s="34">
        <v>5000</v>
      </c>
    </row>
    <row r="33" spans="2:5" ht="15.75">
      <c r="B33" s="38" t="s">
        <v>946</v>
      </c>
      <c r="C33" s="29">
        <v>1245</v>
      </c>
      <c r="D33" s="29">
        <v>5000</v>
      </c>
      <c r="E33" s="34">
        <v>5000</v>
      </c>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104</v>
      </c>
      <c r="C38" s="29">
        <v>28075</v>
      </c>
      <c r="D38" s="29"/>
      <c r="E38" s="34"/>
      <c r="G38" s="696" t="str">
        <f>CONCATENATE("",E1," Tot Exp/Non-Appr Must Be:")</f>
        <v>2014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c r="E40" s="46">
        <f>nhood!E9</f>
      </c>
    </row>
    <row r="41" spans="2:10" ht="15.75">
      <c r="B41" s="35" t="s">
        <v>211</v>
      </c>
      <c r="C41" s="29"/>
      <c r="D41" s="29"/>
      <c r="E41" s="34"/>
      <c r="G41" s="805" t="str">
        <f>CONCATENATE("Projected Carryover Into ",E1+1,"")</f>
        <v>Projected Carryover Into 2015</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91582</v>
      </c>
      <c r="D43" s="389">
        <f>SUM(D26:D38,D40:D41)</f>
        <v>114300</v>
      </c>
      <c r="E43" s="42">
        <f>SUM(E26:E38,E40:E41)</f>
        <v>118800</v>
      </c>
      <c r="G43" s="484">
        <f>D44</f>
        <v>12843</v>
      </c>
      <c r="H43" s="485" t="str">
        <f>CONCATENATE("",E1-1," Ending Cash Balance (est.)")</f>
        <v>2013 Ending Cash Balance (est.)</v>
      </c>
      <c r="I43" s="486"/>
      <c r="J43" s="257"/>
    </row>
    <row r="44" spans="2:10" ht="15.75">
      <c r="B44" s="27" t="s">
        <v>119</v>
      </c>
      <c r="C44" s="382">
        <f>C24-C43</f>
        <v>20903</v>
      </c>
      <c r="D44" s="382">
        <f>D24-D43</f>
        <v>12843</v>
      </c>
      <c r="E44" s="33" t="s">
        <v>288</v>
      </c>
      <c r="G44" s="484">
        <f>E23</f>
        <v>11162</v>
      </c>
      <c r="H44" s="487" t="str">
        <f>CONCATENATE("",E1," Non-AV Receipts (est.)")</f>
        <v>2014 Non-AV Receipts (est.)</v>
      </c>
      <c r="I44" s="486"/>
      <c r="J44" s="257"/>
    </row>
    <row r="45" spans="2:11" ht="15.75">
      <c r="B45" s="48" t="str">
        <f>CONCATENATE("",E1-2,"/",E1-1," Budget Authority Amount:")</f>
        <v>2012/2013 Budget Authority Amount:</v>
      </c>
      <c r="C45" s="132">
        <f>inputOth!B49</f>
        <v>103100</v>
      </c>
      <c r="D45" s="161">
        <f>inputPrYr!D19</f>
        <v>114300</v>
      </c>
      <c r="E45" s="33" t="s">
        <v>288</v>
      </c>
      <c r="F45" s="50"/>
      <c r="G45" s="488">
        <f>IF(D49&gt;0,E48,E50)</f>
        <v>94795</v>
      </c>
      <c r="H45" s="487" t="str">
        <f>CONCATENATE("",E1," Ad Valorem Tax (est.)")</f>
        <v>2014 Ad Valorem Tax (est.)</v>
      </c>
      <c r="I45" s="486"/>
      <c r="J45" s="257"/>
      <c r="K45" s="701" t="str">
        <f>IF(G45=E50,"","Note: Does not include Delinquent Taxes")</f>
        <v>Note: Does not include Delinquent Taxes</v>
      </c>
    </row>
    <row r="46" spans="2:10" ht="15.75">
      <c r="B46" s="48"/>
      <c r="C46" s="801" t="s">
        <v>621</v>
      </c>
      <c r="D46" s="802"/>
      <c r="E46" s="34"/>
      <c r="F46" s="482">
        <f>IF(E43/0.95-E43&lt;E46,"Exceeds 5%","")</f>
      </c>
      <c r="G46" s="484">
        <f>SUM(G43:G45)</f>
        <v>118800</v>
      </c>
      <c r="H46" s="487" t="str">
        <f>CONCATENATE("Total ",E1," Resources Available")</f>
        <v>Total 2014 Resources Available</v>
      </c>
      <c r="I46" s="486"/>
      <c r="J46" s="257"/>
    </row>
    <row r="47" spans="2:10" ht="15.75">
      <c r="B47" s="395" t="str">
        <f>CONCATENATE(C74,"     ",D74)</f>
        <v>     </v>
      </c>
      <c r="C47" s="803" t="s">
        <v>622</v>
      </c>
      <c r="D47" s="804"/>
      <c r="E47" s="32">
        <f>E43+E46</f>
        <v>118800</v>
      </c>
      <c r="G47" s="489"/>
      <c r="H47" s="487"/>
      <c r="I47" s="487"/>
      <c r="J47" s="257"/>
    </row>
    <row r="48" spans="2:10" ht="15.75">
      <c r="B48" s="395" t="str">
        <f>CONCATENATE(C75,"     ",D75)</f>
        <v>     </v>
      </c>
      <c r="C48" s="60"/>
      <c r="D48" s="52" t="s">
        <v>28</v>
      </c>
      <c r="E48" s="46">
        <f>IF(E47-E24&gt;0,E47-E24,0)</f>
        <v>94795</v>
      </c>
      <c r="G48" s="488">
        <f>ROUND(C43*0.05+C43,0)</f>
        <v>96161</v>
      </c>
      <c r="H48" s="487" t="str">
        <f>CONCATENATE("Less ",E1-2," Expenditures + 5%")</f>
        <v>Less 2012 Expenditures + 5%</v>
      </c>
      <c r="I48" s="486"/>
      <c r="J48" s="257"/>
    </row>
    <row r="49" spans="2:10" ht="15.75">
      <c r="B49" s="52"/>
      <c r="C49" s="399" t="s">
        <v>623</v>
      </c>
      <c r="D49" s="689">
        <f>inputOth!$E$40</f>
        <v>0.01</v>
      </c>
      <c r="E49" s="32">
        <f>ROUND(IF(D49&gt;0,(E48*D49),0),0)</f>
        <v>948</v>
      </c>
      <c r="G49" s="490">
        <f>G46-G48</f>
        <v>22639</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95743</v>
      </c>
    </row>
    <row r="51" spans="2:10" ht="15.7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f>summ!I21</f>
        <v>24.578</v>
      </c>
      <c r="H53" s="485" t="str">
        <f>CONCATENATE("",E1," Fund Mill Rate")</f>
        <v>2014 Fund Mill Rate</v>
      </c>
      <c r="I53" s="691"/>
      <c r="J53" s="703"/>
    </row>
    <row r="54" spans="2:10" ht="15.75">
      <c r="B54" s="71" t="s">
        <v>31</v>
      </c>
      <c r="C54" s="400" t="str">
        <f>CONCATENATE("",E1-2," Actual Year")</f>
        <v>2012 Actual Year</v>
      </c>
      <c r="D54" s="14"/>
      <c r="E54" s="14"/>
      <c r="G54" s="705">
        <f>summ!F21</f>
        <v>25.717</v>
      </c>
      <c r="H54" s="485" t="str">
        <f>CONCATENATE("",E1-1," Fund Mill Rate")</f>
        <v>2013 Fund Mill Rate</v>
      </c>
      <c r="I54" s="691"/>
      <c r="J54" s="703"/>
    </row>
    <row r="55" spans="2:10" ht="15.75">
      <c r="B55" s="72" t="s">
        <v>14</v>
      </c>
      <c r="C55" s="130">
        <v>15045</v>
      </c>
      <c r="D55" s="14"/>
      <c r="E55" s="14"/>
      <c r="G55" s="706">
        <f>summ!I32</f>
        <v>27.227999999999998</v>
      </c>
      <c r="H55" s="485" t="str">
        <f>CONCATENATE("Total ",E1," Mill Rate")</f>
        <v>Total 2014 Mill Rate</v>
      </c>
      <c r="I55" s="691"/>
      <c r="J55" s="703"/>
    </row>
    <row r="56" spans="2:10" ht="15.75">
      <c r="B56" s="72" t="s">
        <v>33</v>
      </c>
      <c r="C56" s="132"/>
      <c r="D56" s="14"/>
      <c r="E56" s="14"/>
      <c r="G56" s="705">
        <f>summ!F32</f>
        <v>27.223</v>
      </c>
      <c r="H56" s="707" t="str">
        <f>CONCATENATE("Total ",E1-1," Mill Rate")</f>
        <v>Total 2013 Mill Rate</v>
      </c>
      <c r="I56" s="708"/>
      <c r="J56" s="709"/>
    </row>
    <row r="57" spans="2:5" ht="15.75">
      <c r="B57" s="72" t="s">
        <v>34</v>
      </c>
      <c r="C57" s="398">
        <f>C38</f>
        <v>28075</v>
      </c>
      <c r="D57" s="74"/>
      <c r="E57" s="14"/>
    </row>
    <row r="58" spans="2:9" ht="15.75">
      <c r="B58" s="72" t="s">
        <v>245</v>
      </c>
      <c r="C58" s="398">
        <f>gen!C43</f>
        <v>0</v>
      </c>
      <c r="D58" s="822">
        <f>IF(AND(C58&gt;0,C59&gt;0),"Not Auth. Two General Transfers - Only One","")</f>
      </c>
      <c r="E58" s="823"/>
      <c r="G58" s="744" t="s">
        <v>932</v>
      </c>
      <c r="H58" s="743"/>
      <c r="I58" s="742" t="str">
        <f>cert!F37</f>
        <v>Yes</v>
      </c>
    </row>
    <row r="59" spans="2:5" ht="15.75">
      <c r="B59" s="75" t="s">
        <v>246</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43120</v>
      </c>
      <c r="D63" s="14"/>
      <c r="E63" s="14"/>
    </row>
    <row r="64" spans="2:5" ht="15.75">
      <c r="B64" s="77" t="s">
        <v>26</v>
      </c>
      <c r="C64" s="130">
        <v>0</v>
      </c>
      <c r="D64" s="14"/>
      <c r="E64" s="14"/>
    </row>
    <row r="65" spans="2:5" ht="15.75">
      <c r="B65" s="77" t="s">
        <v>27</v>
      </c>
      <c r="C65" s="397">
        <f>SUM(C63-C64)</f>
        <v>43120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9">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Sterling Township</v>
      </c>
      <c r="C1" s="22" t="s">
        <v>35</v>
      </c>
      <c r="D1" s="14"/>
      <c r="E1" s="15">
        <f>inputPrYr!D5</f>
        <v>2014</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t="str">
        <f>inputPrYr!B20</f>
        <v>Cemetery</v>
      </c>
      <c r="C5" s="386" t="str">
        <f>gen!C5</f>
        <v>Actual for 2012</v>
      </c>
      <c r="D5" s="386" t="str">
        <f>gen!D5</f>
        <v>Estimate for 2013</v>
      </c>
      <c r="E5" s="26" t="str">
        <f>gen!E5</f>
        <v>Year for 2014</v>
      </c>
    </row>
    <row r="6" spans="2:5" ht="15.75">
      <c r="B6" s="27" t="s">
        <v>118</v>
      </c>
      <c r="C6" s="29">
        <v>-35</v>
      </c>
      <c r="D6" s="387">
        <f>C34</f>
        <v>-12</v>
      </c>
      <c r="E6" s="32">
        <f>D34</f>
        <v>0</v>
      </c>
    </row>
    <row r="7" spans="2:5" ht="15.75">
      <c r="B7" s="27" t="s">
        <v>120</v>
      </c>
      <c r="C7" s="387"/>
      <c r="D7" s="387"/>
      <c r="E7" s="33"/>
    </row>
    <row r="8" spans="2:5" ht="15.75">
      <c r="B8" s="27" t="s">
        <v>16</v>
      </c>
      <c r="C8" s="29">
        <v>3648</v>
      </c>
      <c r="D8" s="387">
        <f>IF(inputPrYr!H15&gt;0,inputPrYr!G20,inputPrYr!E20)</f>
        <v>3636</v>
      </c>
      <c r="E8" s="33" t="s">
        <v>288</v>
      </c>
    </row>
    <row r="9" spans="2:5" ht="15.75">
      <c r="B9" s="27" t="s">
        <v>17</v>
      </c>
      <c r="C9" s="29">
        <v>43</v>
      </c>
      <c r="D9" s="29"/>
      <c r="E9" s="34"/>
    </row>
    <row r="10" spans="2:5" ht="15.75">
      <c r="B10" s="27" t="s">
        <v>18</v>
      </c>
      <c r="C10" s="29">
        <v>274</v>
      </c>
      <c r="D10" s="29">
        <v>223</v>
      </c>
      <c r="E10" s="32">
        <f>mvalloc!G15</f>
        <v>244</v>
      </c>
    </row>
    <row r="11" spans="2:5" ht="15.75">
      <c r="B11" s="27" t="s">
        <v>19</v>
      </c>
      <c r="C11" s="29">
        <v>11</v>
      </c>
      <c r="D11" s="29">
        <v>13</v>
      </c>
      <c r="E11" s="32">
        <f>mvalloc!I15</f>
        <v>11</v>
      </c>
    </row>
    <row r="12" spans="2:5" ht="15.75">
      <c r="B12" s="35" t="s">
        <v>69</v>
      </c>
      <c r="C12" s="29">
        <v>47</v>
      </c>
      <c r="D12" s="29">
        <v>56</v>
      </c>
      <c r="E12" s="32">
        <f>mvalloc!J15</f>
        <v>48</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4023</v>
      </c>
      <c r="D20" s="389">
        <f>SUM(D8:D18)</f>
        <v>3928</v>
      </c>
      <c r="E20" s="42">
        <f>SUM(E8:E18)</f>
        <v>303</v>
      </c>
    </row>
    <row r="21" spans="2:5" ht="15.75">
      <c r="B21" s="43" t="s">
        <v>24</v>
      </c>
      <c r="C21" s="389">
        <f>C20+C6</f>
        <v>3988</v>
      </c>
      <c r="D21" s="389">
        <f>D20+D6</f>
        <v>3916</v>
      </c>
      <c r="E21" s="42">
        <f>E20+E6</f>
        <v>303</v>
      </c>
    </row>
    <row r="22" spans="2:5" ht="15.75">
      <c r="B22" s="27" t="s">
        <v>25</v>
      </c>
      <c r="C22" s="387"/>
      <c r="D22" s="387"/>
      <c r="E22" s="32"/>
    </row>
    <row r="23" spans="2:5" ht="15.75">
      <c r="B23" s="38" t="s">
        <v>947</v>
      </c>
      <c r="C23" s="29">
        <v>4000</v>
      </c>
      <c r="D23" s="29">
        <v>3916</v>
      </c>
      <c r="E23" s="34">
        <v>4000</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5.75">
      <c r="B31" s="35" t="s">
        <v>211</v>
      </c>
      <c r="C31" s="29"/>
      <c r="D31" s="29"/>
      <c r="E31" s="34"/>
      <c r="G31" s="811" t="str">
        <f>CONCATENATE("Projected Carryover Into ",E1+1,"")</f>
        <v>Projected Carryover Into 2015</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4000</v>
      </c>
      <c r="D33" s="389">
        <f>SUM(D23:D31)</f>
        <v>3916</v>
      </c>
      <c r="E33" s="42">
        <f>SUM(E23:E31)</f>
        <v>4000</v>
      </c>
      <c r="G33" s="631">
        <f>D34</f>
        <v>0</v>
      </c>
      <c r="H33" s="632" t="str">
        <f>CONCATENATE("",E1-1," Ending Cash Balance (est.)")</f>
        <v>2013 Ending Cash Balance (est.)</v>
      </c>
      <c r="I33" s="633"/>
      <c r="J33" s="628"/>
      <c r="K33" s="582"/>
    </row>
    <row r="34" spans="2:11" ht="15.75">
      <c r="B34" s="27" t="s">
        <v>119</v>
      </c>
      <c r="C34" s="382">
        <f>C21-C33</f>
        <v>-12</v>
      </c>
      <c r="D34" s="382">
        <f>D21-D33</f>
        <v>0</v>
      </c>
      <c r="E34" s="33" t="s">
        <v>288</v>
      </c>
      <c r="G34" s="631">
        <f>E20</f>
        <v>303</v>
      </c>
      <c r="H34" s="615" t="str">
        <f>CONCATENATE("",E1," Non-AV Receipts (est.)")</f>
        <v>2014 Non-AV Receipts (est.)</v>
      </c>
      <c r="I34" s="633"/>
      <c r="J34" s="628"/>
      <c r="K34" s="582"/>
    </row>
    <row r="35" spans="2:11" ht="15.75">
      <c r="B35" s="48" t="str">
        <f>CONCATENATE("",E1-2,"/",E1-1," Budget Authority Amount:")</f>
        <v>2012/2013 Budget Authority Amount:</v>
      </c>
      <c r="C35" s="132">
        <f>inputOth!B50</f>
        <v>3928</v>
      </c>
      <c r="D35" s="161">
        <f>inputPrYr!D20</f>
        <v>3928</v>
      </c>
      <c r="E35" s="33" t="s">
        <v>288</v>
      </c>
      <c r="F35" s="50"/>
      <c r="G35" s="640">
        <f>IF(E39&gt;0,E38,E40)</f>
        <v>3697</v>
      </c>
      <c r="H35" s="615" t="str">
        <f>CONCATENATE("",E1," Ad Valorem Tax (est.)")</f>
        <v>2014 Ad Valorem Tax (est.)</v>
      </c>
      <c r="I35" s="633"/>
      <c r="J35" s="628"/>
      <c r="K35" s="641" t="str">
        <f>IF(G35=E40,"","Note: Does not include Delinquent Taxes")</f>
        <v>Note: Does not include Delinquent Taxes</v>
      </c>
    </row>
    <row r="36" spans="2:11" ht="15.75">
      <c r="B36" s="48"/>
      <c r="C36" s="801" t="s">
        <v>621</v>
      </c>
      <c r="D36" s="802"/>
      <c r="E36" s="34"/>
      <c r="F36" s="482">
        <f>IF(E33/0.95-E33&lt;E36,"Exceeds 5%","")</f>
      </c>
      <c r="G36" s="631">
        <f>SUM(G33:G35)</f>
        <v>4000</v>
      </c>
      <c r="H36" s="615" t="str">
        <f>CONCATENATE("Total ",E1," Resources Available")</f>
        <v>Total 2014 Resources Available</v>
      </c>
      <c r="I36" s="633"/>
      <c r="J36" s="628"/>
      <c r="K36" s="582"/>
    </row>
    <row r="37" spans="2:11" ht="15.75">
      <c r="B37" s="395" t="str">
        <f>CONCATENATE(C92,"     ",D92)</f>
        <v>See Tab A     </v>
      </c>
      <c r="C37" s="803" t="s">
        <v>622</v>
      </c>
      <c r="D37" s="804"/>
      <c r="E37" s="32">
        <f>E33+E36</f>
        <v>4000</v>
      </c>
      <c r="G37" s="644"/>
      <c r="H37" s="615"/>
      <c r="I37" s="615"/>
      <c r="J37" s="628"/>
      <c r="K37" s="582"/>
    </row>
    <row r="38" spans="2:11" ht="15.75">
      <c r="B38" s="395" t="str">
        <f>CONCATENATE(C93,"     ",D93)</f>
        <v>See Tab B     </v>
      </c>
      <c r="C38" s="60"/>
      <c r="D38" s="52" t="s">
        <v>28</v>
      </c>
      <c r="E38" s="46">
        <f>IF(E37-E21&gt;0,E37-E21,0)</f>
        <v>3697</v>
      </c>
      <c r="G38" s="640">
        <f>C33*0.05+C33</f>
        <v>4200</v>
      </c>
      <c r="H38" s="615" t="str">
        <f>CONCATENATE("Less ",E1-2," Expenditures + 5%")</f>
        <v>Less 2012 Expenditures + 5%</v>
      </c>
      <c r="I38" s="615"/>
      <c r="J38" s="628"/>
      <c r="K38" s="582"/>
    </row>
    <row r="39" spans="2:11" ht="15.75">
      <c r="B39" s="52"/>
      <c r="C39" s="399" t="s">
        <v>623</v>
      </c>
      <c r="D39" s="689">
        <f>inputOth!$E$40</f>
        <v>0.01</v>
      </c>
      <c r="E39" s="32">
        <f>ROUND(IF(D39&gt;0,(E38*D39),0),0)</f>
        <v>37</v>
      </c>
      <c r="G39" s="648">
        <f>G36-G38</f>
        <v>-200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3734</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0.959</v>
      </c>
      <c r="H43" s="632" t="str">
        <f>CONCATENATE("",E1," Fund Mill Rate")</f>
        <v>2014 Fund Mill Rate</v>
      </c>
      <c r="I43" s="656"/>
      <c r="J43" s="657"/>
      <c r="K43" s="582"/>
    </row>
    <row r="44" spans="2:11" ht="15.75">
      <c r="B44" s="14"/>
      <c r="C44" s="385" t="s">
        <v>11</v>
      </c>
      <c r="D44" s="388" t="s">
        <v>12</v>
      </c>
      <c r="E44" s="23" t="s">
        <v>13</v>
      </c>
      <c r="G44" s="659">
        <f>summ!F22</f>
        <v>0.975</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27.227999999999998</v>
      </c>
      <c r="H45" s="632" t="str">
        <f>CONCATENATE("Total ",E1," Mill Rate")</f>
        <v>Total 2014 Mill Rate</v>
      </c>
      <c r="I45" s="656"/>
      <c r="J45" s="657"/>
      <c r="K45" s="582"/>
    </row>
    <row r="46" spans="2:11" ht="15.75">
      <c r="B46" s="27" t="s">
        <v>118</v>
      </c>
      <c r="C46" s="29"/>
      <c r="D46" s="387">
        <f>C74</f>
        <v>0</v>
      </c>
      <c r="E46" s="32">
        <f>D74</f>
        <v>0</v>
      </c>
      <c r="G46" s="659">
        <f>summ!F32</f>
        <v>27.223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5.75">
      <c r="B71" s="35" t="s">
        <v>211</v>
      </c>
      <c r="C71" s="29"/>
      <c r="D71" s="29"/>
      <c r="E71" s="34"/>
      <c r="G71" s="811" t="str">
        <f>CONCATENATE("Projected Carryover Into ",E1+1,"")</f>
        <v>Projected Carryover Into 2015</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27.227999999999998</v>
      </c>
      <c r="H85" s="632" t="str">
        <f>CONCATENATE("Total ",E1," Mill Rate")</f>
        <v>Total 2014 Mill Rate</v>
      </c>
      <c r="I85" s="656"/>
      <c r="J85" s="657"/>
      <c r="K85" s="582"/>
    </row>
    <row r="86" spans="7:11" ht="15.75">
      <c r="G86" s="659">
        <f>summ!F32</f>
        <v>27.223</v>
      </c>
      <c r="H86" s="662" t="str">
        <f>CONCATENATE("Total ",E1-1," Mill Rate")</f>
        <v>Total 2013 Mill Rate</v>
      </c>
      <c r="I86" s="663"/>
      <c r="J86" s="664"/>
      <c r="K86" s="582"/>
    </row>
    <row r="88" spans="7:9" ht="15.75">
      <c r="G88" s="744" t="s">
        <v>932</v>
      </c>
      <c r="H88" s="743"/>
      <c r="I88" s="742" t="str">
        <f>cert!F37</f>
        <v>Yes</v>
      </c>
    </row>
    <row r="92" spans="3:4" ht="15.75" hidden="1">
      <c r="C92" s="16" t="str">
        <f>IF(C33&gt;C35,"See Tab A","")</f>
        <v>See Tab A</v>
      </c>
      <c r="D92" s="16">
        <f>IF(D33&gt;D35,"See Tab C","")</f>
      </c>
    </row>
    <row r="93" spans="3:4" ht="15.75" hidden="1">
      <c r="C93" s="16" t="str">
        <f>IF(C34&lt;0,"See Tab B","")</f>
        <v>See Tab B</v>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Sterling Township</v>
      </c>
      <c r="C1" s="14"/>
      <c r="D1" s="14"/>
      <c r="E1" s="15">
        <f>inputPrYr!D5</f>
        <v>2014</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5.75">
      <c r="B31" s="35" t="s">
        <v>211</v>
      </c>
      <c r="C31" s="29"/>
      <c r="D31" s="29"/>
      <c r="E31" s="34"/>
      <c r="G31" s="811" t="str">
        <f>CONCATENATE("Projected Carryover Into ",E1+1,"")</f>
        <v>Projected Carryover Into 2015</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27.227999999999998</v>
      </c>
      <c r="H45" s="632" t="str">
        <f>CONCATENATE("Total ",E1," Mill Rate")</f>
        <v>Total 2014 Mill Rate</v>
      </c>
      <c r="I45" s="656"/>
      <c r="J45" s="657"/>
      <c r="K45" s="582"/>
    </row>
    <row r="46" spans="2:11" ht="15.75">
      <c r="B46" s="27" t="s">
        <v>118</v>
      </c>
      <c r="C46" s="29"/>
      <c r="D46" s="387">
        <f>C74</f>
        <v>0</v>
      </c>
      <c r="E46" s="32">
        <f>D74</f>
        <v>0</v>
      </c>
      <c r="G46" s="659">
        <f>summ!F32</f>
        <v>27.223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5.75">
      <c r="B71" s="35" t="s">
        <v>211</v>
      </c>
      <c r="C71" s="29"/>
      <c r="D71" s="29"/>
      <c r="E71" s="34"/>
      <c r="G71" s="811" t="str">
        <f>CONCATENATE("Projected Carryover Into ",E1+1,"")</f>
        <v>Projected Carryover Into 2015</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27.227999999999998</v>
      </c>
      <c r="H85" s="632" t="str">
        <f>CONCATENATE("Total ",E1," Mill Rate")</f>
        <v>Total 2014 Mill Rate</v>
      </c>
      <c r="I85" s="656"/>
      <c r="J85" s="657"/>
      <c r="K85" s="582"/>
    </row>
    <row r="86" spans="7:11" ht="15.75">
      <c r="G86" s="659">
        <f>summ!F32</f>
        <v>27.223</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Sterling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5.75">
      <c r="B31" s="35" t="s">
        <v>211</v>
      </c>
      <c r="C31" s="29"/>
      <c r="D31" s="29"/>
      <c r="E31" s="34"/>
      <c r="G31" s="811" t="str">
        <f>CONCATENATE("Projected Carryover Into ",E1+1,"")</f>
        <v>Projected Carryover Into 2015</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27.227999999999998</v>
      </c>
      <c r="H45" s="632" t="str">
        <f>CONCATENATE("Total ",E1," Mill Rate")</f>
        <v>Total 2014 Mill Rate</v>
      </c>
      <c r="I45" s="656"/>
      <c r="J45" s="657"/>
      <c r="K45" s="582"/>
    </row>
    <row r="46" spans="2:11" ht="15.75">
      <c r="B46" s="27" t="s">
        <v>118</v>
      </c>
      <c r="C46" s="29"/>
      <c r="D46" s="387">
        <f>C74</f>
        <v>0</v>
      </c>
      <c r="E46" s="32">
        <f>D74</f>
        <v>0</v>
      </c>
      <c r="G46" s="659">
        <f>summ!F32</f>
        <v>27.223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5.75">
      <c r="B71" s="35" t="s">
        <v>211</v>
      </c>
      <c r="C71" s="29"/>
      <c r="D71" s="29"/>
      <c r="E71" s="34"/>
      <c r="G71" s="811" t="str">
        <f>CONCATENATE("Projected Carryover Into ",E1+1,"")</f>
        <v>Projected Carryover Into 2015</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27.227999999999998</v>
      </c>
      <c r="H85" s="632" t="str">
        <f>CONCATENATE("Total ",E1," Mill Rate")</f>
        <v>Total 2014 Mill Rate</v>
      </c>
      <c r="I85" s="656"/>
      <c r="J85" s="657"/>
      <c r="K85" s="582"/>
    </row>
    <row r="86" spans="7:11" ht="15.75">
      <c r="G86" s="659">
        <f>summ!F32</f>
        <v>27.223</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Sterling Township</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Sterling Township</v>
      </c>
      <c r="B1" s="89"/>
      <c r="C1" s="90"/>
      <c r="D1" s="90"/>
      <c r="E1" s="90"/>
      <c r="F1" s="91" t="s">
        <v>324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941</v>
      </c>
      <c r="E2" s="19"/>
    </row>
    <row r="3" spans="1:5" ht="15.75">
      <c r="A3" s="68" t="s">
        <v>224</v>
      </c>
      <c r="B3" s="14"/>
      <c r="C3" s="14"/>
      <c r="D3" s="378" t="s">
        <v>942</v>
      </c>
      <c r="E3" s="19"/>
    </row>
    <row r="4" spans="1:5" ht="15.75">
      <c r="A4" s="14"/>
      <c r="B4" s="14"/>
      <c r="C4" s="14"/>
      <c r="D4" s="14"/>
      <c r="E4" s="14"/>
    </row>
    <row r="5" spans="1:5" ht="15.75">
      <c r="A5" s="17" t="s">
        <v>145</v>
      </c>
      <c r="B5" s="14"/>
      <c r="C5" s="14"/>
      <c r="D5" s="306">
        <v>2014</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314</v>
      </c>
      <c r="B14" s="310"/>
      <c r="C14" s="49"/>
      <c r="D14" s="311">
        <f>$D$5-1</f>
        <v>2013</v>
      </c>
      <c r="E14" s="312">
        <f>$D$5-2</f>
        <v>2012</v>
      </c>
      <c r="G14" s="171" t="s">
        <v>757</v>
      </c>
      <c r="H14" s="179" t="s">
        <v>29</v>
      </c>
    </row>
    <row r="15" spans="1:8" ht="15.75">
      <c r="A15" s="22" t="s">
        <v>270</v>
      </c>
      <c r="B15" s="14"/>
      <c r="C15" s="313" t="s">
        <v>269</v>
      </c>
      <c r="D15" s="314" t="s">
        <v>341</v>
      </c>
      <c r="E15" s="315" t="s">
        <v>16</v>
      </c>
      <c r="G15" s="177" t="str">
        <f>CONCATENATE("",E14," Ad Valorem Tax")</f>
        <v>2012 Ad Valorem Tax</v>
      </c>
      <c r="H15" s="731">
        <v>0</v>
      </c>
    </row>
    <row r="16" spans="1:7" ht="15.75">
      <c r="A16" s="14"/>
      <c r="B16" s="72" t="s">
        <v>271</v>
      </c>
      <c r="C16" s="161" t="s">
        <v>272</v>
      </c>
      <c r="D16" s="187">
        <v>10000</v>
      </c>
      <c r="E16" s="187">
        <v>1978</v>
      </c>
      <c r="G16" s="32">
        <f>IF(H15&gt;0,ROUND(E16-(E16*H15),0),0)</f>
        <v>0</v>
      </c>
    </row>
    <row r="17" spans="1:7" ht="15.75">
      <c r="A17" s="14"/>
      <c r="B17" s="72" t="s">
        <v>298</v>
      </c>
      <c r="C17" s="161" t="s">
        <v>152</v>
      </c>
      <c r="D17" s="187">
        <v>0</v>
      </c>
      <c r="E17" s="187">
        <v>0</v>
      </c>
      <c r="G17" s="32">
        <f>IF(H15&gt;0,ROUND(E17-(E17*H15),0),0)</f>
        <v>0</v>
      </c>
    </row>
    <row r="18" spans="1:7" ht="15.75">
      <c r="A18" s="14"/>
      <c r="B18" s="72" t="s">
        <v>827</v>
      </c>
      <c r="C18" s="682" t="s">
        <v>828</v>
      </c>
      <c r="D18" s="187">
        <v>0</v>
      </c>
      <c r="E18" s="187">
        <v>0</v>
      </c>
      <c r="G18" s="32">
        <f>IF(H15&gt;0,ROUND(E18-(E18*H15),0),0)</f>
        <v>0</v>
      </c>
    </row>
    <row r="19" spans="1:7" ht="15.75">
      <c r="A19" s="14"/>
      <c r="B19" s="72" t="s">
        <v>273</v>
      </c>
      <c r="C19" s="179" t="s">
        <v>313</v>
      </c>
      <c r="D19" s="187">
        <v>114300</v>
      </c>
      <c r="E19" s="187">
        <v>95952</v>
      </c>
      <c r="G19" s="32">
        <f>IF(H15&gt;0,ROUND(E19-(E19*H15),0),0)</f>
        <v>0</v>
      </c>
    </row>
    <row r="20" spans="1:7" ht="15.75">
      <c r="A20" s="14"/>
      <c r="B20" s="379" t="s">
        <v>943</v>
      </c>
      <c r="C20" s="380"/>
      <c r="D20" s="187">
        <v>3928</v>
      </c>
      <c r="E20" s="187">
        <v>3636</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101566</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128228</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1.557</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24.915</v>
      </c>
      <c r="E45" s="14"/>
    </row>
    <row r="46" spans="1:5" ht="15.75">
      <c r="A46" s="14"/>
      <c r="B46" s="72" t="str">
        <f t="shared" si="0"/>
        <v>Cemetery</v>
      </c>
      <c r="C46" s="14"/>
      <c r="D46" s="322">
        <v>1.021</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27.493</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99333</v>
      </c>
    </row>
    <row r="55" spans="1:5" ht="15.75">
      <c r="A55" s="327" t="str">
        <f>CONCATENATE("Assessed Valuation (",D5-2," budget column)")</f>
        <v>Assessed Valuation (2012 budget column)</v>
      </c>
      <c r="B55" s="328"/>
      <c r="C55" s="267"/>
      <c r="D55" s="28"/>
      <c r="E55" s="187">
        <v>3613215</v>
      </c>
    </row>
    <row r="56" spans="1:5" ht="15.75">
      <c r="A56" s="274"/>
      <c r="B56" s="19"/>
      <c r="C56" s="19"/>
      <c r="D56" s="19"/>
      <c r="E56" s="284"/>
    </row>
    <row r="57" spans="1:5" ht="15.75">
      <c r="A57" s="14"/>
      <c r="B57" s="14"/>
      <c r="C57" s="14"/>
      <c r="D57" s="14"/>
      <c r="E57" s="55"/>
    </row>
    <row r="58" spans="1:5" ht="15.75">
      <c r="A58" s="293" t="s">
        <v>200</v>
      </c>
      <c r="B58" s="293"/>
      <c r="C58" s="129"/>
      <c r="D58" s="329">
        <f>D5-3</f>
        <v>2011</v>
      </c>
      <c r="E58" s="329">
        <f>D5-2</f>
        <v>2012</v>
      </c>
    </row>
    <row r="59" spans="1:5" ht="15.75">
      <c r="A59" s="326" t="s">
        <v>164</v>
      </c>
      <c r="B59" s="326"/>
      <c r="C59" s="330"/>
      <c r="D59" s="36">
        <v>0</v>
      </c>
      <c r="E59" s="36">
        <v>0</v>
      </c>
    </row>
    <row r="60" spans="1:5" ht="15.75">
      <c r="A60" s="328" t="s">
        <v>165</v>
      </c>
      <c r="B60" s="328"/>
      <c r="C60" s="331"/>
      <c r="D60" s="36">
        <v>0</v>
      </c>
      <c r="E60" s="36">
        <v>0</v>
      </c>
    </row>
    <row r="61" spans="1:5" ht="15.75">
      <c r="A61" s="328" t="s">
        <v>166</v>
      </c>
      <c r="B61" s="328"/>
      <c r="C61" s="331"/>
      <c r="D61" s="36">
        <v>20126</v>
      </c>
      <c r="E61" s="36">
        <v>10914</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Sterling Township</v>
      </c>
      <c r="C5" s="766"/>
      <c r="D5" s="766"/>
      <c r="E5" s="766"/>
      <c r="F5" s="766"/>
      <c r="G5" s="766"/>
      <c r="H5" s="766"/>
      <c r="I5" s="766"/>
    </row>
    <row r="6" spans="2:9" ht="15.75">
      <c r="B6" s="766" t="str">
        <f>inputPrYr!D3</f>
        <v>Rice County</v>
      </c>
      <c r="C6" s="766"/>
      <c r="D6" s="766"/>
      <c r="E6" s="766"/>
      <c r="F6" s="766"/>
      <c r="G6" s="766"/>
      <c r="H6" s="766"/>
      <c r="I6" s="766"/>
    </row>
    <row r="7" spans="2:9" ht="15.75">
      <c r="B7" s="764" t="str">
        <f>CONCATENATE("will meet on ",inputBudSum!B8," at ",inputBudSum!B10," at ",inputBudSum!B12," for the purpose of hearing and")</f>
        <v>will meet on August 13, 2013 at 11:00 a.m. at Mishler Building, Sterling for the purpose of hearing and</v>
      </c>
      <c r="C7" s="764"/>
      <c r="D7" s="764"/>
      <c r="E7" s="764"/>
      <c r="F7" s="764"/>
      <c r="G7" s="764"/>
      <c r="H7" s="764"/>
      <c r="I7" s="764"/>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Rice County Clerk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207</v>
      </c>
      <c r="H16" s="828"/>
      <c r="I16" s="156" t="s">
        <v>41</v>
      </c>
      <c r="J16" s="149"/>
    </row>
    <row r="17" spans="2:10" ht="15.75">
      <c r="B17" s="25" t="s">
        <v>284</v>
      </c>
      <c r="C17" s="26" t="s">
        <v>42</v>
      </c>
      <c r="D17" s="26" t="s">
        <v>43</v>
      </c>
      <c r="E17" s="26" t="s">
        <v>42</v>
      </c>
      <c r="F17" s="26" t="s">
        <v>43</v>
      </c>
      <c r="G17" s="26" t="s">
        <v>718</v>
      </c>
      <c r="H17" s="829"/>
      <c r="I17" s="26" t="s">
        <v>43</v>
      </c>
      <c r="J17" s="149"/>
    </row>
    <row r="18" spans="2:10" ht="15.75">
      <c r="B18" s="85" t="str">
        <f>inputPrYr!B16</f>
        <v>General</v>
      </c>
      <c r="C18" s="63">
        <f>IF(gen!$C$50&lt;&gt;0,gen!$C$50,"  ")</f>
        <v>6829</v>
      </c>
      <c r="D18" s="524">
        <f>IF(inputPrYr!D42&gt;0,inputPrYr!D42,"  ")</f>
        <v>1.557</v>
      </c>
      <c r="E18" s="32">
        <f>IF(gen!$D$50&lt;&gt;0,gen!$D$50,"  ")</f>
        <v>10000</v>
      </c>
      <c r="F18" s="235">
        <f>IF(inputOth!D17&gt;0,inputOth!D17,"  ")</f>
        <v>0.531</v>
      </c>
      <c r="G18" s="32">
        <f>IF(gen!$E$50&lt;&gt;0,gen!$E$50,"  ")</f>
        <v>10000</v>
      </c>
      <c r="H18" s="32">
        <f>IF(gen!$E$57&lt;&gt;0,gen!$E$57," ")</f>
        <v>6588</v>
      </c>
      <c r="I18" s="526">
        <f>IF(gen!E57&gt;0,ROUND(H18/$G$37*1000,3)," ")</f>
        <v>1.691</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91582</v>
      </c>
      <c r="D21" s="524">
        <f>IF(inputPrYr!D45&gt;0,inputPrYr!D45,"  ")</f>
        <v>24.915</v>
      </c>
      <c r="E21" s="32">
        <f>IF(road!$D$43&lt;&gt;0,road!$D$43,"  ")</f>
        <v>114300</v>
      </c>
      <c r="F21" s="235">
        <f>IF(inputOth!D20&gt;0,inputOth!D20,"  ")</f>
        <v>25.717</v>
      </c>
      <c r="G21" s="32">
        <f>IF(road!$E$43&lt;&gt;0,road!$E$43,"  ")</f>
        <v>118800</v>
      </c>
      <c r="H21" s="32">
        <f>IF(road!$E$50&lt;&gt;0,road!$E$50,"  ")</f>
        <v>95743</v>
      </c>
      <c r="I21" s="526">
        <f>IF(road!E50&gt;0,ROUND(H21/$G$37*1000,3)," ")</f>
        <v>24.578</v>
      </c>
      <c r="K21" s="833" t="str">
        <f>CONCATENATE("Estimated Value Of One Mill For ",I1,"")</f>
        <v>Estimated Value Of One Mill For 2014</v>
      </c>
      <c r="L21" s="838"/>
      <c r="M21" s="838"/>
      <c r="N21" s="839"/>
    </row>
    <row r="22" spans="2:14" ht="15.75">
      <c r="B22" s="85" t="str">
        <f>IF(inputPrYr!$B20&gt;"  ",inputPrYr!$B20,"  ")</f>
        <v>Cemetery</v>
      </c>
      <c r="C22" s="32">
        <f>IF(levypage9!$C$33&lt;&gt;0,levypage9!$C$33,"  ")</f>
        <v>4000</v>
      </c>
      <c r="D22" s="524">
        <f>IF(inputPrYr!D46&gt;0,inputPrYr!D46,"  ")</f>
        <v>1.021</v>
      </c>
      <c r="E22" s="32">
        <f>IF(levypage9!$D$33&lt;&gt;0,levypage9!$D$33,"  ")</f>
        <v>3916</v>
      </c>
      <c r="F22" s="235">
        <f>IF(inputOth!D21&gt;0,inputOth!D21,"  ")</f>
        <v>0.975</v>
      </c>
      <c r="G22" s="32">
        <f>IF(levypage9!$E$33&lt;&gt;0,levypage9!$E$33,"  ")</f>
        <v>4000</v>
      </c>
      <c r="H22" s="32">
        <f>IF(levypage9!$E$40&lt;&gt;0,levypage9!$E$40,"  ")</f>
        <v>3734</v>
      </c>
      <c r="I22" s="526">
        <f>IF(levypage9!E40&gt;0,ROUND(H22/$G$37*1000,3)," ")</f>
        <v>0.959</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3895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27.223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-20</v>
      </c>
    </row>
    <row r="31" spans="2:14" ht="16.5" thickBot="1">
      <c r="B31" s="72" t="s">
        <v>286</v>
      </c>
      <c r="C31" s="479" t="str">
        <f>IF(road!C64&lt;&gt;0,road!C64,"  ")</f>
        <v>  </v>
      </c>
      <c r="D31" s="480"/>
      <c r="E31" s="525"/>
      <c r="F31" s="480"/>
      <c r="G31" s="525"/>
      <c r="H31" s="525"/>
      <c r="I31" s="480"/>
      <c r="K31" s="514"/>
      <c r="L31" s="514"/>
      <c r="M31" s="514"/>
      <c r="N31" s="514"/>
    </row>
    <row r="32" spans="2:14" ht="15.75">
      <c r="B32" s="72" t="s">
        <v>287</v>
      </c>
      <c r="C32" s="527">
        <f aca="true" t="shared" si="0" ref="C32:I32">SUM(C18:C31)</f>
        <v>102411</v>
      </c>
      <c r="D32" s="478">
        <f t="shared" si="0"/>
        <v>27.493</v>
      </c>
      <c r="E32" s="527">
        <f t="shared" si="0"/>
        <v>128216</v>
      </c>
      <c r="F32" s="478">
        <f t="shared" si="0"/>
        <v>27.223</v>
      </c>
      <c r="G32" s="527">
        <f t="shared" si="0"/>
        <v>132800</v>
      </c>
      <c r="H32" s="527">
        <f t="shared" si="0"/>
        <v>106065</v>
      </c>
      <c r="I32" s="530">
        <f t="shared" si="0"/>
        <v>27.227999999999998</v>
      </c>
      <c r="K32" s="833" t="str">
        <f>CONCATENATE("Impact On Keeping The Same Mill Rate As For ",I1-1,"")</f>
        <v>Impact On Keeping The Same Mill Rate As For 2013</v>
      </c>
      <c r="L32" s="834"/>
      <c r="M32" s="834"/>
      <c r="N32" s="835"/>
    </row>
    <row r="33" spans="2:14" ht="15.75">
      <c r="B33" s="274" t="s">
        <v>44</v>
      </c>
      <c r="C33" s="32">
        <f>transfer!C29</f>
        <v>28075</v>
      </c>
      <c r="D33" s="14"/>
      <c r="E33" s="32">
        <f>transfer!D29</f>
        <v>0</v>
      </c>
      <c r="F33" s="61"/>
      <c r="G33" s="32">
        <f>transfer!E29</f>
        <v>0</v>
      </c>
      <c r="H33" s="14"/>
      <c r="I33" s="14"/>
      <c r="K33" s="507"/>
      <c r="L33" s="501"/>
      <c r="M33" s="501"/>
      <c r="N33" s="508"/>
    </row>
    <row r="34" spans="2:14" ht="16.5" thickBot="1">
      <c r="B34" s="274" t="s">
        <v>45</v>
      </c>
      <c r="C34" s="528">
        <f>C32-C33</f>
        <v>74336</v>
      </c>
      <c r="D34" s="14"/>
      <c r="E34" s="528">
        <f>E32-E33</f>
        <v>128216</v>
      </c>
      <c r="F34" s="14"/>
      <c r="G34" s="528">
        <f>G32-G33</f>
        <v>132800</v>
      </c>
      <c r="H34" s="14"/>
      <c r="I34" s="14"/>
      <c r="K34" s="507" t="str">
        <f>CONCATENATE("",I1," Ad Valorem Tax Revenue:")</f>
        <v>2014 Ad Valorem Tax Revenue:</v>
      </c>
      <c r="L34" s="501"/>
      <c r="M34" s="501"/>
      <c r="N34" s="502">
        <f>H32</f>
        <v>106065</v>
      </c>
    </row>
    <row r="35" spans="2:14" ht="16.5" thickTop="1">
      <c r="B35" s="274" t="s">
        <v>46</v>
      </c>
      <c r="C35" s="529">
        <f>inputPrYr!E54</f>
        <v>99333</v>
      </c>
      <c r="D35" s="61"/>
      <c r="E35" s="529">
        <f>inputPrYr!E26</f>
        <v>101566</v>
      </c>
      <c r="F35" s="14"/>
      <c r="G35" s="520" t="s">
        <v>288</v>
      </c>
      <c r="H35" s="14"/>
      <c r="I35" s="14"/>
      <c r="K35" s="507" t="str">
        <f>CONCATENATE("",I1-1," Ad Valorem Tax Revenue:")</f>
        <v>2013 Ad Valorem Tax Revenue:</v>
      </c>
      <c r="L35" s="501"/>
      <c r="M35" s="501"/>
      <c r="N35" s="515">
        <f>ROUND(G37*N27/1000,0)</f>
        <v>106045</v>
      </c>
    </row>
    <row r="36" spans="2:14" ht="15.75">
      <c r="B36" s="274" t="s">
        <v>47</v>
      </c>
      <c r="C36" s="55"/>
      <c r="D36" s="61"/>
      <c r="E36" s="55"/>
      <c r="F36" s="61"/>
      <c r="G36" s="14"/>
      <c r="H36" s="14"/>
      <c r="I36" s="14"/>
      <c r="K36" s="512" t="s">
        <v>716</v>
      </c>
      <c r="L36" s="513"/>
      <c r="M36" s="513"/>
      <c r="N36" s="505">
        <f>N34-N35</f>
        <v>20</v>
      </c>
    </row>
    <row r="37" spans="2:14" ht="15.75">
      <c r="B37" s="274" t="s">
        <v>48</v>
      </c>
      <c r="C37" s="32">
        <f>inputPrYr!E55</f>
        <v>3613215</v>
      </c>
      <c r="D37" s="14"/>
      <c r="E37" s="32">
        <f>inputOth!E29</f>
        <v>3731345</v>
      </c>
      <c r="F37" s="14"/>
      <c r="G37" s="32">
        <f>inputOth!E7</f>
        <v>3895437</v>
      </c>
      <c r="H37" s="14"/>
      <c r="I37" s="14"/>
      <c r="K37" s="506"/>
      <c r="L37" s="506"/>
      <c r="M37" s="506"/>
      <c r="N37" s="514"/>
    </row>
    <row r="38" spans="2:14" ht="15.75">
      <c r="B38" s="22" t="s">
        <v>49</v>
      </c>
      <c r="C38" s="14"/>
      <c r="D38" s="14"/>
      <c r="E38" s="14"/>
      <c r="F38" s="14"/>
      <c r="G38" s="14"/>
      <c r="H38" s="14"/>
      <c r="I38" s="14"/>
      <c r="K38" s="833" t="s">
        <v>717</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27.227999999999998</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743</v>
      </c>
      <c r="C42" s="161">
        <f>inputPrYr!D61</f>
        <v>20126</v>
      </c>
      <c r="D42" s="59"/>
      <c r="E42" s="161">
        <f>inputPrYr!E61</f>
        <v>10914</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20126</v>
      </c>
      <c r="D43" s="59"/>
      <c r="E43" s="162">
        <f>SUM(E40:E42)</f>
        <v>10914</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c r="C46" s="832"/>
      <c r="D46" s="14"/>
      <c r="E46" s="14"/>
      <c r="F46" s="14"/>
      <c r="G46" s="14"/>
      <c r="H46" s="14"/>
      <c r="I46" s="14"/>
    </row>
    <row r="47" spans="2:9" ht="15.75">
      <c r="B47" s="830" t="str">
        <f>inputBudSum!B6</f>
        <v>Township Official</v>
      </c>
      <c r="C47" s="831"/>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6" sqref="C6:C1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Sterling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3895437</v>
      </c>
      <c r="E19" s="14"/>
      <c r="F19" s="129"/>
    </row>
    <row r="20" spans="1:6" ht="15.75">
      <c r="A20" s="14"/>
      <c r="B20" s="14"/>
      <c r="C20" s="14"/>
      <c r="D20" s="14"/>
      <c r="E20" s="14"/>
      <c r="F20" s="129"/>
    </row>
    <row r="21" spans="1:6" ht="15.75">
      <c r="A21" s="14"/>
      <c r="B21" s="842" t="s">
        <v>364</v>
      </c>
      <c r="C21" s="842"/>
      <c r="D21" s="137">
        <f>IF(D19&gt;0,(D19*0.001),"")</f>
        <v>3895.437</v>
      </c>
      <c r="E21" s="14"/>
      <c r="F21" s="129"/>
    </row>
    <row r="22" spans="1:6" ht="15.75">
      <c r="A22" s="14"/>
      <c r="B22" s="48"/>
      <c r="C22" s="48"/>
      <c r="D22" s="138"/>
      <c r="E22" s="14"/>
      <c r="F22" s="129"/>
    </row>
    <row r="23" spans="1:6" ht="15.75">
      <c r="A23" s="840" t="s">
        <v>366</v>
      </c>
      <c r="B23" s="768"/>
      <c r="C23" s="768"/>
      <c r="D23" s="139">
        <f>inputOth!E13</f>
        <v>119143</v>
      </c>
      <c r="E23" s="140"/>
      <c r="F23" s="140"/>
    </row>
    <row r="24" spans="1:6" ht="15.75">
      <c r="A24" s="140"/>
      <c r="B24" s="140"/>
      <c r="C24" s="140"/>
      <c r="D24" s="141"/>
      <c r="E24" s="140"/>
      <c r="F24" s="140"/>
    </row>
    <row r="25" spans="1:6" ht="15.75">
      <c r="A25" s="140"/>
      <c r="B25" s="840" t="s">
        <v>367</v>
      </c>
      <c r="C25" s="841"/>
      <c r="D25" s="142">
        <f>IF(D23&gt;0,(D23*0.001),"")</f>
        <v>119.143</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0" t="s">
        <v>129</v>
      </c>
      <c r="B1" s="850"/>
      <c r="C1" s="850"/>
      <c r="D1" s="850"/>
      <c r="E1" s="850"/>
      <c r="F1" s="850"/>
      <c r="G1" s="850"/>
    </row>
    <row r="2" ht="15.75">
      <c r="A2" s="1"/>
    </row>
    <row r="3" spans="1:7" ht="15.75">
      <c r="A3" s="851" t="s">
        <v>951</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Sterling Township </v>
      </c>
      <c r="I6">
        <f>CONCATENATE(I7)</f>
      </c>
    </row>
    <row r="7" spans="1:7" ht="15.75">
      <c r="A7" s="852" t="str">
        <f>CONCATENATE("   with respect to financing the ",inputPrYr!D5," annual budget for ",(inputPrYr!D2)," , ",(inputPrYr!D3)," , Kansas.")</f>
        <v>   with respect to financing the 2014 annual budget for Sterling Township , Rice County , Kansas.</v>
      </c>
      <c r="B7" s="845"/>
      <c r="C7" s="845"/>
      <c r="D7" s="845"/>
      <c r="E7" s="845"/>
      <c r="F7" s="845"/>
      <c r="G7" s="845"/>
    </row>
    <row r="8" spans="1:7" ht="15.75">
      <c r="A8" s="845"/>
      <c r="B8" s="845"/>
      <c r="C8" s="845"/>
      <c r="D8" s="845"/>
      <c r="E8" s="845"/>
      <c r="F8" s="845"/>
      <c r="G8" s="845"/>
    </row>
    <row r="9" ht="15.75">
      <c r="A9" s="1"/>
    </row>
    <row r="10" ht="15.75">
      <c r="A10" s="9" t="s">
        <v>130</v>
      </c>
    </row>
    <row r="11" ht="15.75">
      <c r="A11" s="7" t="str">
        <f>CONCATENATE("to finance the ",inputPrYr!D5," ",(inputPrYr!D2)," budget exceed the amount levied to finance the ",inputPrYr!D5-1,"")</f>
        <v>to finance the 2014 Sterling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Sterling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135</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131</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Sterling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132</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Sterling Township of Rice County, Kansas that is our desire to notify the public of increased property taxes to finance the 2014 Sterling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24th day of July, ",inputPrYr!D5-1," by the ",(inputPrYr!D2)," Board, ",(inputPrYr!D3),", Kansas.")</f>
        <v>Adopted this 24th day of July, 2013 by the Sterling Township Board, Rice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Sterling Township Board</v>
      </c>
      <c r="E33" s="846"/>
      <c r="F33" s="846"/>
      <c r="G33" s="846"/>
    </row>
    <row r="35" spans="4:7" ht="15.75">
      <c r="D35" s="843" t="s">
        <v>133</v>
      </c>
      <c r="E35" s="843"/>
      <c r="F35" s="843"/>
      <c r="G35" s="843"/>
    </row>
    <row r="36" spans="1:7" ht="15.75">
      <c r="A36" s="5"/>
      <c r="D36" s="843" t="s">
        <v>137</v>
      </c>
      <c r="E36" s="843"/>
      <c r="F36" s="843"/>
      <c r="G36" s="843"/>
    </row>
    <row r="37" spans="4:7" ht="15.75">
      <c r="D37" s="843"/>
      <c r="E37" s="843"/>
      <c r="F37" s="843"/>
      <c r="G37" s="843"/>
    </row>
    <row r="38" spans="4:7" ht="15.75">
      <c r="D38" s="843" t="s">
        <v>133</v>
      </c>
      <c r="E38" s="843"/>
      <c r="F38" s="843"/>
      <c r="G38" s="843"/>
    </row>
    <row r="39" spans="1:7" ht="15.75">
      <c r="A39" s="4"/>
      <c r="D39" s="843" t="s">
        <v>138</v>
      </c>
      <c r="E39" s="843"/>
      <c r="F39" s="843"/>
      <c r="G39" s="843"/>
    </row>
    <row r="40" spans="4:7" ht="15.75">
      <c r="D40" s="843"/>
      <c r="E40" s="843"/>
      <c r="F40" s="843"/>
      <c r="G40" s="843"/>
    </row>
    <row r="41" spans="4:7" ht="15.75">
      <c r="D41" s="843" t="s">
        <v>136</v>
      </c>
      <c r="E41" s="843"/>
      <c r="F41" s="843"/>
      <c r="G41" s="843"/>
    </row>
    <row r="42" spans="1:7" ht="15.75">
      <c r="A42" s="4"/>
      <c r="D42" s="843" t="s">
        <v>139</v>
      </c>
      <c r="E42" s="843"/>
      <c r="F42" s="843"/>
      <c r="G42" s="843"/>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380</v>
      </c>
      <c r="B3" s="352"/>
      <c r="C3" s="352"/>
      <c r="D3" s="352"/>
      <c r="E3" s="352"/>
      <c r="F3" s="352"/>
      <c r="G3" s="352"/>
      <c r="H3" s="352"/>
      <c r="I3" s="352"/>
      <c r="J3" s="352"/>
      <c r="K3" s="352"/>
      <c r="L3" s="352"/>
    </row>
    <row r="5" ht="15.75">
      <c r="A5" s="351" t="s">
        <v>381</v>
      </c>
    </row>
    <row r="6" ht="15.75">
      <c r="A6" s="351" t="str">
        <f>CONCATENATE(inputPrYr!D5-2," 'total expenditures' exceed your ",inputPrYr!D5-2," 'budget authority.'")</f>
        <v>2012 'total expenditures' exceed your 2012 'budget authority.'</v>
      </c>
    </row>
    <row r="7" ht="15.75">
      <c r="A7" s="351"/>
    </row>
    <row r="8" ht="15.75">
      <c r="A8" s="351" t="s">
        <v>382</v>
      </c>
    </row>
    <row r="9" ht="15.75">
      <c r="A9" s="351" t="s">
        <v>383</v>
      </c>
    </row>
    <row r="10" ht="15.75">
      <c r="A10" s="351" t="s">
        <v>384</v>
      </c>
    </row>
    <row r="11" ht="15.75">
      <c r="A11" s="351"/>
    </row>
    <row r="12" ht="15.75">
      <c r="A12" s="351"/>
    </row>
    <row r="13" ht="15.75">
      <c r="A13" s="350" t="s">
        <v>385</v>
      </c>
    </row>
    <row r="15" ht="15.75">
      <c r="A15" s="351" t="s">
        <v>386</v>
      </c>
    </row>
    <row r="16" ht="15.75">
      <c r="A16" s="351" t="str">
        <f>CONCATENATE("(i.e. an audit has not been completed, or the ",inputPrYr!D5," adopted")</f>
        <v>(i.e. an audit has not been completed, or the 2014 adopted</v>
      </c>
    </row>
    <row r="17" ht="15.75">
      <c r="A17" s="351" t="s">
        <v>387</v>
      </c>
    </row>
    <row r="18" ht="15.75">
      <c r="A18" s="351" t="s">
        <v>388</v>
      </c>
    </row>
    <row r="19" ht="15.75">
      <c r="A19" s="351" t="s">
        <v>389</v>
      </c>
    </row>
    <row r="21" ht="15.75">
      <c r="A21" s="350" t="s">
        <v>390</v>
      </c>
    </row>
    <row r="22" ht="15.75">
      <c r="A22" s="350"/>
    </row>
    <row r="23" ht="15.75">
      <c r="A23" s="351" t="s">
        <v>391</v>
      </c>
    </row>
    <row r="24" ht="15.75">
      <c r="A24" s="351" t="s">
        <v>392</v>
      </c>
    </row>
    <row r="25" ht="15.75">
      <c r="A25" s="351" t="str">
        <f>CONCATENATE("particular fund.  If your ",inputPrYr!D5-2," budget was amended, did you")</f>
        <v>particular fund.  If your 2012 budget was amended, did you</v>
      </c>
    </row>
    <row r="26" ht="15.75">
      <c r="A26" s="351" t="s">
        <v>393</v>
      </c>
    </row>
    <row r="27" ht="15.75">
      <c r="A27" s="351"/>
    </row>
    <row r="28" ht="15.75">
      <c r="A28" s="351" t="str">
        <f>CONCATENATE("Next, look to see if any of your ",inputPrYr!D5-2," expenditures can be")</f>
        <v>Next, look to see if any of your 2012 expenditures can be</v>
      </c>
    </row>
    <row r="29" ht="15.75">
      <c r="A29" s="351" t="s">
        <v>394</v>
      </c>
    </row>
    <row r="30" ht="15.75">
      <c r="A30" s="351" t="s">
        <v>395</v>
      </c>
    </row>
    <row r="31" ht="15.75">
      <c r="A31" s="351" t="s">
        <v>396</v>
      </c>
    </row>
    <row r="32" ht="15.75">
      <c r="A32" s="351"/>
    </row>
    <row r="33" ht="15.75">
      <c r="A33" s="351" t="str">
        <f>CONCATENATE("Additionally, do your ",inputPrYr!D5-2," receipts contain a reimbursement")</f>
        <v>Additionally, do your 2012 receipts contain a reimbursement</v>
      </c>
    </row>
    <row r="34" ht="15.75">
      <c r="A34" s="351" t="s">
        <v>397</v>
      </c>
    </row>
    <row r="35" ht="15.75">
      <c r="A35" s="351" t="s">
        <v>398</v>
      </c>
    </row>
    <row r="36" ht="15.75">
      <c r="A36" s="351"/>
    </row>
    <row r="37" ht="15.75">
      <c r="A37" s="351" t="s">
        <v>399</v>
      </c>
    </row>
    <row r="38" ht="15.75">
      <c r="A38" s="351" t="s">
        <v>585</v>
      </c>
    </row>
    <row r="39" ht="15.75">
      <c r="A39" s="351" t="s">
        <v>586</v>
      </c>
    </row>
    <row r="40" ht="15.75">
      <c r="A40" s="351" t="s">
        <v>400</v>
      </c>
    </row>
    <row r="41" ht="15.75">
      <c r="A41" s="351" t="s">
        <v>401</v>
      </c>
    </row>
    <row r="42" ht="15.75">
      <c r="A42" s="351" t="s">
        <v>402</v>
      </c>
    </row>
    <row r="43" ht="15.75">
      <c r="A43" s="351" t="s">
        <v>403</v>
      </c>
    </row>
    <row r="44" ht="15.75">
      <c r="A44" s="351" t="s">
        <v>404</v>
      </c>
    </row>
    <row r="45" ht="15.75">
      <c r="A45" s="351"/>
    </row>
    <row r="46" ht="15.75">
      <c r="A46" s="351" t="s">
        <v>405</v>
      </c>
    </row>
    <row r="47" ht="15.75">
      <c r="A47" s="351" t="s">
        <v>406</v>
      </c>
    </row>
    <row r="48" ht="15.75">
      <c r="A48" s="351" t="s">
        <v>407</v>
      </c>
    </row>
    <row r="49" ht="15.75">
      <c r="A49" s="351"/>
    </row>
    <row r="50" ht="15.75">
      <c r="A50" s="351" t="s">
        <v>408</v>
      </c>
    </row>
    <row r="51" ht="15.75">
      <c r="A51" s="351" t="s">
        <v>409</v>
      </c>
    </row>
    <row r="52" ht="15.75">
      <c r="A52" s="351" t="s">
        <v>410</v>
      </c>
    </row>
    <row r="53" ht="15.75">
      <c r="A53" s="351"/>
    </row>
    <row r="54" ht="15.75">
      <c r="A54" s="350" t="s">
        <v>411</v>
      </c>
    </row>
    <row r="55" ht="15.75">
      <c r="A55" s="351"/>
    </row>
    <row r="56" ht="15.75">
      <c r="A56" s="351" t="s">
        <v>412</v>
      </c>
    </row>
    <row r="57" ht="15.75">
      <c r="A57" s="351" t="s">
        <v>413</v>
      </c>
    </row>
    <row r="58" ht="15.75">
      <c r="A58" s="351" t="s">
        <v>414</v>
      </c>
    </row>
    <row r="59" ht="15.75">
      <c r="A59" s="351" t="s">
        <v>415</v>
      </c>
    </row>
    <row r="60" ht="15.75">
      <c r="A60" s="351" t="s">
        <v>416</v>
      </c>
    </row>
    <row r="61" ht="15.75">
      <c r="A61" s="351" t="s">
        <v>417</v>
      </c>
    </row>
    <row r="62" ht="15.75">
      <c r="A62" s="351" t="s">
        <v>418</v>
      </c>
    </row>
    <row r="63" ht="15.75">
      <c r="A63" s="351" t="s">
        <v>419</v>
      </c>
    </row>
    <row r="64" ht="15.75">
      <c r="A64" s="351" t="s">
        <v>420</v>
      </c>
    </row>
    <row r="65" ht="15.75">
      <c r="A65" s="351" t="s">
        <v>421</v>
      </c>
    </row>
    <row r="66" ht="15.75">
      <c r="A66" s="351" t="s">
        <v>422</v>
      </c>
    </row>
    <row r="67" ht="15.75">
      <c r="A67" s="351" t="s">
        <v>423</v>
      </c>
    </row>
    <row r="68" ht="15.75">
      <c r="A68" s="351" t="s">
        <v>424</v>
      </c>
    </row>
    <row r="69" ht="15.75">
      <c r="A69" s="351"/>
    </row>
    <row r="70" ht="15.75">
      <c r="A70" s="351" t="s">
        <v>425</v>
      </c>
    </row>
    <row r="71" ht="15.75">
      <c r="A71" s="351" t="s">
        <v>426</v>
      </c>
    </row>
    <row r="72" ht="15.75">
      <c r="A72" s="351" t="s">
        <v>427</v>
      </c>
    </row>
    <row r="73" ht="15.75">
      <c r="A73" s="351"/>
    </row>
    <row r="74" ht="15.75">
      <c r="A74" s="350" t="str">
        <f>CONCATENATE("What if the ",inputPrYr!D5-2," financial records have been closed?")</f>
        <v>What if the 2012 financial records have been closed?</v>
      </c>
    </row>
    <row r="76" ht="15.75">
      <c r="A76" s="351" t="s">
        <v>428</v>
      </c>
    </row>
    <row r="77" ht="15.75">
      <c r="A77" s="351" t="str">
        <f>CONCATENATE("(i.e. an audit for ",inputPrYr!D5-2," has been completed, or the ",inputPrYr!D5)</f>
        <v>(i.e. an audit for 2012 has been completed, or the 2014</v>
      </c>
    </row>
    <row r="78" ht="15.75">
      <c r="A78" s="351" t="s">
        <v>429</v>
      </c>
    </row>
    <row r="79" ht="15.75">
      <c r="A79" s="351" t="s">
        <v>430</v>
      </c>
    </row>
    <row r="80" ht="15.75">
      <c r="A80" s="351"/>
    </row>
    <row r="81" ht="15.75">
      <c r="A81" s="351" t="s">
        <v>431</v>
      </c>
    </row>
    <row r="82" ht="15.75">
      <c r="A82" s="351" t="s">
        <v>432</v>
      </c>
    </row>
    <row r="83" ht="15.75">
      <c r="A83" s="351" t="s">
        <v>433</v>
      </c>
    </row>
    <row r="84" ht="15.75">
      <c r="A84" s="351"/>
    </row>
    <row r="85" ht="15.75">
      <c r="A85" s="351" t="s">
        <v>434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435</v>
      </c>
      <c r="B3" s="352"/>
      <c r="C3" s="352"/>
      <c r="D3" s="352"/>
      <c r="E3" s="352"/>
      <c r="F3" s="352"/>
      <c r="G3" s="352"/>
      <c r="H3" s="349"/>
      <c r="I3" s="349"/>
      <c r="J3" s="349"/>
    </row>
    <row r="5" ht="15.75">
      <c r="A5" s="351" t="s">
        <v>436</v>
      </c>
    </row>
    <row r="6" ht="15.75">
      <c r="A6" t="str">
        <f>CONCATENATE(inputPrYr!D5-2," expenditures show that you finished the year with a ")</f>
        <v>2012 expenditures show that you finished the year with a </v>
      </c>
    </row>
    <row r="7" ht="15.75">
      <c r="A7" t="s">
        <v>437</v>
      </c>
    </row>
    <row r="9" ht="15.75">
      <c r="A9" t="s">
        <v>438</v>
      </c>
    </row>
    <row r="10" ht="15.75">
      <c r="A10" t="s">
        <v>439</v>
      </c>
    </row>
    <row r="11" ht="15.75">
      <c r="A11" t="s">
        <v>440</v>
      </c>
    </row>
    <row r="13" ht="15.75">
      <c r="A13" s="350" t="s">
        <v>441</v>
      </c>
    </row>
    <row r="14" ht="15.75">
      <c r="A14" s="350"/>
    </row>
    <row r="15" ht="15.75">
      <c r="A15" s="351" t="s">
        <v>442</v>
      </c>
    </row>
    <row r="16" ht="15.75">
      <c r="A16" s="351" t="s">
        <v>443</v>
      </c>
    </row>
    <row r="17" ht="15.75">
      <c r="A17" s="351" t="s">
        <v>444</v>
      </c>
    </row>
    <row r="18" ht="15.75">
      <c r="A18" s="351"/>
    </row>
    <row r="19" ht="15.75">
      <c r="A19" s="350" t="s">
        <v>445</v>
      </c>
    </row>
    <row r="20" ht="15.75">
      <c r="A20" s="350"/>
    </row>
    <row r="21" ht="15.75">
      <c r="A21" s="351" t="s">
        <v>446</v>
      </c>
    </row>
    <row r="22" ht="15.75">
      <c r="A22" s="351" t="s">
        <v>447</v>
      </c>
    </row>
    <row r="23" ht="15.75">
      <c r="A23" s="351" t="s">
        <v>448</v>
      </c>
    </row>
    <row r="24" ht="15.75">
      <c r="A24" s="351"/>
    </row>
    <row r="25" ht="15.75">
      <c r="A25" s="350" t="s">
        <v>449</v>
      </c>
    </row>
    <row r="26" ht="15.75">
      <c r="A26" s="350"/>
    </row>
    <row r="27" ht="15.75">
      <c r="A27" s="351" t="s">
        <v>450</v>
      </c>
    </row>
    <row r="28" ht="15.75">
      <c r="A28" s="351" t="s">
        <v>451</v>
      </c>
    </row>
    <row r="29" ht="15.75">
      <c r="A29" s="351" t="s">
        <v>452</v>
      </c>
    </row>
    <row r="30" ht="15.75">
      <c r="A30" s="351"/>
    </row>
    <row r="31" ht="15.75">
      <c r="A31" s="350" t="s">
        <v>453</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454</v>
      </c>
      <c r="B35" s="351"/>
      <c r="C35" s="351"/>
      <c r="D35" s="351"/>
      <c r="E35" s="351"/>
      <c r="F35" s="351"/>
      <c r="G35" s="351"/>
      <c r="H35" s="351"/>
    </row>
    <row r="36" spans="1:8" ht="15.75">
      <c r="A36" s="351" t="s">
        <v>455</v>
      </c>
      <c r="B36" s="351"/>
      <c r="C36" s="351"/>
      <c r="D36" s="351"/>
      <c r="E36" s="351"/>
      <c r="F36" s="351"/>
      <c r="G36" s="351"/>
      <c r="H36" s="351"/>
    </row>
    <row r="37" spans="1:8" ht="15.75">
      <c r="A37" s="351" t="s">
        <v>456</v>
      </c>
      <c r="B37" s="351"/>
      <c r="C37" s="351"/>
      <c r="D37" s="351"/>
      <c r="E37" s="351"/>
      <c r="F37" s="351"/>
      <c r="G37" s="351"/>
      <c r="H37" s="351"/>
    </row>
    <row r="38" spans="1:8" ht="15.75">
      <c r="A38" s="351" t="s">
        <v>457</v>
      </c>
      <c r="B38" s="351"/>
      <c r="C38" s="351"/>
      <c r="D38" s="351"/>
      <c r="E38" s="351"/>
      <c r="F38" s="351"/>
      <c r="G38" s="351"/>
      <c r="H38" s="351"/>
    </row>
    <row r="39" spans="1:8" ht="15.75">
      <c r="A39" s="351" t="s">
        <v>458</v>
      </c>
      <c r="B39" s="351"/>
      <c r="C39" s="351"/>
      <c r="D39" s="351"/>
      <c r="E39" s="351"/>
      <c r="F39" s="351"/>
      <c r="G39" s="351"/>
      <c r="H39" s="351"/>
    </row>
    <row r="40" spans="1:8" ht="15.75">
      <c r="A40" s="351"/>
      <c r="B40" s="351"/>
      <c r="C40" s="351"/>
      <c r="D40" s="351"/>
      <c r="E40" s="351"/>
      <c r="F40" s="351"/>
      <c r="G40" s="351"/>
      <c r="H40" s="351"/>
    </row>
    <row r="41" spans="1:8" ht="15.75">
      <c r="A41" s="351" t="s">
        <v>459</v>
      </c>
      <c r="B41" s="351"/>
      <c r="C41" s="351"/>
      <c r="D41" s="351"/>
      <c r="E41" s="351"/>
      <c r="F41" s="351"/>
      <c r="G41" s="351"/>
      <c r="H41" s="351"/>
    </row>
    <row r="42" spans="1:8" ht="15.75">
      <c r="A42" s="351" t="s">
        <v>460</v>
      </c>
      <c r="B42" s="351"/>
      <c r="C42" s="351"/>
      <c r="D42" s="351"/>
      <c r="E42" s="351"/>
      <c r="F42" s="351"/>
      <c r="G42" s="351"/>
      <c r="H42" s="351"/>
    </row>
    <row r="43" spans="1:8" ht="15.75">
      <c r="A43" s="351" t="s">
        <v>461</v>
      </c>
      <c r="B43" s="351"/>
      <c r="C43" s="351"/>
      <c r="D43" s="351"/>
      <c r="E43" s="351"/>
      <c r="F43" s="351"/>
      <c r="G43" s="351"/>
      <c r="H43" s="351"/>
    </row>
    <row r="44" spans="1:8" ht="15.75">
      <c r="A44" s="351" t="s">
        <v>462</v>
      </c>
      <c r="B44" s="351"/>
      <c r="C44" s="351"/>
      <c r="D44" s="351"/>
      <c r="E44" s="351"/>
      <c r="F44" s="351"/>
      <c r="G44" s="351"/>
      <c r="H44" s="351"/>
    </row>
    <row r="45" spans="1:8" ht="15.75">
      <c r="A45" s="351"/>
      <c r="B45" s="351"/>
      <c r="C45" s="351"/>
      <c r="D45" s="351"/>
      <c r="E45" s="351"/>
      <c r="F45" s="351"/>
      <c r="G45" s="351"/>
      <c r="H45" s="351"/>
    </row>
    <row r="46" spans="1:8" ht="15.75">
      <c r="A46" s="351" t="s">
        <v>463</v>
      </c>
      <c r="B46" s="351"/>
      <c r="C46" s="351"/>
      <c r="D46" s="351"/>
      <c r="E46" s="351"/>
      <c r="F46" s="351"/>
      <c r="G46" s="351"/>
      <c r="H46" s="351"/>
    </row>
    <row r="47" spans="1:8" ht="15.75">
      <c r="A47" s="351" t="s">
        <v>464</v>
      </c>
      <c r="B47" s="351"/>
      <c r="C47" s="351"/>
      <c r="D47" s="351"/>
      <c r="E47" s="351"/>
      <c r="F47" s="351"/>
      <c r="G47" s="351"/>
      <c r="H47" s="351"/>
    </row>
    <row r="48" spans="1:8" ht="15.75">
      <c r="A48" s="351" t="s">
        <v>465</v>
      </c>
      <c r="B48" s="351"/>
      <c r="C48" s="351"/>
      <c r="D48" s="351"/>
      <c r="E48" s="351"/>
      <c r="F48" s="351"/>
      <c r="G48" s="351"/>
      <c r="H48" s="351"/>
    </row>
    <row r="49" spans="1:8" ht="15.75">
      <c r="A49" s="351" t="s">
        <v>466</v>
      </c>
      <c r="B49" s="351"/>
      <c r="C49" s="351"/>
      <c r="D49" s="351"/>
      <c r="E49" s="351"/>
      <c r="F49" s="351"/>
      <c r="G49" s="351"/>
      <c r="H49" s="351"/>
    </row>
    <row r="50" spans="1:8" ht="15.75">
      <c r="A50" s="351" t="s">
        <v>467</v>
      </c>
      <c r="B50" s="351"/>
      <c r="C50" s="351"/>
      <c r="D50" s="351"/>
      <c r="E50" s="351"/>
      <c r="F50" s="351"/>
      <c r="G50" s="351"/>
      <c r="H50" s="351"/>
    </row>
    <row r="51" spans="1:8" ht="15.75">
      <c r="A51" s="351"/>
      <c r="B51" s="351"/>
      <c r="C51" s="351"/>
      <c r="D51" s="351"/>
      <c r="E51" s="351"/>
      <c r="F51" s="351"/>
      <c r="G51" s="351"/>
      <c r="H51" s="351"/>
    </row>
    <row r="52" spans="1:8" ht="15.75">
      <c r="A52" s="350" t="s">
        <v>468</v>
      </c>
      <c r="B52" s="350"/>
      <c r="C52" s="350"/>
      <c r="D52" s="350"/>
      <c r="E52" s="350"/>
      <c r="F52" s="350"/>
      <c r="G52" s="350"/>
      <c r="H52" s="351"/>
    </row>
    <row r="53" spans="1:8" ht="15.75">
      <c r="A53" s="350" t="s">
        <v>469</v>
      </c>
      <c r="B53" s="350"/>
      <c r="C53" s="350"/>
      <c r="D53" s="350"/>
      <c r="E53" s="350"/>
      <c r="F53" s="350"/>
      <c r="G53" s="350"/>
      <c r="H53" s="351"/>
    </row>
    <row r="54" spans="1:8" ht="15.75">
      <c r="A54" s="351"/>
      <c r="B54" s="351"/>
      <c r="C54" s="351"/>
      <c r="D54" s="351"/>
      <c r="E54" s="351"/>
      <c r="F54" s="351"/>
      <c r="G54" s="351"/>
      <c r="H54" s="351"/>
    </row>
    <row r="55" spans="1:8" ht="15.75">
      <c r="A55" s="351" t="s">
        <v>470</v>
      </c>
      <c r="B55" s="351"/>
      <c r="C55" s="351"/>
      <c r="D55" s="351"/>
      <c r="E55" s="351"/>
      <c r="F55" s="351"/>
      <c r="G55" s="351"/>
      <c r="H55" s="351"/>
    </row>
    <row r="56" spans="1:8" ht="15.75">
      <c r="A56" s="351" t="s">
        <v>471</v>
      </c>
      <c r="B56" s="351"/>
      <c r="C56" s="351"/>
      <c r="D56" s="351"/>
      <c r="E56" s="351"/>
      <c r="F56" s="351"/>
      <c r="G56" s="351"/>
      <c r="H56" s="351"/>
    </row>
    <row r="57" spans="1:8" ht="15.75">
      <c r="A57" s="351" t="s">
        <v>472</v>
      </c>
      <c r="B57" s="351"/>
      <c r="C57" s="351"/>
      <c r="D57" s="351"/>
      <c r="E57" s="351"/>
      <c r="F57" s="351"/>
      <c r="G57" s="351"/>
      <c r="H57" s="351"/>
    </row>
    <row r="58" spans="1:8" ht="15.75">
      <c r="A58" s="351" t="s">
        <v>473</v>
      </c>
      <c r="B58" s="351"/>
      <c r="C58" s="351"/>
      <c r="D58" s="351"/>
      <c r="E58" s="351"/>
      <c r="F58" s="351"/>
      <c r="G58" s="351"/>
      <c r="H58" s="351"/>
    </row>
    <row r="59" spans="1:8" ht="15.75">
      <c r="A59" s="351"/>
      <c r="B59" s="351"/>
      <c r="C59" s="351"/>
      <c r="D59" s="351"/>
      <c r="E59" s="351"/>
      <c r="F59" s="351"/>
      <c r="G59" s="351"/>
      <c r="H59" s="351"/>
    </row>
    <row r="60" spans="1:8" ht="15.75">
      <c r="A60" s="351" t="s">
        <v>474</v>
      </c>
      <c r="B60" s="351"/>
      <c r="C60" s="351"/>
      <c r="D60" s="351"/>
      <c r="E60" s="351"/>
      <c r="F60" s="351"/>
      <c r="G60" s="351"/>
      <c r="H60" s="351"/>
    </row>
    <row r="61" spans="1:8" ht="15.75">
      <c r="A61" s="351" t="s">
        <v>475</v>
      </c>
      <c r="B61" s="351"/>
      <c r="C61" s="351"/>
      <c r="D61" s="351"/>
      <c r="E61" s="351"/>
      <c r="F61" s="351"/>
      <c r="G61" s="351"/>
      <c r="H61" s="351"/>
    </row>
    <row r="62" spans="1:8" ht="15.75">
      <c r="A62" s="351" t="s">
        <v>476</v>
      </c>
      <c r="B62" s="351"/>
      <c r="C62" s="351"/>
      <c r="D62" s="351"/>
      <c r="E62" s="351"/>
      <c r="F62" s="351"/>
      <c r="G62" s="351"/>
      <c r="H62" s="351"/>
    </row>
    <row r="63" spans="1:8" ht="15.75">
      <c r="A63" s="351" t="s">
        <v>477</v>
      </c>
      <c r="B63" s="351"/>
      <c r="C63" s="351"/>
      <c r="D63" s="351"/>
      <c r="E63" s="351"/>
      <c r="F63" s="351"/>
      <c r="G63" s="351"/>
      <c r="H63" s="351"/>
    </row>
    <row r="64" spans="1:8" ht="15.75">
      <c r="A64" s="351" t="s">
        <v>478</v>
      </c>
      <c r="B64" s="351"/>
      <c r="C64" s="351"/>
      <c r="D64" s="351"/>
      <c r="E64" s="351"/>
      <c r="F64" s="351"/>
      <c r="G64" s="351"/>
      <c r="H64" s="351"/>
    </row>
    <row r="65" spans="1:8" ht="15.75">
      <c r="A65" s="351" t="s">
        <v>479</v>
      </c>
      <c r="B65" s="351"/>
      <c r="C65" s="351"/>
      <c r="D65" s="351"/>
      <c r="E65" s="351"/>
      <c r="F65" s="351"/>
      <c r="G65" s="351"/>
      <c r="H65" s="351"/>
    </row>
    <row r="66" spans="1:8" ht="15.75">
      <c r="A66" s="351"/>
      <c r="B66" s="351"/>
      <c r="C66" s="351"/>
      <c r="D66" s="351"/>
      <c r="E66" s="351"/>
      <c r="F66" s="351"/>
      <c r="G66" s="351"/>
      <c r="H66" s="351"/>
    </row>
    <row r="67" spans="1:8" ht="15.75">
      <c r="A67" s="351" t="s">
        <v>480</v>
      </c>
      <c r="B67" s="351"/>
      <c r="C67" s="351"/>
      <c r="D67" s="351"/>
      <c r="E67" s="351"/>
      <c r="F67" s="351"/>
      <c r="G67" s="351"/>
      <c r="H67" s="351"/>
    </row>
    <row r="68" spans="1:8" ht="15.75">
      <c r="A68" s="351" t="s">
        <v>481</v>
      </c>
      <c r="B68" s="351"/>
      <c r="C68" s="351"/>
      <c r="D68" s="351"/>
      <c r="E68" s="351"/>
      <c r="F68" s="351"/>
      <c r="G68" s="351"/>
      <c r="H68" s="351"/>
    </row>
    <row r="69" spans="1:8" ht="15.75">
      <c r="A69" s="351" t="s">
        <v>482</v>
      </c>
      <c r="B69" s="351"/>
      <c r="C69" s="351"/>
      <c r="D69" s="351"/>
      <c r="E69" s="351"/>
      <c r="F69" s="351"/>
      <c r="G69" s="351"/>
      <c r="H69" s="351"/>
    </row>
    <row r="70" spans="1:8" ht="15.75">
      <c r="A70" s="351" t="s">
        <v>483</v>
      </c>
      <c r="B70" s="351"/>
      <c r="C70" s="351"/>
      <c r="D70" s="351"/>
      <c r="E70" s="351"/>
      <c r="F70" s="351"/>
      <c r="G70" s="351"/>
      <c r="H70" s="351"/>
    </row>
    <row r="71" spans="1:8" ht="15.75">
      <c r="A71" s="351" t="s">
        <v>484</v>
      </c>
      <c r="B71" s="351"/>
      <c r="C71" s="351"/>
      <c r="D71" s="351"/>
      <c r="E71" s="351"/>
      <c r="F71" s="351"/>
      <c r="G71" s="351"/>
      <c r="H71" s="351"/>
    </row>
    <row r="72" spans="1:8" ht="15.75">
      <c r="A72" s="351" t="s">
        <v>485</v>
      </c>
      <c r="B72" s="351"/>
      <c r="C72" s="351"/>
      <c r="D72" s="351"/>
      <c r="E72" s="351"/>
      <c r="F72" s="351"/>
      <c r="G72" s="351"/>
      <c r="H72" s="351"/>
    </row>
    <row r="73" spans="1:8" ht="15.75">
      <c r="A73" s="351" t="s">
        <v>486</v>
      </c>
      <c r="B73" s="351"/>
      <c r="C73" s="351"/>
      <c r="D73" s="351"/>
      <c r="E73" s="351"/>
      <c r="F73" s="351"/>
      <c r="G73" s="351"/>
      <c r="H73" s="351"/>
    </row>
    <row r="74" spans="1:8" ht="15.75">
      <c r="A74" s="351"/>
      <c r="B74" s="351"/>
      <c r="C74" s="351"/>
      <c r="D74" s="351"/>
      <c r="E74" s="351"/>
      <c r="F74" s="351"/>
      <c r="G74" s="351"/>
      <c r="H74" s="351"/>
    </row>
    <row r="75" spans="1:8" ht="15.75">
      <c r="A75" s="351" t="s">
        <v>487</v>
      </c>
      <c r="B75" s="351"/>
      <c r="C75" s="351"/>
      <c r="D75" s="351"/>
      <c r="E75" s="351"/>
      <c r="F75" s="351"/>
      <c r="G75" s="351"/>
      <c r="H75" s="351"/>
    </row>
    <row r="76" spans="1:8" ht="15.75">
      <c r="A76" s="351" t="s">
        <v>488</v>
      </c>
      <c r="B76" s="351"/>
      <c r="C76" s="351"/>
      <c r="D76" s="351"/>
      <c r="E76" s="351"/>
      <c r="F76" s="351"/>
      <c r="G76" s="351"/>
      <c r="H76" s="351"/>
    </row>
    <row r="77" spans="1:8" ht="15.75">
      <c r="A77" s="351" t="s">
        <v>489</v>
      </c>
      <c r="B77" s="351"/>
      <c r="C77" s="351"/>
      <c r="D77" s="351"/>
      <c r="E77" s="351"/>
      <c r="F77" s="351"/>
      <c r="G77" s="351"/>
      <c r="H77" s="351"/>
    </row>
    <row r="78" spans="1:8" ht="15.75">
      <c r="A78" s="351"/>
      <c r="B78" s="351"/>
      <c r="C78" s="351"/>
      <c r="D78" s="351"/>
      <c r="E78" s="351"/>
      <c r="F78" s="351"/>
      <c r="G78" s="351"/>
      <c r="H78" s="351"/>
    </row>
    <row r="79" ht="15.75">
      <c r="A79" s="351" t="s">
        <v>434</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490</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381</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491</v>
      </c>
      <c r="I7" s="352"/>
      <c r="J7" s="352"/>
      <c r="K7" s="352"/>
      <c r="L7" s="352"/>
    </row>
    <row r="8" spans="1:12" ht="15.75">
      <c r="A8" s="351"/>
      <c r="I8" s="352"/>
      <c r="J8" s="352"/>
      <c r="K8" s="352"/>
      <c r="L8" s="352"/>
    </row>
    <row r="9" spans="1:12" ht="15.75">
      <c r="A9" s="351" t="s">
        <v>492</v>
      </c>
      <c r="I9" s="352"/>
      <c r="J9" s="352"/>
      <c r="K9" s="352"/>
      <c r="L9" s="352"/>
    </row>
    <row r="10" spans="1:12" ht="15.75">
      <c r="A10" s="351" t="s">
        <v>493</v>
      </c>
      <c r="I10" s="352"/>
      <c r="J10" s="352"/>
      <c r="K10" s="352"/>
      <c r="L10" s="352"/>
    </row>
    <row r="11" spans="1:12" ht="15.75">
      <c r="A11" s="351" t="s">
        <v>494</v>
      </c>
      <c r="I11" s="352"/>
      <c r="J11" s="352"/>
      <c r="K11" s="352"/>
      <c r="L11" s="352"/>
    </row>
    <row r="12" spans="1:12" ht="15.75">
      <c r="A12" s="351" t="s">
        <v>495</v>
      </c>
      <c r="I12" s="352"/>
      <c r="J12" s="352"/>
      <c r="K12" s="352"/>
      <c r="L12" s="352"/>
    </row>
    <row r="13" spans="1:12" ht="15.75">
      <c r="A13" s="351" t="s">
        <v>496</v>
      </c>
      <c r="I13" s="352"/>
      <c r="J13" s="352"/>
      <c r="K13" s="352"/>
      <c r="L13" s="352"/>
    </row>
    <row r="14" spans="1:12" ht="15.75">
      <c r="A14" s="352"/>
      <c r="B14" s="352"/>
      <c r="C14" s="352"/>
      <c r="D14" s="352"/>
      <c r="E14" s="352"/>
      <c r="F14" s="352"/>
      <c r="G14" s="352"/>
      <c r="H14" s="352"/>
      <c r="I14" s="352"/>
      <c r="J14" s="352"/>
      <c r="K14" s="352"/>
      <c r="L14" s="352"/>
    </row>
    <row r="15" ht="15.75">
      <c r="A15" s="350" t="s">
        <v>497</v>
      </c>
    </row>
    <row r="16" ht="15.75">
      <c r="A16" s="350" t="s">
        <v>498</v>
      </c>
    </row>
    <row r="17" ht="15.75">
      <c r="A17" s="350"/>
    </row>
    <row r="18" spans="1:7" ht="15.75">
      <c r="A18" s="351" t="s">
        <v>499</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500</v>
      </c>
      <c r="B20" s="351"/>
      <c r="C20" s="351"/>
      <c r="D20" s="351"/>
      <c r="E20" s="351"/>
      <c r="F20" s="351"/>
      <c r="G20" s="351"/>
    </row>
    <row r="21" spans="1:7" ht="15.75">
      <c r="A21" s="351" t="s">
        <v>501</v>
      </c>
      <c r="B21" s="351"/>
      <c r="C21" s="351"/>
      <c r="D21" s="351"/>
      <c r="E21" s="351"/>
      <c r="F21" s="351"/>
      <c r="G21" s="351"/>
    </row>
    <row r="22" ht="15.75">
      <c r="A22" s="351"/>
    </row>
    <row r="23" ht="15.75">
      <c r="A23" s="350" t="s">
        <v>502</v>
      </c>
    </row>
    <row r="24" ht="15.75">
      <c r="A24" s="350"/>
    </row>
    <row r="25" ht="15.75">
      <c r="A25" s="351" t="s">
        <v>503</v>
      </c>
    </row>
    <row r="26" spans="1:6" ht="15.75">
      <c r="A26" s="351" t="s">
        <v>504</v>
      </c>
      <c r="B26" s="351"/>
      <c r="C26" s="351"/>
      <c r="D26" s="351"/>
      <c r="E26" s="351"/>
      <c r="F26" s="351"/>
    </row>
    <row r="27" spans="1:6" ht="15.75">
      <c r="A27" s="351" t="s">
        <v>505</v>
      </c>
      <c r="B27" s="351"/>
      <c r="C27" s="351"/>
      <c r="D27" s="351"/>
      <c r="E27" s="351"/>
      <c r="F27" s="351"/>
    </row>
    <row r="28" spans="1:6" ht="15.75">
      <c r="A28" s="351" t="s">
        <v>506</v>
      </c>
      <c r="B28" s="351"/>
      <c r="C28" s="351"/>
      <c r="D28" s="351"/>
      <c r="E28" s="351"/>
      <c r="F28" s="351"/>
    </row>
    <row r="29" spans="1:6" ht="15.75">
      <c r="A29" s="351"/>
      <c r="B29" s="351"/>
      <c r="C29" s="351"/>
      <c r="D29" s="351"/>
      <c r="E29" s="351"/>
      <c r="F29" s="351"/>
    </row>
    <row r="30" spans="1:7" ht="15.75">
      <c r="A30" s="350" t="s">
        <v>507</v>
      </c>
      <c r="B30" s="350"/>
      <c r="C30" s="350"/>
      <c r="D30" s="350"/>
      <c r="E30" s="350"/>
      <c r="F30" s="350"/>
      <c r="G30" s="350"/>
    </row>
    <row r="31" spans="1:7" ht="15.75">
      <c r="A31" s="350" t="s">
        <v>508</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509</v>
      </c>
      <c r="B34" s="351"/>
      <c r="C34" s="351"/>
      <c r="D34" s="351"/>
      <c r="E34" s="351"/>
      <c r="F34" s="351"/>
    </row>
    <row r="35" spans="1:6" ht="15.75">
      <c r="A35" s="363" t="s">
        <v>395</v>
      </c>
      <c r="B35" s="351"/>
      <c r="C35" s="351"/>
      <c r="D35" s="351"/>
      <c r="E35" s="351"/>
      <c r="F35" s="351"/>
    </row>
    <row r="36" spans="1:6" ht="15.75">
      <c r="A36" s="363" t="s">
        <v>396</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397</v>
      </c>
      <c r="B39" s="351"/>
      <c r="C39" s="351"/>
      <c r="D39" s="351"/>
      <c r="E39" s="351"/>
      <c r="F39" s="351"/>
    </row>
    <row r="40" spans="1:6" ht="15.75">
      <c r="A40" s="363" t="s">
        <v>398</v>
      </c>
      <c r="B40" s="351"/>
      <c r="C40" s="351"/>
      <c r="D40" s="351"/>
      <c r="E40" s="351"/>
      <c r="F40" s="351"/>
    </row>
    <row r="41" spans="1:6" ht="15.75">
      <c r="A41" s="363"/>
      <c r="B41" s="351"/>
      <c r="C41" s="351"/>
      <c r="D41" s="351"/>
      <c r="E41" s="351"/>
      <c r="F41" s="351"/>
    </row>
    <row r="42" spans="1:6" ht="15.75">
      <c r="A42" s="363" t="s">
        <v>399</v>
      </c>
      <c r="B42" s="351"/>
      <c r="C42" s="351"/>
      <c r="D42" s="351"/>
      <c r="E42" s="351"/>
      <c r="F42" s="351"/>
    </row>
    <row r="43" spans="1:6" ht="15.75">
      <c r="A43" s="363" t="s">
        <v>585</v>
      </c>
      <c r="B43" s="351"/>
      <c r="C43" s="351"/>
      <c r="D43" s="351"/>
      <c r="E43" s="351"/>
      <c r="F43" s="351"/>
    </row>
    <row r="44" spans="1:6" ht="15.75">
      <c r="A44" s="363" t="s">
        <v>586</v>
      </c>
      <c r="B44" s="351"/>
      <c r="C44" s="351"/>
      <c r="D44" s="351"/>
      <c r="E44" s="351"/>
      <c r="F44" s="351"/>
    </row>
    <row r="45" spans="1:6" ht="15.75">
      <c r="A45" s="363" t="s">
        <v>510</v>
      </c>
      <c r="B45" s="351"/>
      <c r="C45" s="351"/>
      <c r="D45" s="351"/>
      <c r="E45" s="351"/>
      <c r="F45" s="351"/>
    </row>
    <row r="46" spans="1:6" ht="15.75">
      <c r="A46" s="363" t="s">
        <v>401</v>
      </c>
      <c r="B46" s="351"/>
      <c r="C46" s="351"/>
      <c r="D46" s="351"/>
      <c r="E46" s="351"/>
      <c r="F46" s="351"/>
    </row>
    <row r="47" spans="1:6" ht="15.75">
      <c r="A47" s="363" t="s">
        <v>511</v>
      </c>
      <c r="B47" s="351"/>
      <c r="C47" s="351"/>
      <c r="D47" s="351"/>
      <c r="E47" s="351"/>
      <c r="F47" s="351"/>
    </row>
    <row r="48" spans="1:6" ht="15.75">
      <c r="A48" s="363" t="s">
        <v>512</v>
      </c>
      <c r="B48" s="351"/>
      <c r="C48" s="351"/>
      <c r="D48" s="351"/>
      <c r="E48" s="351"/>
      <c r="F48" s="351"/>
    </row>
    <row r="49" spans="1:6" ht="15.75">
      <c r="A49" s="363" t="s">
        <v>404</v>
      </c>
      <c r="B49" s="351"/>
      <c r="C49" s="351"/>
      <c r="D49" s="351"/>
      <c r="E49" s="351"/>
      <c r="F49" s="351"/>
    </row>
    <row r="50" spans="1:6" ht="15.75">
      <c r="A50" s="363"/>
      <c r="B50" s="351"/>
      <c r="C50" s="351"/>
      <c r="D50" s="351"/>
      <c r="E50" s="351"/>
      <c r="F50" s="351"/>
    </row>
    <row r="51" spans="1:6" ht="15.75">
      <c r="A51" s="363" t="s">
        <v>405</v>
      </c>
      <c r="B51" s="351"/>
      <c r="C51" s="351"/>
      <c r="D51" s="351"/>
      <c r="E51" s="351"/>
      <c r="F51" s="351"/>
    </row>
    <row r="52" spans="1:6" ht="15.75">
      <c r="A52" s="363" t="s">
        <v>406</v>
      </c>
      <c r="B52" s="351"/>
      <c r="C52" s="351"/>
      <c r="D52" s="351"/>
      <c r="E52" s="351"/>
      <c r="F52" s="351"/>
    </row>
    <row r="53" spans="1:6" ht="15.75">
      <c r="A53" s="363" t="s">
        <v>407</v>
      </c>
      <c r="B53" s="351"/>
      <c r="C53" s="351"/>
      <c r="D53" s="351"/>
      <c r="E53" s="351"/>
      <c r="F53" s="351"/>
    </row>
    <row r="54" spans="1:6" ht="15.75">
      <c r="A54" s="363"/>
      <c r="B54" s="351"/>
      <c r="C54" s="351"/>
      <c r="D54" s="351"/>
      <c r="E54" s="351"/>
      <c r="F54" s="351"/>
    </row>
    <row r="55" spans="1:6" ht="15.75">
      <c r="A55" s="363" t="s">
        <v>513</v>
      </c>
      <c r="B55" s="351"/>
      <c r="C55" s="351"/>
      <c r="D55" s="351"/>
      <c r="E55" s="351"/>
      <c r="F55" s="351"/>
    </row>
    <row r="56" spans="1:6" ht="15.75">
      <c r="A56" s="363" t="s">
        <v>514</v>
      </c>
      <c r="B56" s="351"/>
      <c r="C56" s="351"/>
      <c r="D56" s="351"/>
      <c r="E56" s="351"/>
      <c r="F56" s="351"/>
    </row>
    <row r="57" spans="1:6" ht="15.75">
      <c r="A57" s="363" t="s">
        <v>515</v>
      </c>
      <c r="B57" s="351"/>
      <c r="C57" s="351"/>
      <c r="D57" s="351"/>
      <c r="E57" s="351"/>
      <c r="F57" s="351"/>
    </row>
    <row r="58" spans="1:6" ht="15.75">
      <c r="A58" s="363" t="s">
        <v>516</v>
      </c>
      <c r="B58" s="351"/>
      <c r="C58" s="351"/>
      <c r="D58" s="351"/>
      <c r="E58" s="351"/>
      <c r="F58" s="351"/>
    </row>
    <row r="59" spans="1:6" ht="15.75">
      <c r="A59" s="363" t="s">
        <v>517</v>
      </c>
      <c r="B59" s="351"/>
      <c r="C59" s="351"/>
      <c r="D59" s="351"/>
      <c r="E59" s="351"/>
      <c r="F59" s="351"/>
    </row>
    <row r="60" spans="1:6" ht="15.75">
      <c r="A60" s="363"/>
      <c r="B60" s="351"/>
      <c r="C60" s="351"/>
      <c r="D60" s="351"/>
      <c r="E60" s="351"/>
      <c r="F60" s="351"/>
    </row>
    <row r="61" spans="1:6" ht="15.75">
      <c r="A61" s="364" t="s">
        <v>518</v>
      </c>
      <c r="B61" s="351"/>
      <c r="C61" s="351"/>
      <c r="D61" s="351"/>
      <c r="E61" s="351"/>
      <c r="F61" s="351"/>
    </row>
    <row r="62" spans="1:6" ht="15.75">
      <c r="A62" s="364" t="s">
        <v>519</v>
      </c>
      <c r="B62" s="351"/>
      <c r="C62" s="351"/>
      <c r="D62" s="351"/>
      <c r="E62" s="351"/>
      <c r="F62" s="351"/>
    </row>
    <row r="63" spans="1:6" ht="15.75">
      <c r="A63" s="364" t="s">
        <v>520</v>
      </c>
      <c r="B63" s="351"/>
      <c r="C63" s="351"/>
      <c r="D63" s="351"/>
      <c r="E63" s="351"/>
      <c r="F63" s="351"/>
    </row>
    <row r="64" ht="15.75">
      <c r="A64" s="364" t="s">
        <v>521</v>
      </c>
    </row>
    <row r="65" ht="15.75">
      <c r="A65" s="364" t="s">
        <v>522</v>
      </c>
    </row>
    <row r="66" ht="15.75">
      <c r="A66" s="364" t="s">
        <v>523</v>
      </c>
    </row>
    <row r="68" ht="15.75">
      <c r="A68" s="351" t="s">
        <v>524</v>
      </c>
    </row>
    <row r="69" ht="15.75">
      <c r="A69" s="351" t="s">
        <v>525</v>
      </c>
    </row>
    <row r="70" ht="15.75">
      <c r="A70" s="351" t="s">
        <v>526</v>
      </c>
    </row>
    <row r="71" ht="15.75">
      <c r="A71" s="351" t="s">
        <v>527</v>
      </c>
    </row>
    <row r="72" ht="15.75">
      <c r="A72" s="351" t="s">
        <v>528</v>
      </c>
    </row>
    <row r="73" ht="15.75">
      <c r="A73" s="351" t="s">
        <v>529</v>
      </c>
    </row>
    <row r="75" ht="15.75">
      <c r="A75" s="351"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530</v>
      </c>
      <c r="B3" s="352"/>
      <c r="C3" s="352"/>
      <c r="D3" s="352"/>
      <c r="E3" s="352"/>
      <c r="F3" s="352"/>
      <c r="G3" s="352"/>
    </row>
    <row r="4" spans="1:7" ht="15.75">
      <c r="A4" s="352"/>
      <c r="B4" s="352"/>
      <c r="C4" s="352"/>
      <c r="D4" s="352"/>
      <c r="E4" s="352"/>
      <c r="F4" s="352"/>
      <c r="G4" s="352"/>
    </row>
    <row r="5" ht="15.75">
      <c r="A5" s="351" t="s">
        <v>436</v>
      </c>
    </row>
    <row r="6" ht="15.75">
      <c r="A6" s="351" t="str">
        <f>CONCATENATE(inputPrYr!D5," estimated expenditures show that at the end of this year")</f>
        <v>2014 estimated expenditures show that at the end of this year</v>
      </c>
    </row>
    <row r="7" ht="15.75">
      <c r="A7" s="351" t="s">
        <v>531</v>
      </c>
    </row>
    <row r="8" ht="15.75">
      <c r="A8" s="351" t="s">
        <v>532</v>
      </c>
    </row>
    <row r="10" ht="15.75">
      <c r="A10" t="s">
        <v>438</v>
      </c>
    </row>
    <row r="11" ht="15.75">
      <c r="A11" t="s">
        <v>439</v>
      </c>
    </row>
    <row r="12" ht="15.75">
      <c r="A12" t="s">
        <v>440</v>
      </c>
    </row>
    <row r="13" spans="1:7" ht="15.75">
      <c r="A13" s="352"/>
      <c r="B13" s="352"/>
      <c r="C13" s="352"/>
      <c r="D13" s="352"/>
      <c r="E13" s="352"/>
      <c r="F13" s="352"/>
      <c r="G13" s="352"/>
    </row>
    <row r="14" ht="15.75">
      <c r="A14" s="350" t="s">
        <v>533</v>
      </c>
    </row>
    <row r="15" ht="15.75">
      <c r="A15" s="351"/>
    </row>
    <row r="16" ht="15.75">
      <c r="A16" s="351" t="s">
        <v>534</v>
      </c>
    </row>
    <row r="17" ht="15.75">
      <c r="A17" s="351" t="s">
        <v>535</v>
      </c>
    </row>
    <row r="18" ht="15.75">
      <c r="A18" s="351" t="s">
        <v>536</v>
      </c>
    </row>
    <row r="19" ht="15.75">
      <c r="A19" s="351"/>
    </row>
    <row r="20" ht="15.75">
      <c r="A20" s="351" t="s">
        <v>537</v>
      </c>
    </row>
    <row r="21" ht="15.75">
      <c r="A21" s="351" t="s">
        <v>538</v>
      </c>
    </row>
    <row r="22" ht="15.75">
      <c r="A22" s="351" t="s">
        <v>539</v>
      </c>
    </row>
    <row r="23" ht="15.75">
      <c r="A23" s="351" t="s">
        <v>540</v>
      </c>
    </row>
    <row r="24" ht="15.75">
      <c r="A24" s="351"/>
    </row>
    <row r="25" ht="15.75">
      <c r="A25" s="350" t="s">
        <v>502</v>
      </c>
    </row>
    <row r="26" ht="15.75">
      <c r="A26" s="350"/>
    </row>
    <row r="27" ht="15.75">
      <c r="A27" s="351" t="s">
        <v>503</v>
      </c>
    </row>
    <row r="28" spans="1:6" ht="15.75">
      <c r="A28" s="351" t="s">
        <v>504</v>
      </c>
      <c r="B28" s="351"/>
      <c r="C28" s="351"/>
      <c r="D28" s="351"/>
      <c r="E28" s="351"/>
      <c r="F28" s="351"/>
    </row>
    <row r="29" spans="1:6" ht="15.75">
      <c r="A29" s="351" t="s">
        <v>505</v>
      </c>
      <c r="B29" s="351"/>
      <c r="C29" s="351"/>
      <c r="D29" s="351"/>
      <c r="E29" s="351"/>
      <c r="F29" s="351"/>
    </row>
    <row r="30" spans="1:6" ht="15.75">
      <c r="A30" s="351" t="s">
        <v>506</v>
      </c>
      <c r="B30" s="351"/>
      <c r="C30" s="351"/>
      <c r="D30" s="351"/>
      <c r="E30" s="351"/>
      <c r="F30" s="351"/>
    </row>
    <row r="31" ht="15.75">
      <c r="A31" s="351"/>
    </row>
    <row r="32" spans="1:7" ht="15.75">
      <c r="A32" s="350" t="s">
        <v>507</v>
      </c>
      <c r="B32" s="350"/>
      <c r="C32" s="350"/>
      <c r="D32" s="350"/>
      <c r="E32" s="350"/>
      <c r="F32" s="350"/>
      <c r="G32" s="350"/>
    </row>
    <row r="33" spans="1:7" ht="15.75">
      <c r="A33" s="350" t="s">
        <v>508</v>
      </c>
      <c r="B33" s="350"/>
      <c r="C33" s="350"/>
      <c r="D33" s="350"/>
      <c r="E33" s="350"/>
      <c r="F33" s="350"/>
      <c r="G33" s="350"/>
    </row>
    <row r="34" spans="1:7" ht="15.75">
      <c r="A34" s="350"/>
      <c r="B34" s="350"/>
      <c r="C34" s="350"/>
      <c r="D34" s="350"/>
      <c r="E34" s="350"/>
      <c r="F34" s="350"/>
      <c r="G34" s="350"/>
    </row>
    <row r="35" spans="1:7" ht="15.75">
      <c r="A35" s="351" t="s">
        <v>541</v>
      </c>
      <c r="B35" s="351"/>
      <c r="C35" s="351"/>
      <c r="D35" s="351"/>
      <c r="E35" s="351"/>
      <c r="F35" s="351"/>
      <c r="G35" s="351"/>
    </row>
    <row r="36" spans="1:7" ht="15.75">
      <c r="A36" s="351" t="s">
        <v>542</v>
      </c>
      <c r="B36" s="351"/>
      <c r="C36" s="351"/>
      <c r="D36" s="351"/>
      <c r="E36" s="351"/>
      <c r="F36" s="351"/>
      <c r="G36" s="351"/>
    </row>
    <row r="37" spans="1:7" ht="15.75">
      <c r="A37" s="351" t="s">
        <v>543</v>
      </c>
      <c r="B37" s="351"/>
      <c r="C37" s="351"/>
      <c r="D37" s="351"/>
      <c r="E37" s="351"/>
      <c r="F37" s="351"/>
      <c r="G37" s="351"/>
    </row>
    <row r="38" spans="1:7" ht="15.75">
      <c r="A38" s="351" t="s">
        <v>544</v>
      </c>
      <c r="B38" s="351"/>
      <c r="C38" s="351"/>
      <c r="D38" s="351"/>
      <c r="E38" s="351"/>
      <c r="F38" s="351"/>
      <c r="G38" s="351"/>
    </row>
    <row r="39" spans="1:7" ht="15.75">
      <c r="A39" s="351" t="s">
        <v>545</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509</v>
      </c>
      <c r="B42" s="351"/>
      <c r="C42" s="351"/>
      <c r="D42" s="351"/>
      <c r="E42" s="351"/>
      <c r="F42" s="351"/>
    </row>
    <row r="43" spans="1:6" ht="15.75">
      <c r="A43" s="363" t="s">
        <v>395</v>
      </c>
      <c r="B43" s="351"/>
      <c r="C43" s="351"/>
      <c r="D43" s="351"/>
      <c r="E43" s="351"/>
      <c r="F43" s="351"/>
    </row>
    <row r="44" spans="1:6" ht="15.75">
      <c r="A44" s="363" t="s">
        <v>396</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397</v>
      </c>
      <c r="B47" s="351"/>
      <c r="C47" s="351"/>
      <c r="D47" s="351"/>
      <c r="E47" s="351"/>
      <c r="F47" s="351"/>
    </row>
    <row r="48" spans="1:6" ht="15.75">
      <c r="A48" s="363" t="s">
        <v>398</v>
      </c>
      <c r="B48" s="351"/>
      <c r="C48" s="351"/>
      <c r="D48" s="351"/>
      <c r="E48" s="351"/>
      <c r="F48" s="351"/>
    </row>
    <row r="49" spans="1:7" ht="15.75">
      <c r="A49" s="351"/>
      <c r="B49" s="351"/>
      <c r="C49" s="351"/>
      <c r="D49" s="351"/>
      <c r="E49" s="351"/>
      <c r="F49" s="351"/>
      <c r="G49" s="351"/>
    </row>
    <row r="50" spans="1:7" ht="15.75">
      <c r="A50" s="351" t="s">
        <v>463</v>
      </c>
      <c r="B50" s="351"/>
      <c r="C50" s="351"/>
      <c r="D50" s="351"/>
      <c r="E50" s="351"/>
      <c r="F50" s="351"/>
      <c r="G50" s="351"/>
    </row>
    <row r="51" spans="1:7" ht="15.75">
      <c r="A51" s="351" t="s">
        <v>464</v>
      </c>
      <c r="B51" s="351"/>
      <c r="C51" s="351"/>
      <c r="D51" s="351"/>
      <c r="E51" s="351"/>
      <c r="F51" s="351"/>
      <c r="G51" s="351"/>
    </row>
    <row r="52" spans="1:7" ht="15.75">
      <c r="A52" s="351" t="s">
        <v>465</v>
      </c>
      <c r="B52" s="351"/>
      <c r="C52" s="351"/>
      <c r="D52" s="351"/>
      <c r="E52" s="351"/>
      <c r="F52" s="351"/>
      <c r="G52" s="351"/>
    </row>
    <row r="53" spans="1:7" ht="15.75">
      <c r="A53" s="351" t="s">
        <v>466</v>
      </c>
      <c r="B53" s="351"/>
      <c r="C53" s="351"/>
      <c r="D53" s="351"/>
      <c r="E53" s="351"/>
      <c r="F53" s="351"/>
      <c r="G53" s="351"/>
    </row>
    <row r="54" spans="1:7" ht="15.75">
      <c r="A54" s="351" t="s">
        <v>467</v>
      </c>
      <c r="B54" s="351"/>
      <c r="C54" s="351"/>
      <c r="D54" s="351"/>
      <c r="E54" s="351"/>
      <c r="F54" s="351"/>
      <c r="G54" s="351"/>
    </row>
    <row r="55" spans="1:7" ht="15.75">
      <c r="A55" s="351"/>
      <c r="B55" s="351"/>
      <c r="C55" s="351"/>
      <c r="D55" s="351"/>
      <c r="E55" s="351"/>
      <c r="F55" s="351"/>
      <c r="G55" s="351"/>
    </row>
    <row r="56" spans="1:6" ht="15.75">
      <c r="A56" s="363" t="s">
        <v>405</v>
      </c>
      <c r="B56" s="351"/>
      <c r="C56" s="351"/>
      <c r="D56" s="351"/>
      <c r="E56" s="351"/>
      <c r="F56" s="351"/>
    </row>
    <row r="57" spans="1:6" ht="15.75">
      <c r="A57" s="363" t="s">
        <v>406</v>
      </c>
      <c r="B57" s="351"/>
      <c r="C57" s="351"/>
      <c r="D57" s="351"/>
      <c r="E57" s="351"/>
      <c r="F57" s="351"/>
    </row>
    <row r="58" spans="1:6" ht="15.75">
      <c r="A58" s="363" t="s">
        <v>407</v>
      </c>
      <c r="B58" s="351"/>
      <c r="C58" s="351"/>
      <c r="D58" s="351"/>
      <c r="E58" s="351"/>
      <c r="F58" s="351"/>
    </row>
    <row r="59" spans="1:6" ht="15.75">
      <c r="A59" s="363"/>
      <c r="B59" s="351"/>
      <c r="C59" s="351"/>
      <c r="D59" s="351"/>
      <c r="E59" s="351"/>
      <c r="F59" s="351"/>
    </row>
    <row r="60" spans="1:7" ht="15.75">
      <c r="A60" s="351" t="s">
        <v>546</v>
      </c>
      <c r="B60" s="351"/>
      <c r="C60" s="351"/>
      <c r="D60" s="351"/>
      <c r="E60" s="351"/>
      <c r="F60" s="351"/>
      <c r="G60" s="351"/>
    </row>
    <row r="61" spans="1:7" ht="15.75">
      <c r="A61" s="351" t="s">
        <v>547</v>
      </c>
      <c r="B61" s="351"/>
      <c r="C61" s="351"/>
      <c r="D61" s="351"/>
      <c r="E61" s="351"/>
      <c r="F61" s="351"/>
      <c r="G61" s="351"/>
    </row>
    <row r="62" spans="1:7" ht="15.75">
      <c r="A62" s="351" t="s">
        <v>548</v>
      </c>
      <c r="B62" s="351"/>
      <c r="C62" s="351"/>
      <c r="D62" s="351"/>
      <c r="E62" s="351"/>
      <c r="F62" s="351"/>
      <c r="G62" s="351"/>
    </row>
    <row r="63" spans="1:7" ht="15.75">
      <c r="A63" s="351" t="s">
        <v>549</v>
      </c>
      <c r="B63" s="351"/>
      <c r="C63" s="351"/>
      <c r="D63" s="351"/>
      <c r="E63" s="351"/>
      <c r="F63" s="351"/>
      <c r="G63" s="351"/>
    </row>
    <row r="64" spans="1:7" ht="15.75">
      <c r="A64" s="351" t="s">
        <v>550</v>
      </c>
      <c r="B64" s="351"/>
      <c r="C64" s="351"/>
      <c r="D64" s="351"/>
      <c r="E64" s="351"/>
      <c r="F64" s="351"/>
      <c r="G64" s="351"/>
    </row>
    <row r="66" spans="1:6" ht="15.75">
      <c r="A66" s="363" t="s">
        <v>513</v>
      </c>
      <c r="B66" s="351"/>
      <c r="C66" s="351"/>
      <c r="D66" s="351"/>
      <c r="E66" s="351"/>
      <c r="F66" s="351"/>
    </row>
    <row r="67" spans="1:6" ht="15.75">
      <c r="A67" s="363" t="s">
        <v>514</v>
      </c>
      <c r="B67" s="351"/>
      <c r="C67" s="351"/>
      <c r="D67" s="351"/>
      <c r="E67" s="351"/>
      <c r="F67" s="351"/>
    </row>
    <row r="68" spans="1:6" ht="15.75">
      <c r="A68" s="363" t="s">
        <v>515</v>
      </c>
      <c r="B68" s="351"/>
      <c r="C68" s="351"/>
      <c r="D68" s="351"/>
      <c r="E68" s="351"/>
      <c r="F68" s="351"/>
    </row>
    <row r="69" spans="1:6" ht="15.75">
      <c r="A69" s="363" t="s">
        <v>516</v>
      </c>
      <c r="B69" s="351"/>
      <c r="C69" s="351"/>
      <c r="D69" s="351"/>
      <c r="E69" s="351"/>
      <c r="F69" s="351"/>
    </row>
    <row r="70" spans="1:6" ht="15.75">
      <c r="A70" s="363" t="s">
        <v>517</v>
      </c>
      <c r="B70" s="351"/>
      <c r="C70" s="351"/>
      <c r="D70" s="351"/>
      <c r="E70" s="351"/>
      <c r="F70" s="351"/>
    </row>
    <row r="71" ht="15.75">
      <c r="A71" s="351"/>
    </row>
    <row r="72" ht="15.75">
      <c r="A72" s="351" t="s">
        <v>434</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551</v>
      </c>
      <c r="B3" s="352"/>
      <c r="C3" s="352"/>
      <c r="D3" s="352"/>
      <c r="E3" s="352"/>
      <c r="F3" s="352"/>
      <c r="G3" s="352"/>
    </row>
    <row r="4" spans="1:7" ht="15.75">
      <c r="A4" s="352" t="s">
        <v>552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381</v>
      </c>
    </row>
    <row r="8" ht="15.75">
      <c r="A8" s="351" t="str">
        <f>CONCATENATE("estimated ",inputPrYr!D5," 'total expenditures' exceed your ",inputPrYr!D5,"")</f>
        <v>estimated 2014 'total expenditures' exceed your 2014</v>
      </c>
    </row>
    <row r="9" ht="15.75">
      <c r="A9" s="366" t="s">
        <v>553</v>
      </c>
    </row>
    <row r="10" ht="15.75">
      <c r="A10" s="351"/>
    </row>
    <row r="11" ht="15.75">
      <c r="A11" s="351" t="s">
        <v>554</v>
      </c>
    </row>
    <row r="12" ht="15.75">
      <c r="A12" s="351" t="s">
        <v>555</v>
      </c>
    </row>
    <row r="13" ht="15.75">
      <c r="A13" s="351" t="s">
        <v>556</v>
      </c>
    </row>
    <row r="14" ht="15.75">
      <c r="A14" s="351"/>
    </row>
    <row r="15" ht="15.75">
      <c r="A15" s="350" t="s">
        <v>557</v>
      </c>
    </row>
    <row r="16" spans="1:7" ht="15.75">
      <c r="A16" s="352"/>
      <c r="B16" s="352"/>
      <c r="C16" s="352"/>
      <c r="D16" s="352"/>
      <c r="E16" s="352"/>
      <c r="F16" s="352"/>
      <c r="G16" s="352"/>
    </row>
    <row r="17" spans="1:8" ht="15.75">
      <c r="A17" s="367" t="s">
        <v>558</v>
      </c>
      <c r="B17" s="346"/>
      <c r="C17" s="346"/>
      <c r="D17" s="346"/>
      <c r="E17" s="346"/>
      <c r="F17" s="346"/>
      <c r="G17" s="346"/>
      <c r="H17" s="346"/>
    </row>
    <row r="18" spans="1:7" ht="15.75">
      <c r="A18" s="351" t="s">
        <v>559</v>
      </c>
      <c r="B18" s="368"/>
      <c r="C18" s="368"/>
      <c r="D18" s="368"/>
      <c r="E18" s="368"/>
      <c r="F18" s="368"/>
      <c r="G18" s="368"/>
    </row>
    <row r="19" ht="15.75">
      <c r="A19" s="351" t="s">
        <v>560</v>
      </c>
    </row>
    <row r="20" ht="15.75">
      <c r="A20" s="351" t="s">
        <v>561</v>
      </c>
    </row>
    <row r="22" ht="15.75">
      <c r="A22" s="350" t="s">
        <v>562</v>
      </c>
    </row>
    <row r="24" ht="15.75">
      <c r="A24" s="351" t="s">
        <v>563</v>
      </c>
    </row>
    <row r="25" ht="15.75">
      <c r="A25" s="351" t="s">
        <v>564</v>
      </c>
    </row>
    <row r="26" ht="15.75">
      <c r="A26" s="351" t="s">
        <v>565</v>
      </c>
    </row>
    <row r="28" ht="15.75">
      <c r="A28" s="350" t="s">
        <v>566</v>
      </c>
    </row>
    <row r="30" ht="15.75">
      <c r="A30" t="s">
        <v>567</v>
      </c>
    </row>
    <row r="31" ht="15.75">
      <c r="A31" t="s">
        <v>568</v>
      </c>
    </row>
    <row r="32" ht="15.75">
      <c r="A32" t="s">
        <v>569</v>
      </c>
    </row>
    <row r="33" ht="15.7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1" t="s">
        <v>583</v>
      </c>
    </row>
    <row r="50" ht="15.7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625</v>
      </c>
      <c r="C6" s="870"/>
      <c r="D6" s="870"/>
      <c r="E6" s="870"/>
      <c r="F6" s="870"/>
      <c r="G6" s="870"/>
      <c r="H6" s="870"/>
      <c r="I6" s="870"/>
      <c r="J6" s="870"/>
      <c r="K6" s="870"/>
      <c r="L6" s="405"/>
    </row>
    <row r="7" spans="1:12" ht="40.5" customHeight="1">
      <c r="A7" s="402"/>
      <c r="B7" s="882" t="s">
        <v>626</v>
      </c>
      <c r="C7" s="883"/>
      <c r="D7" s="883"/>
      <c r="E7" s="883"/>
      <c r="F7" s="883"/>
      <c r="G7" s="883"/>
      <c r="H7" s="883"/>
      <c r="I7" s="883"/>
      <c r="J7" s="883"/>
      <c r="K7" s="883"/>
      <c r="L7" s="402"/>
    </row>
    <row r="8" spans="1:12" ht="14.25">
      <c r="A8" s="402"/>
      <c r="B8" s="879" t="s">
        <v>627</v>
      </c>
      <c r="C8" s="879"/>
      <c r="D8" s="879"/>
      <c r="E8" s="879"/>
      <c r="F8" s="879"/>
      <c r="G8" s="879"/>
      <c r="H8" s="879"/>
      <c r="I8" s="879"/>
      <c r="J8" s="879"/>
      <c r="K8" s="879"/>
      <c r="L8" s="402"/>
    </row>
    <row r="9" spans="1:12" ht="14.25">
      <c r="A9" s="402"/>
      <c r="L9" s="402"/>
    </row>
    <row r="10" spans="1:12" ht="14.25">
      <c r="A10" s="402"/>
      <c r="B10" s="879" t="s">
        <v>628</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629</v>
      </c>
      <c r="C12" s="863"/>
      <c r="D12" s="863"/>
      <c r="E12" s="863"/>
      <c r="F12" s="863"/>
      <c r="G12" s="863"/>
      <c r="H12" s="863"/>
      <c r="I12" s="863"/>
      <c r="J12" s="863"/>
      <c r="K12" s="863"/>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65">
        <v>312000000</v>
      </c>
      <c r="G23" s="865"/>
      <c r="L23" s="402"/>
    </row>
    <row r="24" spans="1:12" ht="14.25">
      <c r="A24" s="402"/>
      <c r="L24" s="402"/>
    </row>
    <row r="25" spans="1:12" ht="14.25">
      <c r="A25" s="402"/>
      <c r="C25" s="880">
        <f>F23</f>
        <v>312000000</v>
      </c>
      <c r="D25" s="88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626</v>
      </c>
      <c r="C30" s="867"/>
      <c r="D30" s="867"/>
      <c r="E30" s="867"/>
      <c r="F30" s="867"/>
      <c r="G30" s="867"/>
      <c r="H30" s="867"/>
      <c r="I30" s="867"/>
      <c r="J30" s="867"/>
      <c r="K30" s="867"/>
      <c r="L30" s="402"/>
    </row>
    <row r="31" spans="1:12" ht="14.25">
      <c r="A31" s="402"/>
      <c r="B31" s="879" t="s">
        <v>638</v>
      </c>
      <c r="C31" s="879"/>
      <c r="D31" s="879"/>
      <c r="E31" s="879"/>
      <c r="F31" s="879"/>
      <c r="G31" s="879"/>
      <c r="H31" s="879"/>
      <c r="I31" s="879"/>
      <c r="J31" s="879"/>
      <c r="K31" s="879"/>
      <c r="L31" s="402"/>
    </row>
    <row r="32" spans="1:12" ht="14.25">
      <c r="A32" s="402"/>
      <c r="L32" s="402"/>
    </row>
    <row r="33" spans="1:12" ht="14.25">
      <c r="A33" s="402"/>
      <c r="B33" s="879" t="s">
        <v>639</v>
      </c>
      <c r="C33" s="879"/>
      <c r="D33" s="879"/>
      <c r="E33" s="879"/>
      <c r="F33" s="879"/>
      <c r="G33" s="879"/>
      <c r="H33" s="879"/>
      <c r="I33" s="879"/>
      <c r="J33" s="879"/>
      <c r="K33" s="879"/>
      <c r="L33" s="402"/>
    </row>
    <row r="34" spans="1:12" ht="14.25">
      <c r="A34" s="402"/>
      <c r="L34" s="402"/>
    </row>
    <row r="35" spans="1:12" ht="89.25" customHeight="1">
      <c r="A35" s="402"/>
      <c r="B35" s="863" t="s">
        <v>640</v>
      </c>
      <c r="C35" s="873"/>
      <c r="D35" s="873"/>
      <c r="E35" s="873"/>
      <c r="F35" s="873"/>
      <c r="G35" s="873"/>
      <c r="H35" s="873"/>
      <c r="I35" s="873"/>
      <c r="J35" s="873"/>
      <c r="K35" s="873"/>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81">
        <v>312000000</v>
      </c>
      <c r="D41" s="881"/>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74">
        <v>312000000</v>
      </c>
      <c r="C48" s="865"/>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75" t="s">
        <v>648</v>
      </c>
      <c r="H50" s="876"/>
      <c r="I50" s="546" t="s">
        <v>634</v>
      </c>
      <c r="J50" s="422">
        <f>B50/F50</f>
        <v>0.16025641025641027</v>
      </c>
      <c r="K50" s="414"/>
      <c r="L50" s="402"/>
    </row>
    <row r="51" spans="1:15" ht="15" thickBot="1">
      <c r="A51" s="402"/>
      <c r="B51" s="415"/>
      <c r="C51" s="416"/>
      <c r="D51" s="416"/>
      <c r="E51" s="416"/>
      <c r="F51" s="416"/>
      <c r="G51" s="416"/>
      <c r="H51" s="416"/>
      <c r="I51" s="877" t="s">
        <v>649</v>
      </c>
      <c r="J51" s="877"/>
      <c r="K51" s="878"/>
      <c r="L51" s="402"/>
      <c r="O51" s="423"/>
    </row>
    <row r="52" spans="1:12" ht="40.5" customHeight="1">
      <c r="A52" s="402"/>
      <c r="B52" s="867" t="s">
        <v>626</v>
      </c>
      <c r="C52" s="867"/>
      <c r="D52" s="867"/>
      <c r="E52" s="867"/>
      <c r="F52" s="867"/>
      <c r="G52" s="867"/>
      <c r="H52" s="867"/>
      <c r="I52" s="867"/>
      <c r="J52" s="867"/>
      <c r="K52" s="867"/>
      <c r="L52" s="402"/>
    </row>
    <row r="53" spans="1:12" ht="14.25">
      <c r="A53" s="402"/>
      <c r="B53" s="879" t="s">
        <v>650</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651</v>
      </c>
      <c r="C55" s="862"/>
      <c r="D55" s="862"/>
      <c r="E55" s="862"/>
      <c r="F55" s="862"/>
      <c r="G55" s="862"/>
      <c r="H55" s="862"/>
      <c r="I55" s="862"/>
      <c r="J55" s="862"/>
      <c r="K55" s="862"/>
      <c r="L55" s="402"/>
    </row>
    <row r="56" spans="1:12" ht="15" customHeight="1">
      <c r="A56" s="402"/>
      <c r="L56" s="402"/>
    </row>
    <row r="57" spans="1:24" ht="74.25" customHeight="1">
      <c r="A57" s="402"/>
      <c r="B57" s="863" t="s">
        <v>652</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65">
        <v>312000000</v>
      </c>
      <c r="D74" s="865"/>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65">
        <v>50000</v>
      </c>
      <c r="D77" s="865"/>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65">
        <v>100000</v>
      </c>
      <c r="D80" s="865"/>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6">
        <f>H80</f>
        <v>11500</v>
      </c>
      <c r="D83" s="866"/>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626</v>
      </c>
      <c r="C85" s="867"/>
      <c r="D85" s="867"/>
      <c r="E85" s="867"/>
      <c r="F85" s="867"/>
      <c r="G85" s="867"/>
      <c r="H85" s="867"/>
      <c r="I85" s="867"/>
      <c r="J85" s="867"/>
      <c r="K85" s="867"/>
      <c r="L85" s="402"/>
    </row>
    <row r="86" spans="1:12" ht="14.25">
      <c r="A86" s="402"/>
      <c r="B86" s="862" t="s">
        <v>668</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669</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670</v>
      </c>
      <c r="C90" s="863"/>
      <c r="D90" s="863"/>
      <c r="E90" s="863"/>
      <c r="F90" s="863"/>
      <c r="G90" s="863"/>
      <c r="H90" s="863"/>
      <c r="I90" s="863"/>
      <c r="J90" s="863"/>
      <c r="K90" s="863"/>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65">
        <v>312000000</v>
      </c>
      <c r="D94" s="865"/>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65">
        <v>50000</v>
      </c>
      <c r="D97" s="865"/>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65">
        <v>2500000</v>
      </c>
      <c r="D100" s="865"/>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6">
        <f>H100</f>
        <v>750000</v>
      </c>
      <c r="D103" s="866"/>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626</v>
      </c>
      <c r="C105" s="868"/>
      <c r="D105" s="868"/>
      <c r="E105" s="868"/>
      <c r="F105" s="868"/>
      <c r="G105" s="868"/>
      <c r="H105" s="868"/>
      <c r="I105" s="868"/>
      <c r="J105" s="868"/>
      <c r="K105" s="868"/>
      <c r="L105" s="402"/>
    </row>
    <row r="106" spans="1:12" ht="15" customHeight="1">
      <c r="A106" s="402"/>
      <c r="B106" s="869" t="s">
        <v>672</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673</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674</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65">
        <v>312000000</v>
      </c>
      <c r="D114" s="865"/>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65">
        <v>50000</v>
      </c>
      <c r="D117" s="865"/>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65">
        <v>2500000</v>
      </c>
      <c r="D120" s="865"/>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6">
        <f>H120</f>
        <v>625000</v>
      </c>
      <c r="D123" s="866"/>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626</v>
      </c>
      <c r="C125" s="867"/>
      <c r="D125" s="867"/>
      <c r="E125" s="867"/>
      <c r="F125" s="867"/>
      <c r="G125" s="867"/>
      <c r="H125" s="867"/>
      <c r="I125" s="867"/>
      <c r="J125" s="867"/>
      <c r="K125" s="867"/>
      <c r="L125" s="448"/>
    </row>
    <row r="126" spans="1:12" ht="14.25">
      <c r="A126" s="402"/>
      <c r="B126" s="862" t="s">
        <v>675</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676</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677</v>
      </c>
      <c r="C130" s="863"/>
      <c r="D130" s="863"/>
      <c r="E130" s="863"/>
      <c r="F130" s="863"/>
      <c r="G130" s="863"/>
      <c r="H130" s="863"/>
      <c r="I130" s="863"/>
      <c r="J130" s="863"/>
      <c r="K130" s="863"/>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64" t="s">
        <v>678</v>
      </c>
      <c r="D133" s="864"/>
      <c r="E133" s="412"/>
      <c r="F133" s="546" t="s">
        <v>679</v>
      </c>
      <c r="G133" s="412"/>
      <c r="H133" s="864" t="s">
        <v>664</v>
      </c>
      <c r="I133" s="864"/>
      <c r="J133" s="412"/>
      <c r="K133" s="414"/>
      <c r="L133" s="402"/>
    </row>
    <row r="134" spans="1:12" ht="14.25">
      <c r="A134" s="402"/>
      <c r="B134" s="420" t="s">
        <v>657</v>
      </c>
      <c r="C134" s="865">
        <v>100000</v>
      </c>
      <c r="D134" s="865"/>
      <c r="E134" s="546" t="s">
        <v>288</v>
      </c>
      <c r="F134" s="546">
        <v>0.115</v>
      </c>
      <c r="G134" s="546" t="s">
        <v>634</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664</v>
      </c>
      <c r="D136" s="853"/>
      <c r="E136" s="430"/>
      <c r="F136" s="548" t="s">
        <v>680</v>
      </c>
      <c r="G136" s="548"/>
      <c r="H136" s="430"/>
      <c r="I136" s="430"/>
      <c r="J136" s="430" t="s">
        <v>681</v>
      </c>
      <c r="K136" s="431"/>
      <c r="L136" s="402"/>
    </row>
    <row r="137" spans="1:12" ht="14.25">
      <c r="A137" s="402"/>
      <c r="B137" s="420" t="s">
        <v>660</v>
      </c>
      <c r="C137" s="854">
        <f>H134</f>
        <v>11500</v>
      </c>
      <c r="D137" s="854"/>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684</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54" t="s">
        <v>685</v>
      </c>
      <c r="D147" s="854"/>
      <c r="E147" s="546"/>
      <c r="F147" s="466" t="s">
        <v>686</v>
      </c>
      <c r="G147" s="546"/>
      <c r="H147" s="546"/>
      <c r="I147" s="546"/>
      <c r="J147" s="858" t="s">
        <v>687</v>
      </c>
      <c r="K147" s="859"/>
      <c r="L147" s="402"/>
    </row>
    <row r="148" spans="1:12" ht="14.25">
      <c r="A148" s="402"/>
      <c r="B148" s="420"/>
      <c r="C148" s="860">
        <v>52.869</v>
      </c>
      <c r="D148" s="860"/>
      <c r="E148" s="546" t="s">
        <v>288</v>
      </c>
      <c r="F148" s="542">
        <v>312000000</v>
      </c>
      <c r="G148" s="471" t="s">
        <v>635</v>
      </c>
      <c r="H148" s="546">
        <v>1000</v>
      </c>
      <c r="I148" s="546" t="s">
        <v>634</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Sterling Township</v>
      </c>
      <c r="B1" s="90"/>
      <c r="C1" s="90"/>
      <c r="D1" s="90"/>
      <c r="E1" s="90">
        <f>inputPrYr!D5</f>
        <v>2014</v>
      </c>
    </row>
    <row r="2" spans="1:5" ht="15.75">
      <c r="A2" s="88" t="str">
        <f>inputPrYr!D3</f>
        <v>Rice County</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3895437</v>
      </c>
    </row>
    <row r="8" spans="1:5" ht="15.75">
      <c r="A8" s="22" t="str">
        <f>CONCATENATE("New Improvements for ",E1-1,"")</f>
        <v>New Improvements for 2013</v>
      </c>
      <c r="B8" s="19"/>
      <c r="C8" s="19"/>
      <c r="D8" s="19"/>
      <c r="E8" s="283">
        <v>35298</v>
      </c>
    </row>
    <row r="9" spans="1:5" ht="15.75">
      <c r="A9" s="22" t="str">
        <f>CONCATENATE("Personal Property excluding oil, gas, and mobile homes - ",E1-1,"")</f>
        <v>Personal Property excluding oil, gas, and mobile homes - 2013</v>
      </c>
      <c r="B9" s="19"/>
      <c r="C9" s="19"/>
      <c r="D9" s="19"/>
      <c r="E9" s="283">
        <v>112378</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108183</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119143</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284</v>
      </c>
      <c r="B16" s="756"/>
      <c r="C16" s="90"/>
      <c r="D16" s="287" t="s">
        <v>3</v>
      </c>
      <c r="E16" s="286"/>
    </row>
    <row r="17" spans="1:5" ht="15.75">
      <c r="A17" s="71" t="str">
        <f>inputPrYr!B16</f>
        <v>General</v>
      </c>
      <c r="B17" s="20"/>
      <c r="C17" s="19"/>
      <c r="D17" s="288">
        <v>0.531</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25.717</v>
      </c>
      <c r="E20" s="286"/>
    </row>
    <row r="21" spans="1:5" ht="15.75">
      <c r="A21" s="71" t="str">
        <f>inputPrYr!B20</f>
        <v>Cemetery</v>
      </c>
      <c r="B21" s="267"/>
      <c r="C21" s="19"/>
      <c r="D21" s="289">
        <v>0.975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27.223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3731345</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158</v>
      </c>
      <c r="B32" s="20"/>
      <c r="C32" s="20"/>
      <c r="D32" s="295"/>
      <c r="E32" s="34">
        <v>6808</v>
      </c>
    </row>
    <row r="33" spans="1:5" ht="15.75">
      <c r="A33" s="296" t="s">
        <v>275</v>
      </c>
      <c r="B33" s="267"/>
      <c r="C33" s="267"/>
      <c r="D33" s="31"/>
      <c r="E33" s="34">
        <v>294</v>
      </c>
    </row>
    <row r="34" spans="1:5" ht="15.75">
      <c r="A34" s="296" t="s">
        <v>159</v>
      </c>
      <c r="B34" s="267"/>
      <c r="C34" s="267"/>
      <c r="D34" s="31"/>
      <c r="E34" s="34">
        <v>1341</v>
      </c>
    </row>
    <row r="35" spans="1:5" ht="15.75">
      <c r="A35" s="296" t="s">
        <v>160</v>
      </c>
      <c r="B35" s="267"/>
      <c r="C35" s="267"/>
      <c r="D35" s="31"/>
      <c r="E35" s="34">
        <v>0</v>
      </c>
    </row>
    <row r="36" spans="1:5" ht="15.75">
      <c r="A36" s="296" t="s">
        <v>100</v>
      </c>
      <c r="B36" s="20"/>
      <c r="C36" s="20"/>
      <c r="D36" s="295"/>
      <c r="E36" s="34">
        <v>3185</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9"/>
      <c r="E39" s="730">
        <v>0.0015</v>
      </c>
    </row>
    <row r="40" spans="1:5" ht="15.75">
      <c r="A40" s="296" t="s">
        <v>855</v>
      </c>
      <c r="B40" s="274"/>
      <c r="C40" s="19"/>
      <c r="D40" s="19"/>
      <c r="E40" s="731">
        <v>0.01</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206</v>
      </c>
      <c r="B45" s="301" t="s">
        <v>207</v>
      </c>
      <c r="C45" s="302" t="s">
        <v>208</v>
      </c>
      <c r="D45" s="303"/>
      <c r="E45" s="303"/>
    </row>
    <row r="46" spans="1:5" ht="15.75">
      <c r="A46" s="304" t="str">
        <f>inputPrYr!B16</f>
        <v>General</v>
      </c>
      <c r="B46" s="36">
        <v>10000</v>
      </c>
      <c r="C46" s="302" t="s">
        <v>209</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103100</v>
      </c>
      <c r="C49" s="140"/>
      <c r="D49" s="140"/>
      <c r="E49" s="140"/>
    </row>
    <row r="50" spans="1:5" ht="15.75">
      <c r="A50" s="304" t="str">
        <f>inputPrYr!B20</f>
        <v>Cemetery</v>
      </c>
      <c r="B50" s="36">
        <v>3928</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711" t="s">
        <v>839</v>
      </c>
    </row>
    <row r="2" spans="1:10" ht="54" customHeight="1">
      <c r="A2" s="761" t="s">
        <v>370</v>
      </c>
      <c r="B2" s="762"/>
      <c r="C2" s="762"/>
      <c r="D2" s="762"/>
      <c r="E2" s="762"/>
      <c r="F2" s="762"/>
      <c r="J2" s="711" t="s">
        <v>840</v>
      </c>
    </row>
    <row r="3" ht="15.75">
      <c r="J3" s="711" t="s">
        <v>841</v>
      </c>
    </row>
    <row r="4" spans="1:10" ht="15.75">
      <c r="A4" s="474" t="s">
        <v>837</v>
      </c>
      <c r="B4" s="356"/>
      <c r="C4" s="710"/>
      <c r="J4" s="711" t="s">
        <v>842</v>
      </c>
    </row>
    <row r="5" spans="1:10" ht="15.75">
      <c r="A5" s="474"/>
      <c r="B5" s="710"/>
      <c r="J5" s="711" t="s">
        <v>843</v>
      </c>
    </row>
    <row r="6" spans="1:10" ht="15.75">
      <c r="A6" s="474" t="s">
        <v>838</v>
      </c>
      <c r="B6" s="356" t="s">
        <v>944</v>
      </c>
      <c r="J6" s="711" t="s">
        <v>844</v>
      </c>
    </row>
    <row r="7" spans="1:10" ht="15.75">
      <c r="A7" s="353"/>
      <c r="B7" s="353"/>
      <c r="C7" s="353"/>
      <c r="D7" s="355"/>
      <c r="E7" s="353"/>
      <c r="F7" s="353"/>
      <c r="J7" s="711" t="s">
        <v>845</v>
      </c>
    </row>
    <row r="8" spans="1:10" ht="15.75">
      <c r="A8" s="354" t="s">
        <v>371</v>
      </c>
      <c r="B8" s="356" t="s">
        <v>948</v>
      </c>
      <c r="C8" s="357"/>
      <c r="D8" s="354" t="s">
        <v>836</v>
      </c>
      <c r="E8" s="353"/>
      <c r="F8" s="353"/>
      <c r="J8" s="711" t="s">
        <v>846</v>
      </c>
    </row>
    <row r="9" spans="1:10" ht="15.75">
      <c r="A9" s="354"/>
      <c r="B9" s="358"/>
      <c r="C9" s="359"/>
      <c r="D9" s="354" t="str">
        <f>IF(B8="","",CONCATENATE("Latest date for notice to be published in your newspaper: ",G19," ",G23,", ",G24))</f>
        <v>Latest date for notice to be published in your newspaper: August 3, 2013</v>
      </c>
      <c r="E9" s="353"/>
      <c r="F9" s="353"/>
      <c r="J9" s="711" t="s">
        <v>847</v>
      </c>
    </row>
    <row r="10" spans="1:10" ht="15.75">
      <c r="A10" s="354" t="s">
        <v>372</v>
      </c>
      <c r="B10" s="356" t="s">
        <v>949</v>
      </c>
      <c r="C10" s="360"/>
      <c r="D10" s="354"/>
      <c r="E10" s="353"/>
      <c r="F10" s="353"/>
      <c r="J10" s="711" t="s">
        <v>848</v>
      </c>
    </row>
    <row r="11" spans="1:10" ht="15.75">
      <c r="A11" s="354"/>
      <c r="B11" s="354"/>
      <c r="C11" s="354"/>
      <c r="D11" s="354"/>
      <c r="E11" s="353"/>
      <c r="F11" s="353"/>
      <c r="J11" s="711" t="s">
        <v>849</v>
      </c>
    </row>
    <row r="12" spans="1:10" ht="15.75">
      <c r="A12" s="354" t="s">
        <v>373</v>
      </c>
      <c r="B12" s="361" t="s">
        <v>950</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t="s">
        <v>945</v>
      </c>
      <c r="C15" s="361"/>
      <c r="D15" s="361"/>
      <c r="E15" s="362"/>
      <c r="F15" s="353"/>
    </row>
    <row r="18" spans="1:6" ht="15.75">
      <c r="A18" s="763" t="s">
        <v>375</v>
      </c>
      <c r="B18" s="763"/>
      <c r="C18" s="354"/>
      <c r="D18" s="354"/>
      <c r="E18" s="354"/>
      <c r="F18" s="353"/>
    </row>
    <row r="19" spans="1:7" ht="15.75">
      <c r="A19" s="354"/>
      <c r="B19" s="354"/>
      <c r="C19" s="354"/>
      <c r="D19" s="354"/>
      <c r="E19" s="354"/>
      <c r="F19" s="353"/>
      <c r="G19" s="711" t="str">
        <f ca="1">IF(B8="","",INDIRECT(G20))</f>
        <v>August</v>
      </c>
    </row>
    <row r="20" spans="1:7" ht="15.75">
      <c r="A20" s="354" t="s">
        <v>371</v>
      </c>
      <c r="B20" s="358" t="s">
        <v>376</v>
      </c>
      <c r="C20" s="354"/>
      <c r="D20" s="354"/>
      <c r="E20" s="354"/>
      <c r="G20" s="712" t="str">
        <f>IF(B8="","",CONCATENATE("J",G22))</f>
        <v>J8</v>
      </c>
    </row>
    <row r="21" spans="1:7" ht="15.75">
      <c r="A21" s="354"/>
      <c r="B21" s="354"/>
      <c r="C21" s="354"/>
      <c r="D21" s="354"/>
      <c r="E21" s="354"/>
      <c r="G21" s="713">
        <f>B8-10</f>
        <v>41489</v>
      </c>
    </row>
    <row r="22" spans="1:7" ht="15.75">
      <c r="A22" s="354" t="s">
        <v>372</v>
      </c>
      <c r="B22" s="354" t="s">
        <v>377</v>
      </c>
      <c r="C22" s="354"/>
      <c r="D22" s="354"/>
      <c r="E22" s="354"/>
      <c r="G22" s="714">
        <f>IF(B8="","",MONTH(G21))</f>
        <v>8</v>
      </c>
    </row>
    <row r="23" spans="1:7" ht="15.75">
      <c r="A23" s="354"/>
      <c r="B23" s="354"/>
      <c r="C23" s="354"/>
      <c r="D23" s="354"/>
      <c r="E23" s="354"/>
      <c r="G23" s="715">
        <f>IF(B8="","",DAY(G21))</f>
        <v>3</v>
      </c>
    </row>
    <row r="24" spans="1:7" ht="15.75">
      <c r="A24" s="354" t="s">
        <v>373</v>
      </c>
      <c r="B24" s="354" t="s">
        <v>379</v>
      </c>
      <c r="C24" s="354"/>
      <c r="D24" s="354"/>
      <c r="E24" s="354"/>
      <c r="G24" s="716">
        <f>IF(B8="","",YEAR(G21))</f>
        <v>2013</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7">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Rice County, State of Kansas</v>
      </c>
      <c r="C3" s="777"/>
      <c r="D3" s="777"/>
      <c r="E3" s="777"/>
      <c r="F3" s="777"/>
      <c r="G3" s="777"/>
      <c r="H3" s="777"/>
    </row>
    <row r="4" spans="2:7" s="14" customFormat="1" ht="15.75">
      <c r="B4" s="764" t="s">
        <v>151</v>
      </c>
      <c r="C4" s="765"/>
      <c r="D4" s="765"/>
      <c r="E4" s="765"/>
      <c r="F4" s="765"/>
      <c r="G4" s="765"/>
    </row>
    <row r="5" spans="2:7" s="14" customFormat="1" ht="15.75">
      <c r="B5" s="766" t="str">
        <f>inputPrYr!D2</f>
        <v>Sterling Township</v>
      </c>
      <c r="C5" s="765"/>
      <c r="D5" s="765"/>
      <c r="E5" s="765"/>
      <c r="F5" s="765"/>
      <c r="G5" s="765"/>
    </row>
    <row r="6" spans="2:7" s="14" customFormat="1" ht="15.75">
      <c r="B6" s="776" t="s">
        <v>149</v>
      </c>
      <c r="C6" s="777"/>
      <c r="D6" s="777"/>
      <c r="E6" s="777"/>
      <c r="F6" s="777"/>
      <c r="G6" s="777"/>
    </row>
    <row r="7" spans="2:7" s="14" customFormat="1" ht="15.75" customHeight="1">
      <c r="B7" s="764" t="s">
        <v>150</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276</v>
      </c>
      <c r="F12" s="770" t="str">
        <f>CONCATENATE("Amount of ",H1-1," Ad Valorem Tax")</f>
        <v>Amount of 2013 Ad Valorem Tax</v>
      </c>
      <c r="G12" s="23" t="s">
        <v>277</v>
      </c>
    </row>
    <row r="13" spans="4:7" s="14" customFormat="1" ht="15.75">
      <c r="D13" s="23" t="s">
        <v>278</v>
      </c>
      <c r="E13" s="522" t="s">
        <v>207</v>
      </c>
      <c r="F13" s="771"/>
      <c r="G13" s="156" t="s">
        <v>279</v>
      </c>
    </row>
    <row r="14" spans="2:7" s="14" customFormat="1" ht="15.75">
      <c r="B14" s="71" t="s">
        <v>280</v>
      </c>
      <c r="C14" s="20"/>
      <c r="D14" s="26" t="s">
        <v>281</v>
      </c>
      <c r="E14" s="523" t="s">
        <v>718</v>
      </c>
      <c r="F14" s="772"/>
      <c r="G14" s="26" t="s">
        <v>283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10000</v>
      </c>
      <c r="F21" s="722">
        <f>IF(gen!$E$57&lt;&gt;0,gen!$E$57,0)</f>
        <v>6588</v>
      </c>
      <c r="G21" s="723" t="str">
        <f>IF(AND(gen!E57=0,$C$40&gt;=0)," ",IF(AND(F21&gt;0,$C$40=0)," ",IF(AND(F21&gt;0,$C$40&gt;0),ROUND(F21/$C$40*1000,3))))</f>
        <v> </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118800</v>
      </c>
      <c r="F24" s="722">
        <f>IF(road!$E$50&lt;&gt;0,road!$E$50,"  ")</f>
        <v>95743</v>
      </c>
      <c r="G24" s="723" t="str">
        <f>IF(AND(road!E50=0,$C$40&gt;=0)," ",IF(AND(F24&gt;0,$C$40=0)," ",IF(AND(F24&gt;0,$C$40&gt;0),ROUND(F24/$C$40*1000,3))))</f>
        <v> </v>
      </c>
    </row>
    <row r="25" spans="2:7" s="14" customFormat="1" ht="15.75">
      <c r="B25" s="85" t="str">
        <f>IF(inputPrYr!$B20&gt;"  ",inputPrYr!$B20,"  ")</f>
        <v>Cemetery</v>
      </c>
      <c r="C25" s="260" t="str">
        <f>IF(inputPrYr!C20&gt;0,inputPrYr!C20,"  ")</f>
        <v>  </v>
      </c>
      <c r="D25" s="261" t="str">
        <f>IF(levypage9!C81&gt;0,levypage9!C81,"  ")</f>
        <v>  </v>
      </c>
      <c r="E25" s="722">
        <f>IF(levypage9!$E$33&lt;&gt;0,levypage9!$E$33,"  ")</f>
        <v>4000</v>
      </c>
      <c r="F25" s="722">
        <f>IF(levypage9!$E$40&lt;&gt;0,levypage9!$E$40,"  ")</f>
        <v>3734</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t="str">
        <f>IF(road!C67&gt;0,road!C67,"  ")</f>
        <v>  </v>
      </c>
      <c r="E34" s="236"/>
      <c r="F34" s="236"/>
      <c r="G34" s="723"/>
    </row>
    <row r="35" spans="2:7" s="14" customFormat="1" ht="16.5" thickBot="1">
      <c r="B35" s="266" t="s">
        <v>287</v>
      </c>
      <c r="C35" s="267"/>
      <c r="D35" s="159" t="s">
        <v>288</v>
      </c>
      <c r="E35" s="724">
        <f>SUM(E21:E30)</f>
        <v>132800</v>
      </c>
      <c r="F35" s="724">
        <f>SUM(F21:F30)</f>
        <v>106065</v>
      </c>
      <c r="G35" s="725">
        <f>IF(SUM(G21:G30)&gt;0,SUM(G21:G30),"")</f>
      </c>
    </row>
    <row r="36" spans="2:4" s="14" customFormat="1" ht="16.5" thickTop="1">
      <c r="B36" s="27" t="s">
        <v>167</v>
      </c>
      <c r="C36" s="259"/>
      <c r="D36" s="264">
        <f>summ!D49</f>
        <v>0</v>
      </c>
    </row>
    <row r="37" spans="2:6" s="14" customFormat="1" ht="15.75">
      <c r="B37" s="27" t="s">
        <v>213</v>
      </c>
      <c r="C37" s="28"/>
      <c r="D37" s="264">
        <f>IF(nhood!C38&gt;0,nhood!C38,"")</f>
      </c>
      <c r="E37" s="268" t="s">
        <v>156</v>
      </c>
      <c r="F37" s="269" t="str">
        <f>IF(F35&gt;computation!J34,"Yes","No")</f>
        <v>Yes</v>
      </c>
    </row>
    <row r="38" spans="2:6" s="14" customFormat="1" ht="15.75">
      <c r="B38" s="27" t="s">
        <v>155</v>
      </c>
      <c r="C38" s="28"/>
      <c r="D38" s="264">
        <f>IF(Resolution!D50&gt;0,Resolution!D50,"")</f>
      </c>
      <c r="E38" s="270"/>
      <c r="F38" s="271"/>
    </row>
    <row r="39" spans="2:7" s="14" customFormat="1" ht="15.75">
      <c r="B39" s="64" t="s">
        <v>97</v>
      </c>
      <c r="C39" s="779" t="s">
        <v>124</v>
      </c>
      <c r="D39" s="780"/>
      <c r="E39" s="272"/>
      <c r="G39" s="22" t="s">
        <v>289</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290</v>
      </c>
      <c r="E42" s="19"/>
      <c r="G42" s="22"/>
    </row>
    <row r="43" spans="2:7" s="14" customFormat="1" ht="15.75">
      <c r="B43" s="275"/>
      <c r="C43" s="275"/>
      <c r="E43" s="726" t="s">
        <v>851</v>
      </c>
      <c r="F43" s="726"/>
      <c r="G43" s="726"/>
    </row>
    <row r="44" spans="2:7" s="14" customFormat="1" ht="15.75">
      <c r="B44" s="276"/>
      <c r="C44" s="276"/>
      <c r="E44" s="727"/>
      <c r="F44" s="727"/>
      <c r="G44" s="727"/>
    </row>
    <row r="45" spans="2:7" s="14" customFormat="1" ht="15.75">
      <c r="B45" s="274" t="s">
        <v>144</v>
      </c>
      <c r="E45" s="726" t="s">
        <v>851</v>
      </c>
      <c r="F45" s="726"/>
      <c r="G45" s="726"/>
    </row>
    <row r="46" spans="2:7" s="14" customFormat="1" ht="15.75">
      <c r="B46" s="275"/>
      <c r="C46" s="275"/>
      <c r="D46" s="22"/>
      <c r="E46" s="726"/>
      <c r="F46" s="726"/>
      <c r="G46" s="726"/>
    </row>
    <row r="47" spans="2:7" s="14" customFormat="1" ht="15.75">
      <c r="B47" s="276"/>
      <c r="C47" s="276"/>
      <c r="D47" s="22"/>
      <c r="E47" s="726" t="s">
        <v>851</v>
      </c>
      <c r="F47" s="728"/>
      <c r="G47" s="728"/>
    </row>
    <row r="48" spans="2:8" ht="15.75">
      <c r="B48" s="274" t="s">
        <v>835</v>
      </c>
      <c r="C48" s="14"/>
      <c r="D48" s="22"/>
      <c r="E48" s="729"/>
      <c r="F48" s="726"/>
      <c r="G48" s="726"/>
      <c r="H48" s="90"/>
    </row>
    <row r="49" spans="2:8" ht="15.75">
      <c r="B49" s="275"/>
      <c r="C49" s="275"/>
      <c r="D49" s="22"/>
      <c r="E49" s="726" t="s">
        <v>851</v>
      </c>
      <c r="F49" s="728"/>
      <c r="G49" s="728"/>
      <c r="H49" s="90"/>
    </row>
    <row r="50" spans="2:8" ht="15.75">
      <c r="B50" s="66"/>
      <c r="C50" s="14"/>
      <c r="D50" s="22"/>
      <c r="E50" s="729"/>
      <c r="F50" s="726"/>
      <c r="G50" s="726"/>
      <c r="H50" s="90"/>
    </row>
    <row r="51" spans="2:8" ht="15.75">
      <c r="B51" s="531" t="s">
        <v>148</v>
      </c>
      <c r="C51" s="279">
        <f>H1-1</f>
        <v>2013</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67" t="s">
        <v>291</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Sterling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101566</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101566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35298</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112378</v>
      </c>
      <c r="F14" s="246"/>
      <c r="G14" s="55"/>
      <c r="H14" s="55"/>
      <c r="I14" s="53"/>
      <c r="J14" s="55"/>
    </row>
    <row r="15" spans="1:10" ht="15.75">
      <c r="A15" s="245"/>
      <c r="B15" s="14" t="s">
        <v>87</v>
      </c>
      <c r="C15" s="14" t="str">
        <f>CONCATENATE("Personal Property ",J1-2,"")</f>
        <v>Personal Property 2012</v>
      </c>
      <c r="D15" s="245" t="s">
        <v>82</v>
      </c>
      <c r="E15" s="249">
        <f>inputOth!E11</f>
        <v>108183</v>
      </c>
      <c r="F15" s="246"/>
      <c r="G15" s="53"/>
      <c r="H15" s="53"/>
      <c r="I15" s="55"/>
      <c r="J15" s="55"/>
    </row>
    <row r="16" spans="1:10" ht="15.75">
      <c r="A16" s="245"/>
      <c r="B16" s="14" t="s">
        <v>88</v>
      </c>
      <c r="C16" s="14" t="s">
        <v>108</v>
      </c>
      <c r="D16" s="14"/>
      <c r="E16" s="55"/>
      <c r="F16" s="55" t="s">
        <v>15</v>
      </c>
      <c r="G16" s="247">
        <f>IF(E14&gt;E15,E14-E15,0)</f>
        <v>4195</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276</v>
      </c>
      <c r="B19" s="14"/>
      <c r="C19" s="14"/>
      <c r="D19" s="245"/>
      <c r="E19" s="53"/>
      <c r="F19" s="53"/>
      <c r="G19" s="53"/>
      <c r="H19" s="55"/>
      <c r="I19" s="55"/>
      <c r="J19" s="55"/>
    </row>
    <row r="20" spans="1:10" ht="15.75">
      <c r="A20" s="245" t="s">
        <v>90</v>
      </c>
      <c r="B20" s="17" t="s">
        <v>109</v>
      </c>
      <c r="C20" s="14"/>
      <c r="D20" s="14"/>
      <c r="E20" s="55"/>
      <c r="F20" s="55"/>
      <c r="G20" s="247">
        <f>G11+G16+G18</f>
        <v>39493</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3895437</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3855944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0.010242109325239163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1040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102606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102606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Sterling Township</v>
      </c>
      <c r="C1" s="14"/>
      <c r="D1" s="14"/>
      <c r="E1" s="14"/>
      <c r="F1" s="14"/>
      <c r="G1" s="14"/>
      <c r="H1" s="14"/>
      <c r="I1" s="14"/>
      <c r="J1" s="15">
        <f>inputPrYr!D5</f>
        <v>2014</v>
      </c>
      <c r="K1" s="15"/>
      <c r="L1" s="90"/>
    </row>
    <row r="2" spans="2:12" ht="15.75">
      <c r="B2" s="13" t="str">
        <f>inputPrYr!D3</f>
        <v>Rice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1978</v>
      </c>
      <c r="E11" s="131">
        <f>IF(inputOth!D17&gt;0,inputOth!D17,"  ")</f>
        <v>0.531</v>
      </c>
      <c r="F11" s="717"/>
      <c r="G11" s="161">
        <f>IF(inputPrYr!E16=0,0,G23-SUM(G12:G20))</f>
        <v>132</v>
      </c>
      <c r="H11" s="718"/>
      <c r="I11" s="161">
        <f>IF(inputPrYr!E16=0,0,I25-SUM(I12:I20))</f>
        <v>5</v>
      </c>
      <c r="J11" s="161">
        <f>IF(inputPrYr!E16=0,0,J27-SUM(J12:J20))</f>
        <v>26</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95952</v>
      </c>
      <c r="E14" s="131">
        <f>IF(inputOth!D20&gt;0,inputOth!D20,"  ")</f>
        <v>25.717</v>
      </c>
      <c r="F14" s="717"/>
      <c r="G14" s="161">
        <f>IF(inputPrYr!E19=0,0,ROUND(D14*$G$30,0))</f>
        <v>6432</v>
      </c>
      <c r="H14" s="718"/>
      <c r="I14" s="161">
        <f>IF(inputPrYr!$E$19=0,0,ROUND($D$14*$I$32,0))</f>
        <v>278</v>
      </c>
      <c r="J14" s="161">
        <f>IF(inputPrYr!E19=0,0,ROUND($D14*$J$34,0))</f>
        <v>1267</v>
      </c>
      <c r="K14" s="90"/>
      <c r="L14" s="90"/>
      <c r="M14" s="550"/>
    </row>
    <row r="15" spans="2:13" ht="15.75">
      <c r="B15" s="85" t="str">
        <f>IF(inputPrYr!$B20&gt;"  ",inputPrYr!$B20,"  ")</f>
        <v>Cemetery</v>
      </c>
      <c r="C15" s="234"/>
      <c r="D15" s="161">
        <f>IF(inputPrYr!E20&gt;=0,inputPrYr!E20,"  ")</f>
        <v>3636</v>
      </c>
      <c r="E15" s="131">
        <f>IF(inputOth!D21&gt;0,inputOth!D21,"  ")</f>
        <v>0.975</v>
      </c>
      <c r="F15" s="717"/>
      <c r="G15" s="161">
        <f>IF(inputPrYr!E20=0,0,ROUND(D15*$G$30,0))</f>
        <v>244</v>
      </c>
      <c r="H15" s="718"/>
      <c r="I15" s="161">
        <f>IF(inputPrYr!$E$20=0,0,ROUND($D$15*$I$32,0))</f>
        <v>11</v>
      </c>
      <c r="J15" s="161">
        <f>IF(inputPrYr!E20=0,0,ROUND($D15*$J$34,0))</f>
        <v>48</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101566</v>
      </c>
      <c r="E21" s="720">
        <f>SUM(E11:E20)</f>
        <v>27.223</v>
      </c>
      <c r="F21" s="721"/>
      <c r="G21" s="719">
        <f>SUM(G11:G20)</f>
        <v>6808</v>
      </c>
      <c r="H21" s="719"/>
      <c r="I21" s="719">
        <f>SUM(I11:I20)</f>
        <v>294</v>
      </c>
      <c r="J21" s="719">
        <f>SUM(J11:J20)</f>
        <v>1341</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6808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294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1341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0.06703030541716716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0.00289466947600575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0.013203237303822146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Sterling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168</v>
      </c>
      <c r="B5" s="769"/>
      <c r="C5" s="769"/>
      <c r="D5" s="769"/>
      <c r="E5" s="769"/>
      <c r="F5" s="769"/>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2012</v>
      </c>
      <c r="D9" s="219">
        <f>F1-1</f>
        <v>2013</v>
      </c>
      <c r="E9" s="219">
        <f>F1</f>
        <v>2014</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28075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28075</v>
      </c>
      <c r="D27" s="228">
        <f>SUM(D10:D26)</f>
        <v>0</v>
      </c>
      <c r="E27" s="228">
        <f>SUM(E10:E26)</f>
        <v>0</v>
      </c>
      <c r="F27" s="129"/>
    </row>
    <row r="28" spans="1:6" ht="15.75">
      <c r="A28" s="129"/>
      <c r="B28" s="227" t="s">
        <v>608</v>
      </c>
      <c r="C28" s="129"/>
      <c r="D28" s="224"/>
      <c r="E28" s="224"/>
      <c r="F28" s="129"/>
    </row>
    <row r="29" spans="1:6" ht="15.75">
      <c r="A29" s="129"/>
      <c r="B29" s="179" t="s">
        <v>176</v>
      </c>
      <c r="C29" s="229">
        <f>C27</f>
        <v>28075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2013-07-24T18:34:51Z</cp:lastPrinted>
  <dcterms:created xsi:type="dcterms:W3CDTF">1998-08-26T16:30:41Z</dcterms:created>
  <dcterms:modified xsi:type="dcterms:W3CDTF">2013-07-24T18:43:00Z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