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Sheet1"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<sst xmlns="http://schemas.openxmlformats.org/spreadsheetml/2006/main" count="1584" uniqueCount="958">
  <si>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</si>
  <si>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</si>
  <si>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</si>
  <si>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</si>
  <si>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</si>
  <si>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</si>
  <si>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</si>
  <si>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</si>
  <si>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</si>
  <si>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</si>
  <si>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</si>
  <si>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</si>
  <si>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</si>
  <si>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</si>
  <si>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</si>
  <si>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</si>
  <si>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</si>
  <si>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</si>
  <si>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</si>
  <si>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</si>
  <si>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</si>
  <si>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</si>
  <si>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</si>
  <si>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</si>
  <si>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</si>
  <si>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</si>
  <si>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</si>
  <si>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</si>
  <si>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</si>
  <si>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</si>
  <si>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</si>
  <si>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</si>
  <si>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</si>
  <si>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</si>
  <si>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</si>
  <si>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</si>
  <si>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</si>
  <si>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</si>
  <si>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</si>
  <si>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</si>
  <si>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</si>
  <si>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</si>
  <si>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</si>
  <si>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</si>
  <si>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</si>
  <si>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</si>
  <si>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</si>
  <si>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</si>
  <si>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</si>
  <si>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</si>
  <si>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</si>
  <si>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</si>
  <si>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</si>
  <si>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</si>
  <si>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</si>
  <si>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</si>
  <si>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</si>
  <si>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</si>
  <si>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</si>
  <si>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</si>
  <si>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</si>
  <si>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</si>
  <si>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</si>
  <si>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</si>
  <si>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</si>
  <si>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</si>
  <si>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</si>
  <si>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</si>
  <si>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</si>
  <si>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</si>
  <si>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</si>
  <si>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</si>
  <si>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</si>
  <si>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</si>
  <si>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</si>
  <si>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</si>
  <si>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</si>
  <si>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</si>
  <si>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</si>
  <si>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</si>
  <si>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</si>
  <si>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</si>
  <si>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</si>
  <si>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</si>
  <si>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</si>
  <si>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</si>
  <si>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</si>
  <si>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</si>
  <si>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</si>
  <si>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</si>
  <si>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</si>
  <si>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</si>
  <si>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</si>
  <si>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</si>
  <si>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</si>
  <si>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</si>
  <si>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</si>
  <si>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</si>
  <si>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</si>
  <si>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</si>
  <si>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</si>
  <si>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</si>
  <si>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</si>
  <si>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</si>
  <si>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</si>
  <si>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</si>
  <si>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</si>
  <si>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</si>
  <si>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</si>
  <si>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</si>
  <si>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</si>
  <si>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</si>
  <si>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</si>
  <si>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</si>
  <si>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</si>
  <si>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</si>
  <si>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</si>
  <si>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</si>
  <si>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</si>
  <si>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</si>
  <si>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</si>
  <si>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</si>
  <si>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</si>
  <si>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</si>
  <si>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</si>
  <si>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</si>
  <si>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</si>
  <si>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</si>
  <si>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</si>
  <si>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</si>
  <si>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</si>
  <si>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</si>
  <si>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</si>
  <si>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</si>
  <si>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</si>
  <si>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</si>
  <si>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</si>
  <si>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</si>
  <si>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</si>
  <si>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</si>
  <si>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</si>
  <si>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</si>
  <si>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</si>
  <si>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</si>
  <si>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</si>
  <si>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</si>
  <si>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</si>
  <si>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</si>
  <si>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</si>
  <si>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</si>
  <si>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</si>
  <si>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</si>
  <si>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</si>
  <si>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</si>
  <si>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</si>
  <si>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</si>
  <si>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</si>
  <si>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</si>
  <si>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</si>
  <si>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</si>
  <si>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</si>
  <si>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</si>
  <si>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</si>
  <si>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</si>
  <si>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</si>
  <si>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</si>
  <si>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</si>
  <si>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</si>
  <si>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</si>
  <si>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</si>
  <si>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</si>
  <si>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</si>
  <si>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</si>
  <si>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</si>
  <si>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</si>
  <si>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</si>
  <si>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</si>
  <si>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</si>
  <si>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</si>
  <si>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</si>
  <si>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</si>
  <si>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</si>
  <si>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</si>
  <si>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</si>
  <si>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</si>
  <si>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</si>
  <si>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</si>
  <si>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</si>
  <si>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</si>
  <si>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</si>
  <si>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</si>
  <si>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</si>
  <si>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</si>
  <si>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</si>
  <si>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</si>
  <si>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</si>
  <si>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</si>
  <si>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</si>
  <si>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</si>
  <si>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</si>
  <si>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</si>
  <si>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</si>
  <si>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</si>
  <si>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</si>
  <si>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</si>
  <si>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</si>
  <si>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</si>
  <si>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</si>
  <si>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</si>
  <si>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</si>
  <si>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</si>
  <si>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</si>
  <si>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</si>
  <si>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</si>
  <si>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</si>
  <si>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</si>
  <si>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</si>
  <si>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</si>
  <si>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</si>
  <si>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</si>
  <si>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</si>
  <si>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</si>
  <si>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</si>
  <si>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</si>
  <si>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</si>
  <si>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</si>
  <si>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</si>
  <si>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</si>
  <si>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</si>
  <si>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</si>
  <si>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</si>
  <si>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</si>
  <si>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</si>
  <si>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</si>
  <si>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</si>
  <si>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</si>
  <si>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</si>
  <si>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</si>
  <si>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</si>
  <si>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</si>
  <si>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</si>
  <si>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</si>
  <si>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</si>
  <si>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</si>
  <si>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</si>
  <si>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</si>
  <si>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</si>
  <si>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</si>
  <si>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</si>
  <si>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</si>
  <si>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</si>
  <si>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</si>
  <si>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</si>
  <si>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</si>
  <si>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</si>
  <si>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</si>
  <si>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</si>
  <si>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</si>
  <si>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</si>
  <si>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</si>
  <si>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</si>
  <si>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</si>
  <si>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</si>
  <si>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</si>
  <si>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</si>
  <si>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</si>
  <si>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</si>
  <si>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</si>
  <si>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</si>
  <si>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</si>
  <si>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</si>
  <si>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</si>
  <si>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</si>
  <si>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</si>
  <si>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</si>
  <si>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</si>
  <si>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</si>
  <si>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</si>
  <si>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</si>
  <si>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</si>
  <si>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</si>
  <si>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</si>
  <si>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</si>
  <si>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</si>
  <si>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</si>
  <si>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</si>
  <si>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</si>
  <si>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</si>
  <si>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</si>
  <si>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</si>
  <si>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</si>
  <si>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</si>
  <si>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</si>
  <si>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</si>
  <si>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</si>
  <si>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</si>
  <si>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</si>
  <si>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</si>
  <si>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</si>
  <si>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</si>
  <si>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</si>
  <si>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</si>
  <si>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</si>
  <si>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</si>
  <si>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</si>
  <si>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</si>
  <si>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</si>
  <si>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</si>
  <si>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</si>
  <si>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</si>
  <si>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</si>
  <si>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</si>
  <si>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</si>
  <si>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</si>
  <si>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</si>
  <si>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</si>
  <si>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</si>
  <si>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</si>
  <si>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</si>
  <si>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</si>
  <si>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</si>
  <si>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</si>
  <si>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</si>
  <si>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</si>
  <si>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</si>
  <si>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</si>
  <si>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</si>
  <si>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</si>
  <si>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</si>
  <si>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</si>
  <si>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</si>
  <si>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</si>
  <si>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</si>
  <si>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</si>
  <si>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</si>
  <si>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</si>
  <si>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</si>
  <si>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</si>
  <si>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</si>
  <si>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</si>
  <si>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</si>
  <si>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</si>
  <si>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</si>
  <si>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</si>
  <si>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</si>
  <si>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</si>
  <si>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</si>
  <si>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</si>
  <si>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</si>
  <si>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</si>
  <si>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</si>
  <si>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</si>
  <si>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</si>
  <si>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</si>
  <si>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</si>
  <si>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</si>
  <si>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</si>
  <si>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</si>
  <si>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</si>
  <si>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</si>
  <si>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</si>
  <si>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</si>
  <si>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</si>
  <si>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</si>
  <si>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</si>
  <si>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</si>
  <si>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</si>
  <si>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</si>
  <si>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</si>
  <si>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</si>
  <si>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</si>
  <si>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</si>
  <si>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</si>
  <si>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</si>
  <si>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</si>
  <si>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</si>
  <si>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</si>
  <si>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</si>
  <si>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</si>
  <si>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</si>
  <si>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</si>
  <si>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</si>
  <si>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</si>
  <si>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</si>
  <si>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</si>
  <si>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</si>
  <si>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</si>
  <si>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</si>
  <si>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</si>
  <si>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</si>
  <si>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</si>
  <si>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</si>
  <si>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</si>
  <si>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</si>
  <si>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</si>
  <si>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</si>
  <si>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</si>
  <si>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</si>
  <si>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</si>
  <si>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</si>
  <si>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</si>
  <si>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</si>
  <si>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</si>
  <si>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</si>
  <si>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</si>
  <si>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</si>
  <si>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</si>
  <si>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</si>
  <si>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</si>
  <si>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</si>
  <si>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</si>
  <si>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</si>
  <si>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</si>
  <si>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</si>
  <si>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</si>
  <si>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</si>
  <si>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</si>
  <si>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</si>
  <si>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</si>
  <si>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</si>
  <si>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</si>
  <si>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</si>
  <si>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</si>
  <si>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</si>
  <si>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</si>
  <si>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</si>
  <si>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</si>
  <si>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</si>
  <si>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</si>
  <si>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</si>
  <si>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</si>
  <si>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</si>
  <si>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</si>
  <si>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</si>
  <si>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</si>
  <si>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</si>
  <si>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</si>
  <si>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</si>
  <si>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</si>
  <si>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</si>
  <si>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</si>
  <si>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</si>
  <si>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</si>
  <si>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</si>
  <si>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</si>
  <si>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</si>
  <si>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</si>
  <si>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</si>
  <si>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</si>
  <si>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</si>
  <si>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</si>
  <si>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</si>
  <si>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</si>
  <si>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</si>
  <si>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</si>
  <si>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</si>
  <si>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</si>
  <si>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</si>
  <si>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</si>
  <si>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</si>
  <si>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</si>
  <si>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</si>
  <si>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</si>
  <si>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</si>
  <si>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</si>
  <si>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</si>
  <si>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</si>
  <si>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</si>
  <si>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</si>
  <si>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</si>
  <si>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</si>
  <si>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</si>
  <si>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</si>
  <si>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</si>
  <si>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</si>
  <si>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</si>
  <si>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</si>
  <si>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</si>
  <si>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</si>
  <si>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</si>
  <si>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</si>
  <si>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</si>
  <si>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</si>
  <si>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</si>
  <si>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</si>
  <si>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</si>
  <si>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</si>
  <si>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</si>
  <si>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</si>
  <si>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</si>
  <si>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</si>
  <si>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</si>
  <si>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</si>
  <si>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</si>
  <si>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</si>
  <si>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</si>
  <si>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</si>
  <si>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</si>
  <si>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</si>
  <si>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</si>
  <si>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</si>
  <si>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</si>
  <si>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</si>
  <si>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</si>
  <si>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</si>
  <si>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</si>
  <si>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</si>
  <si>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</si>
  <si>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</si>
  <si>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</si>
  <si>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</si>
  <si>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</si>
  <si>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</si>
  <si>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</si>
  <si>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</si>
  <si>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</si>
  <si>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</si>
  <si>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</si>
  <si>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</si>
  <si>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</si>
  <si>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</si>
  <si>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</si>
  <si>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</si>
  <si>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</si>
  <si>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</si>
  <si>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</si>
  <si>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</si>
  <si>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</si>
  <si>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</si>
  <si>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</si>
  <si>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</si>
  <si>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</si>
  <si>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</si>
  <si>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</si>
  <si>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</si>
  <si>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</si>
  <si>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</si>
  <si>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</si>
  <si>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</si>
  <si>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</si>
  <si>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</si>
  <si>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</si>
  <si>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</si>
  <si>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</si>
  <si>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</si>
  <si>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</si>
  <si>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</si>
  <si>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</si>
  <si>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</si>
  <si>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</si>
  <si>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</si>
  <si>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</si>
  <si>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</si>
  <si>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</si>
  <si>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</si>
  <si>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</si>
  <si>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</si>
  <si>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</si>
  <si>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</si>
  <si>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</si>
  <si>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</si>
  <si>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</si>
  <si>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</si>
  <si>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</si>
  <si>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</si>
  <si>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</si>
  <si>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</si>
  <si>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</si>
  <si>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</si>
  <si>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</si>
  <si>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</si>
  <si>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</si>
  <si>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</si>
  <si>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</si>
  <si>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</si>
  <si>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</si>
  <si>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</si>
  <si>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</si>
  <si>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</si>
  <si>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</si>
  <si>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</si>
  <si>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</si>
  <si>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</si>
  <si>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</si>
  <si>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</si>
  <si>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</si>
  <si>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</si>
  <si>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</si>
  <si>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</si>
  <si>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</si>
  <si>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</si>
  <si>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</si>
  <si>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</si>
  <si>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</si>
  <si>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</si>
  <si>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</si>
  <si>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</si>
  <si>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</si>
  <si>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</si>
  <si>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</si>
  <si>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</si>
  <si>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</si>
  <si>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</si>
  <si>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</si>
  <si>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</si>
  <si>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</si>
  <si>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</si>
  <si>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</si>
  <si>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</si>
  <si>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</si>
  <si>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</si>
  <si>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</si>
  <si>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</si>
  <si>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</si>
  <si>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</si>
  <si>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</si>
  <si>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</si>
  <si>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</si>
  <si>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</si>
  <si>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</si>
  <si>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</si>
  <si>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</si>
  <si>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</si>
  <si>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</si>
  <si>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</si>
  <si>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</si>
  <si>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</si>
  <si>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</si>
  <si>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</si>
  <si>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</si>
  <si>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</si>
  <si>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</si>
  <si>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</si>
  <si>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</si>
  <si>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</si>
  <si>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</si>
  <si>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</si>
  <si>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</si>
  <si>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</si>
  <si>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</si>
  <si>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</si>
  <si>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</si>
  <si>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</si>
  <si>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</si>
  <si>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</si>
  <si>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</si>
  <si>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</si>
  <si>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</si>
  <si>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</si>
  <si>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</si>
  <si>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</si>
  <si>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</si>
  <si>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</si>
  <si>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</si>
  <si>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</si>
  <si>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</si>
  <si>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</si>
  <si>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</si>
  <si>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</si>
  <si>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</si>
  <si>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</si>
  <si>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</si>
  <si>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</si>
  <si>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</si>
  <si>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</si>
  <si>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</si>
  <si>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</si>
  <si>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</si>
  <si>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</si>
  <si>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</si>
  <si>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</si>
  <si>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</si>
  <si>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</si>
  <si>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</si>
  <si>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</si>
  <si>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</si>
  <si>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</si>
  <si>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</si>
  <si>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</si>
  <si>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</si>
  <si>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</si>
  <si>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</si>
  <si>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</si>
  <si>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</si>
  <si>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</si>
  <si>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</si>
  <si>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</si>
  <si>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</si>
  <si>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</si>
  <si>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</si>
  <si>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</si>
  <si>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</si>
  <si>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</si>
  <si>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</si>
  <si>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</si>
  <si>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</si>
  <si>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</si>
  <si>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</si>
  <si>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</si>
  <si>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</si>
  <si>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</si>
  <si>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</si>
  <si>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</si>
  <si>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</si>
  <si>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</si>
  <si>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</si>
  <si>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</si>
  <si>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</si>
  <si>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</si>
  <si>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</si>
  <si>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</si>
  <si>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</si>
  <si>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</si>
  <si>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</si>
  <si>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</si>
  <si>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</si>
  <si>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</si>
  <si>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</si>
  <si>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</si>
  <si>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</si>
  <si>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</si>
  <si>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</si>
  <si>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</si>
  <si>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</si>
  <si>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</si>
  <si>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</si>
  <si>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</si>
  <si>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</si>
  <si>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</si>
  <si>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</si>
  <si>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</si>
  <si>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</si>
  <si>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</si>
  <si>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</si>
  <si>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</si>
  <si>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</si>
  <si>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</si>
  <si>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</si>
  <si>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</si>
  <si>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</si>
  <si>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</si>
  <si>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</si>
  <si>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</si>
  <si>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</si>
  <si>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</si>
  <si>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</si>
  <si>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</si>
  <si>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</si>
  <si>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</si>
  <si>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</si>
  <si>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</si>
  <si>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</si>
  <si>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</si>
  <si>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</si>
  <si>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</si>
  <si>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</si>
  <si>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</si>
  <si>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</si>
  <si>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</si>
  <si>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</si>
  <si>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</si>
  <si>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</si>
  <si>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</si>
  <si>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</si>
  <si>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</si>
  <si>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</si>
  <si>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</si>
  <si>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</si>
  <si>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</si>
  <si>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</si>
  <si>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</si>
  <si>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</si>
  <si>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</si>
  <si>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</si>
  <si>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</si>
  <si>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</si>
  <si>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</si>
  <si>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</si>
  <si>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</si>
  <si>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</si>
  <si>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</si>
  <si>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</si>
  <si>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</si>
  <si>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</si>
  <si>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</si>
  <si>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</si>
  <si>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</si>
  <si>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</si>
  <si>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</si>
  <si>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</si>
  <si>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</si>
  <si>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</si>
  <si>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</si>
  <si>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</si>
  <si>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</si>
  <si>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</si>
  <si>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</si>
  <si>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</si>
  <si>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</si>
  <si>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</si>
  <si>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</si>
  <si>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</si>
  <si>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</si>
  <si>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</si>
  <si>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</si>
  <si>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</si>
  <si>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</si>
  <si>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</si>
  <si>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</si>
  <si>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</si>
  <si>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</si>
  <si>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</si>
  <si>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</si>
  <si>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</si>
  <si>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</si>
  <si>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</si>
  <si>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</si>
  <si>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</si>
  <si>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</si>
  <si>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</si>
  <si>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</si>
  <si>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</si>
  <si>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</si>
  <si>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</si>
  <si>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</si>
  <si>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</si>
  <si>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</si>
  <si>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</si>
  <si>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</si>
  <si>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</si>
  <si>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</si>
  <si>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</si>
  <si>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</si>
  <si>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</si>
  <si>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</si>
  <si>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</si>
  <si>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</si>
  <si>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</si>
  <si>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</si>
  <si>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</si>
  <si>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</si>
  <si>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</si>
  <si>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</si>
  <si>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</si>
  <si>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</si>
  <si>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</si>
  <si>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</si>
  <si>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</si>
  <si>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</si>
  <si>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</si>
  <si>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</si>
  <si>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</si>
  <si>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</si>
  <si>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</si>
  <si>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</si>
  <si>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</si>
  <si>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</si>
  <si>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</si>
  <si>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</si>
  <si>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</si>
  <si>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</si>
  <si>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</si>
  <si>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</si>
  <si>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</si>
  <si>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</si>
  <si>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</si>
  <si>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</si>
  <si>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</si>
  <si>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</si>
  <si>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</si>
  <si>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</si>
  <si>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</si>
  <si>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</si>
  <si>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</si>
  <si>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</si>
  <si>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</si>
  <si>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</si>
  <si>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</si>
  <si>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</si>
  <si>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</si>
  <si>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</si>
  <si>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</si>
  <si>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</si>
  <si>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</si>
  <si>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</si>
  <si>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</si>
  <si>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</si>
  <si>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</si>
  <si>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</si>
  <si>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</si>
  <si>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</si>
  <si>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</si>
  <si>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</si>
  <si>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</si>
  <si>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</si>
  <si>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</si>
  <si>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</si>
  <si>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</si>
  <si>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</si>
  <si>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</si>
  <si>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</si>
  <si>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</si>
  <si>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</si>
  <si>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</si>
  <si>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</si>
  <si>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</si>
  <si>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</si>
  <si>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</si>
  <si>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</si>
  <si>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</si>
  <si>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</si>
  <si>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</si>
  <si>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</si>
  <si>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</si>
  <si>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</si>
  <si>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</si>
  <si>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</si>
  <si>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</si>
  <si>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</si>
  <si>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</si>
  <si>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</si>
  <si>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</si>
  <si>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</si>
  <si>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</si>
  <si>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</si>
  <si>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</si>
  <si>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</si>
  <si>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</si>
  <si>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</si>
  <si>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</si>
  <si>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</si>
  <si>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</si>
  <si>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</si>
  <si>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</si>
  <si>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</si>
  <si>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</si>
  <si>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</si>
  <si>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</si>
  <si>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</si>
  <si>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</si>
  <si>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</si>
  <si>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</si>
  <si>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Payment in Lieu of Tax</t>
  </si>
  <si>
    <t>Per Diem</t>
  </si>
  <si>
    <t>Publication</t>
  </si>
  <si>
    <t>Transferred to General Fund</t>
  </si>
  <si>
    <t>Transferred to Pleasant Twp Cemetery</t>
  </si>
  <si>
    <t>Received from Hall Fund</t>
  </si>
  <si>
    <t>Spring Creek Township</t>
  </si>
  <si>
    <t>Cemetery</t>
  </si>
  <si>
    <t>17-1344</t>
  </si>
  <si>
    <t>Sale of Lots</t>
  </si>
  <si>
    <t>Mowing</t>
  </si>
  <si>
    <t>Wilfred Lehmann</t>
  </si>
  <si>
    <t>Trustee</t>
  </si>
  <si>
    <t>October 15, 2013</t>
  </si>
  <si>
    <t>8:00 p.m.</t>
  </si>
  <si>
    <t>Wilfred Lehmanns'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</si>
</sst>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26</xdr:col>
      <xdr:colOff>523875</xdr:colOff>
      <xdr:row>153</xdr:row>
      <xdr:rowOff>171450</xdr:rowOff>
    </xdr:to>
    <xdr:pic>
      <xdr:nvPicPr>
        <xdr:cNvPr id="1" name="Picture 2"/>
        <xdr:cNvPicPr preferRelativeResize="1">
          <a:picLocks noChangeAspect="1"/>
        </xdr:cNvPicPr>
      </xdr:nvPicPr>
      <xdr:blipFill>
        <a:blip r:embed="rId1"/>
        <a:stretch>
          <a:fillRect/>
        </a:stretch>
      </xdr:blipFill>
      <xdr:spPr>
        <a:xfrm>
          <a:off x="0" y="0"/>
          <a:ext cx="22317075" cy="3077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257175</xdr:colOff>
      <xdr:row>34</xdr:row>
      <xdr:rowOff>133350</xdr:rowOff>
    </xdr:to>
    <xdr:pic>
      <xdr:nvPicPr>
        <xdr:cNvPr id="1" name="Picture 2"/>
        <xdr:cNvPicPr preferRelativeResize="1">
          <a:picLocks noChangeAspect="1"/>
        </xdr:cNvPicPr>
      </xdr:nvPicPr>
      <xdr:blipFill>
        <a:blip r:embed="rId1"/>
        <a:stretch>
          <a:fillRect/>
        </a:stretch>
      </xdr:blipFill>
      <xdr:spPr>
        <a:xfrm>
          <a:off x="0" y="0"/>
          <a:ext cx="10315575" cy="6934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5">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Spring Creek Township</v>
      </c>
      <c r="C1" s="167"/>
      <c r="D1" s="167"/>
      <c r="E1" s="167"/>
      <c r="F1" s="167"/>
      <c r="G1" s="167"/>
      <c r="H1" s="167"/>
      <c r="I1" s="167"/>
      <c r="J1" s="14"/>
      <c r="K1" s="14"/>
      <c r="L1" s="15">
        <f>inputPrYr!D5</f>
        <v>2014</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Spring Creek Township</v>
      </c>
      <c r="C7" s="556"/>
      <c r="D7" s="556"/>
      <c r="E7" s="556"/>
      <c r="F7" s="556"/>
      <c r="G7" s="556"/>
      <c r="H7" s="556"/>
      <c r="I7" s="556"/>
    </row>
    <row r="8" spans="2:9" ht="15.75">
      <c r="B8" s="557" t="str">
        <f>inputPrYr!D3</f>
        <v>Coffey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2739200</v>
      </c>
      <c r="F27" s="556"/>
      <c r="G27" s="561">
        <f>summ!G37</f>
        <v>3234219</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Spring Creek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1800</v>
      </c>
      <c r="D6" s="387">
        <f>C51</f>
        <v>2084</v>
      </c>
      <c r="E6" s="32">
        <f>D51</f>
        <v>1966</v>
      </c>
    </row>
    <row r="7" spans="2:5" ht="15.75">
      <c r="B7" s="27" t="s">
        <v>120</v>
      </c>
      <c r="C7" s="387"/>
      <c r="D7" s="387"/>
      <c r="E7" s="33"/>
    </row>
    <row r="8" spans="2:5" ht="15.75">
      <c r="B8" s="27" t="s">
        <v>16</v>
      </c>
      <c r="C8" s="29">
        <v>445</v>
      </c>
      <c r="D8" s="387">
        <f>IF(inputPrYr!H15&gt;0,inputPrYr!G16,inputPrYr!E16)</f>
        <v>200</v>
      </c>
      <c r="E8" s="33" t="s">
        <v>289</v>
      </c>
    </row>
    <row r="9" spans="2:5" ht="15.75">
      <c r="B9" s="27" t="s">
        <v>17</v>
      </c>
      <c r="C9" s="29">
        <v>3</v>
      </c>
      <c r="D9" s="29"/>
      <c r="E9" s="34"/>
    </row>
    <row r="10" spans="2:5" ht="15.75">
      <c r="B10" s="27" t="s">
        <v>18</v>
      </c>
      <c r="C10" s="29">
        <v>31</v>
      </c>
      <c r="D10" s="29">
        <v>25</v>
      </c>
      <c r="E10" s="32">
        <f>mvalloc!G11</f>
        <v>14</v>
      </c>
    </row>
    <row r="11" spans="2:5" ht="15.75">
      <c r="B11" s="27" t="s">
        <v>19</v>
      </c>
      <c r="C11" s="29">
        <v>1</v>
      </c>
      <c r="D11" s="29">
        <v>1</v>
      </c>
      <c r="E11" s="32">
        <f>mvalloc!I11</f>
        <v>0</v>
      </c>
    </row>
    <row r="12" spans="2:5" ht="15.75">
      <c r="B12" s="35" t="s">
        <v>69</v>
      </c>
      <c r="C12" s="29">
        <v>5</v>
      </c>
      <c r="D12" s="29">
        <v>6</v>
      </c>
      <c r="E12" s="32">
        <f>mvalloc!J11</f>
        <v>2</v>
      </c>
    </row>
    <row r="13" spans="2:5" ht="15.75">
      <c r="B13" s="35" t="s">
        <v>161</v>
      </c>
      <c r="C13" s="29"/>
      <c r="D13" s="29"/>
      <c r="E13" s="32">
        <f>inputOth!E35</f>
        <v>0</v>
      </c>
    </row>
    <row r="14" spans="2:5" ht="15.75">
      <c r="B14" s="27" t="s">
        <v>20</v>
      </c>
      <c r="C14" s="29"/>
      <c r="D14" s="29"/>
      <c r="E14" s="32">
        <f>inputOth!E12</f>
        <v>0</v>
      </c>
    </row>
    <row r="15" spans="2:5" ht="15.75">
      <c r="B15" s="37" t="s">
        <v>942</v>
      </c>
      <c r="C15" s="29"/>
      <c r="D15" s="29"/>
      <c r="E15" s="36"/>
    </row>
    <row r="16" spans="2:5" ht="15.75">
      <c r="B16" s="37"/>
      <c r="C16" s="29"/>
      <c r="D16" s="29"/>
      <c r="E16" s="34"/>
    </row>
    <row r="17" spans="2:5" ht="15.75">
      <c r="B17" s="37" t="s">
        <v>947</v>
      </c>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79</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564</v>
      </c>
      <c r="D26" s="389">
        <f>SUM(D8:D24)</f>
        <v>232</v>
      </c>
      <c r="E26" s="42">
        <f>SUM(E8:E24)</f>
        <v>16</v>
      </c>
    </row>
    <row r="27" spans="2:5" ht="15.75">
      <c r="B27" s="43" t="s">
        <v>24</v>
      </c>
      <c r="C27" s="389">
        <f>C26+C6</f>
        <v>2364</v>
      </c>
      <c r="D27" s="389">
        <f>D26+D6</f>
        <v>2316</v>
      </c>
      <c r="E27" s="42">
        <f>E26+E6</f>
        <v>1982</v>
      </c>
    </row>
    <row r="28" spans="2:5" ht="15.75">
      <c r="B28" s="27" t="s">
        <v>25</v>
      </c>
      <c r="C28" s="387"/>
      <c r="D28" s="387"/>
      <c r="E28" s="32"/>
    </row>
    <row r="29" spans="2:5" ht="15.75">
      <c r="B29" s="37" t="s">
        <v>943</v>
      </c>
      <c r="C29" s="29">
        <v>240</v>
      </c>
      <c r="D29" s="29">
        <v>300</v>
      </c>
      <c r="E29" s="34">
        <v>300</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v>1882</v>
      </c>
    </row>
    <row r="35" spans="2:5" ht="15.75">
      <c r="B35" s="37" t="s">
        <v>126</v>
      </c>
      <c r="C35" s="29"/>
      <c r="D35" s="29"/>
      <c r="E35" s="34"/>
    </row>
    <row r="36" spans="2:5" ht="15.75">
      <c r="B36" s="38" t="s">
        <v>128</v>
      </c>
      <c r="C36" s="29"/>
      <c r="D36" s="29"/>
      <c r="E36" s="34"/>
    </row>
    <row r="37" spans="2:5" ht="15.75">
      <c r="B37" s="38" t="s">
        <v>944</v>
      </c>
      <c r="C37" s="29">
        <v>40</v>
      </c>
      <c r="D37" s="29">
        <v>50</v>
      </c>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280</v>
      </c>
      <c r="D50" s="381">
        <f>SUM(D29:D48)</f>
        <v>350</v>
      </c>
      <c r="E50" s="47">
        <f>SUM(E29:E43,E45,E47:E48)</f>
        <v>2182</v>
      </c>
      <c r="G50" s="484">
        <f>D51</f>
        <v>1966</v>
      </c>
      <c r="H50" s="485" t="str">
        <f>CONCATENATE("",E1-1," Ending Cash Balance (est.)")</f>
        <v>2013 Ending Cash Balance (est.)</v>
      </c>
      <c r="I50" s="486"/>
      <c r="J50" s="257"/>
    </row>
    <row r="51" spans="2:10" ht="15.75">
      <c r="B51" s="27" t="s">
        <v>119</v>
      </c>
      <c r="C51" s="382">
        <f>C27-C50</f>
        <v>2084</v>
      </c>
      <c r="D51" s="382">
        <f>SUM(D27-D50)</f>
        <v>1966</v>
      </c>
      <c r="E51" s="33" t="s">
        <v>289</v>
      </c>
      <c r="G51" s="484">
        <f>E26</f>
        <v>16</v>
      </c>
      <c r="H51" s="487" t="str">
        <f>CONCATENATE("",E1," Non-AV Receipts (est.)")</f>
        <v>2014 Non-AV Receipts (est.)</v>
      </c>
      <c r="I51" s="486"/>
      <c r="J51" s="257"/>
    </row>
    <row r="52" spans="2:11" ht="15.75">
      <c r="B52" s="48" t="str">
        <f>CONCATENATE("",E1-2,"/",E1-1," Budget Authority Amount:")</f>
        <v>2012/2013 Budget Authority Amount:</v>
      </c>
      <c r="C52" s="132">
        <f>inputOth!B46</f>
        <v>2170</v>
      </c>
      <c r="D52" s="161">
        <f>inputPrYr!D16</f>
        <v>2183</v>
      </c>
      <c r="E52" s="33" t="s">
        <v>289</v>
      </c>
      <c r="F52" s="50"/>
      <c r="G52" s="488">
        <f>IF(D56&gt;0,E55,E57)</f>
        <v>200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2182</v>
      </c>
      <c r="H53" s="487" t="str">
        <f>CONCATENATE("Total ",E1," Resources Available")</f>
        <v>Total 2014 Resources Available</v>
      </c>
      <c r="I53" s="486"/>
      <c r="J53" s="257"/>
    </row>
    <row r="54" spans="2:10" ht="15.75">
      <c r="B54" s="395" t="str">
        <f>CONCATENATE(C72,"     ",D72)</f>
        <v>     </v>
      </c>
      <c r="C54" s="803" t="s">
        <v>623</v>
      </c>
      <c r="D54" s="804"/>
      <c r="E54" s="32">
        <f>E50+E53</f>
        <v>2182</v>
      </c>
      <c r="G54" s="489"/>
      <c r="H54" s="487"/>
      <c r="I54" s="487"/>
      <c r="J54" s="257"/>
    </row>
    <row r="55" spans="2:10" ht="15.75">
      <c r="B55" s="395" t="str">
        <f>CONCATENATE(C73,"     ",D73)</f>
        <v>     </v>
      </c>
      <c r="C55" s="60"/>
      <c r="D55" s="52" t="s">
        <v>28</v>
      </c>
      <c r="E55" s="46">
        <f>IF(E54-E27&gt;0,E54-E27,0)</f>
        <v>200</v>
      </c>
      <c r="G55" s="488">
        <f>ROUND(C50*0.05+C50,0)</f>
        <v>294</v>
      </c>
      <c r="H55" s="487" t="str">
        <f>CONCATENATE("Less ",E1-2," Expenditures + 5%")</f>
        <v>Less 2012 Expenditures + 5%</v>
      </c>
      <c r="I55" s="486"/>
      <c r="J55" s="257"/>
    </row>
    <row r="56" spans="2:10" ht="15.75">
      <c r="B56" s="52"/>
      <c r="C56" s="399" t="s">
        <v>624</v>
      </c>
      <c r="D56" s="689">
        <f>inputOth!$E$40</f>
        <v>0</v>
      </c>
      <c r="E56" s="32">
        <f>ROUND(IF(D56&gt;0,(E55*D56),0),0)</f>
        <v>0</v>
      </c>
      <c r="G56" s="490">
        <f>G53-G55</f>
        <v>1888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200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0.062</v>
      </c>
      <c r="H60" s="485" t="str">
        <f>CONCATENATE("",E1," Fund Mill Rate")</f>
        <v>2014 Fund Mill Rate</v>
      </c>
      <c r="I60" s="691"/>
      <c r="J60" s="703"/>
      <c r="K60" s="16"/>
    </row>
    <row r="61" spans="2:10" ht="15.75">
      <c r="B61" s="52" t="s">
        <v>9</v>
      </c>
      <c r="C61" s="401">
        <f>IF(inputPrYr!D18&gt;0,7,6)</f>
        <v>6</v>
      </c>
      <c r="D61" s="14"/>
      <c r="E61" s="55"/>
      <c r="G61" s="705">
        <f>summ!F18</f>
        <v>0.073</v>
      </c>
      <c r="H61" s="485" t="str">
        <f>CONCATENATE("",E1-1," Fund Mill Rate")</f>
        <v>2013 Fund Mill Rate</v>
      </c>
      <c r="I61" s="691"/>
      <c r="J61" s="703"/>
    </row>
    <row r="62" spans="7:10" ht="15.75">
      <c r="G62" s="706">
        <f>summ!I32</f>
        <v>0.433</v>
      </c>
      <c r="H62" s="485" t="str">
        <f>CONCATENATE("Total ",E1," Mill Rate")</f>
        <v>Total 2014 Mill Rate</v>
      </c>
      <c r="I62" s="691"/>
      <c r="J62" s="703"/>
    </row>
    <row r="63" spans="2:10" ht="15.75">
      <c r="B63" s="12"/>
      <c r="G63" s="705">
        <f>summ!F32</f>
        <v>0.511</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Spring Creek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0.433</v>
      </c>
      <c r="H45" s="632" t="str">
        <f>CONCATENATE("Total ",E1," Mill Rate")</f>
        <v>Total 2014 Mill Rate</v>
      </c>
      <c r="I45" s="656"/>
      <c r="J45" s="657"/>
    </row>
    <row r="46" spans="2:10" ht="15.75">
      <c r="B46" s="594" t="s">
        <v>144</v>
      </c>
      <c r="C46" s="599">
        <v>0</v>
      </c>
      <c r="D46" s="596">
        <f>C74</f>
        <v>0</v>
      </c>
      <c r="E46" s="597">
        <f>D74</f>
        <v>0</v>
      </c>
      <c r="F46" s="635"/>
      <c r="G46" s="659">
        <f>summ!F32</f>
        <v>0.511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0.433</v>
      </c>
      <c r="H85" s="632" t="str">
        <f>CONCATENATE("Total ",E1," Mill Rate")</f>
        <v>Total 2014 Mill Rate</v>
      </c>
      <c r="I85" s="656"/>
      <c r="J85" s="657"/>
    </row>
    <row r="86" spans="7:10" ht="15.75">
      <c r="G86" s="659">
        <f>summ!F32</f>
        <v>0.511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5">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Spring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0.433</v>
      </c>
      <c r="H55" s="485" t="str">
        <f>CONCATENATE("Total ",E1," Mill Rate")</f>
        <v>Total 2014 Mill Rate</v>
      </c>
      <c r="I55" s="691"/>
      <c r="J55" s="703"/>
    </row>
    <row r="56" spans="2:10" ht="15.75">
      <c r="B56" s="72" t="s">
        <v>33</v>
      </c>
      <c r="C56" s="132"/>
      <c r="D56" s="14"/>
      <c r="E56" s="14"/>
      <c r="G56" s="705">
        <f>summ!F32</f>
        <v>0.511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5">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Spring Creek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7287</v>
      </c>
      <c r="D6" s="387">
        <f>C34</f>
        <v>7459</v>
      </c>
      <c r="E6" s="32">
        <f>D34</f>
        <v>6962</v>
      </c>
    </row>
    <row r="7" spans="2:5" ht="15.75">
      <c r="B7" s="27" t="s">
        <v>120</v>
      </c>
      <c r="C7" s="387"/>
      <c r="D7" s="387"/>
      <c r="E7" s="33"/>
    </row>
    <row r="8" spans="2:5" ht="15.75">
      <c r="B8" s="27" t="s">
        <v>16</v>
      </c>
      <c r="C8" s="29">
        <v>1362</v>
      </c>
      <c r="D8" s="387">
        <f>IF(inputPrYr!H15&gt;0,inputPrYr!G20,inputPrYr!E20)</f>
        <v>1200</v>
      </c>
      <c r="E8" s="33" t="s">
        <v>289</v>
      </c>
    </row>
    <row r="9" spans="2:5" ht="15.75">
      <c r="B9" s="27" t="s">
        <v>17</v>
      </c>
      <c r="C9" s="29">
        <v>15</v>
      </c>
      <c r="D9" s="29"/>
      <c r="E9" s="34"/>
    </row>
    <row r="10" spans="2:5" ht="15.75">
      <c r="B10" s="27" t="s">
        <v>18</v>
      </c>
      <c r="C10" s="29">
        <v>96</v>
      </c>
      <c r="D10" s="29">
        <v>89</v>
      </c>
      <c r="E10" s="32">
        <f>mvalloc!G15</f>
        <v>86</v>
      </c>
    </row>
    <row r="11" spans="2:5" ht="15.75">
      <c r="B11" s="27" t="s">
        <v>19</v>
      </c>
      <c r="C11" s="29">
        <v>5</v>
      </c>
      <c r="D11" s="29">
        <v>3</v>
      </c>
      <c r="E11" s="32">
        <f>mvalloc!I15</f>
        <v>3</v>
      </c>
    </row>
    <row r="12" spans="2:5" ht="15.75">
      <c r="B12" s="35" t="s">
        <v>69</v>
      </c>
      <c r="C12" s="29">
        <v>9</v>
      </c>
      <c r="D12" s="29">
        <v>11</v>
      </c>
      <c r="E12" s="32">
        <f>mvalloc!J15</f>
        <v>14</v>
      </c>
    </row>
    <row r="13" spans="2:5" ht="15.75">
      <c r="B13" s="38"/>
      <c r="C13" s="29"/>
      <c r="D13" s="29"/>
      <c r="E13" s="34"/>
    </row>
    <row r="14" spans="2:5" ht="15.75">
      <c r="B14" s="38" t="s">
        <v>951</v>
      </c>
      <c r="C14" s="29">
        <v>270</v>
      </c>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1757</v>
      </c>
      <c r="D20" s="389">
        <f>SUM(D8:D18)</f>
        <v>1303</v>
      </c>
      <c r="E20" s="42">
        <f>SUM(E8:E18)</f>
        <v>103</v>
      </c>
    </row>
    <row r="21" spans="2:5" ht="15.75">
      <c r="B21" s="43" t="s">
        <v>24</v>
      </c>
      <c r="C21" s="389">
        <f>C20+C6</f>
        <v>9044</v>
      </c>
      <c r="D21" s="389">
        <f>D20+D6</f>
        <v>8762</v>
      </c>
      <c r="E21" s="42">
        <f>E20+E6</f>
        <v>7065</v>
      </c>
    </row>
    <row r="22" spans="2:5" ht="15.75">
      <c r="B22" s="27" t="s">
        <v>25</v>
      </c>
      <c r="C22" s="387"/>
      <c r="D22" s="387"/>
      <c r="E22" s="32"/>
    </row>
    <row r="23" spans="2:5" ht="15.75">
      <c r="B23" s="38" t="s">
        <v>952</v>
      </c>
      <c r="C23" s="29">
        <v>1585</v>
      </c>
      <c r="D23" s="29">
        <v>1800</v>
      </c>
      <c r="E23" s="34">
        <v>8265</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1585</v>
      </c>
      <c r="D33" s="389">
        <f>SUM(D23:D31)</f>
        <v>1800</v>
      </c>
      <c r="E33" s="42">
        <f>SUM(E23:E31)</f>
        <v>8265</v>
      </c>
      <c r="G33" s="631">
        <f>D34</f>
        <v>6962</v>
      </c>
      <c r="H33" s="632" t="str">
        <f>CONCATENATE("",E1-1," Ending Cash Balance (est.)")</f>
        <v>2013 Ending Cash Balance (est.)</v>
      </c>
      <c r="I33" s="633"/>
      <c r="J33" s="628"/>
      <c r="K33" s="582"/>
    </row>
    <row r="34" spans="2:11" ht="15.75">
      <c r="B34" s="27" t="s">
        <v>119</v>
      </c>
      <c r="C34" s="382">
        <f>C21-C33</f>
        <v>7459</v>
      </c>
      <c r="D34" s="382">
        <f>D21-D33</f>
        <v>6962</v>
      </c>
      <c r="E34" s="33" t="s">
        <v>289</v>
      </c>
      <c r="G34" s="631">
        <f>E20</f>
        <v>103</v>
      </c>
      <c r="H34" s="615" t="str">
        <f>CONCATENATE("",E1," Non-AV Receipts (est.)")</f>
        <v>2014 Non-AV Receipts (est.)</v>
      </c>
      <c r="I34" s="633"/>
      <c r="J34" s="628"/>
      <c r="K34" s="582"/>
    </row>
    <row r="35" spans="2:11" ht="15.75">
      <c r="B35" s="48" t="str">
        <f>CONCATENATE("",E1-2,"/",E1-1," Budget Authority Amount:")</f>
        <v>2012/2013 Budget Authority Amount:</v>
      </c>
      <c r="C35" s="132">
        <f>inputOth!B50</f>
        <v>7422</v>
      </c>
      <c r="D35" s="161">
        <f>inputPrYr!D20</f>
        <v>8898</v>
      </c>
      <c r="E35" s="33" t="s">
        <v>289</v>
      </c>
      <c r="F35" s="50"/>
      <c r="G35" s="640">
        <f>IF(E39&gt;0,E38,E40)</f>
        <v>1200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8265</v>
      </c>
      <c r="H36" s="615" t="str">
        <f>CONCATENATE("Total ",E1," Resources Available")</f>
        <v>Total 2014 Resources Available</v>
      </c>
      <c r="I36" s="633"/>
      <c r="J36" s="628"/>
      <c r="K36" s="582"/>
    </row>
    <row r="37" spans="2:11" ht="15.75">
      <c r="B37" s="395" t="str">
        <f>CONCATENATE(C92,"     ",D92)</f>
        <v>     </v>
      </c>
      <c r="C37" s="803" t="s">
        <v>623</v>
      </c>
      <c r="D37" s="804"/>
      <c r="E37" s="32">
        <f>E33+E36</f>
        <v>8265</v>
      </c>
      <c r="G37" s="644"/>
      <c r="H37" s="615"/>
      <c r="I37" s="615"/>
      <c r="J37" s="628"/>
      <c r="K37" s="582"/>
    </row>
    <row r="38" spans="2:11" ht="15.75">
      <c r="B38" s="395" t="str">
        <f>CONCATENATE(C93,"     ",D93)</f>
        <v>     </v>
      </c>
      <c r="C38" s="60"/>
      <c r="D38" s="52" t="s">
        <v>28</v>
      </c>
      <c r="E38" s="46">
        <f>IF(E37-E21&gt;0,E37-E21,0)</f>
        <v>1200</v>
      </c>
      <c r="G38" s="640">
        <f>C33*0.05+C33</f>
        <v>1664.25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6600.75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1200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0.371</v>
      </c>
      <c r="H43" s="632" t="str">
        <f>CONCATENATE("",E1," Fund Mill Rate")</f>
        <v>2014 Fund Mill Rate</v>
      </c>
      <c r="I43" s="656"/>
      <c r="J43" s="657"/>
      <c r="K43" s="582"/>
    </row>
    <row r="44" spans="2:11" ht="15.75">
      <c r="B44" s="14"/>
      <c r="C44" s="385" t="s">
        <v>11</v>
      </c>
      <c r="D44" s="388" t="s">
        <v>12</v>
      </c>
      <c r="E44" s="23" t="s">
        <v>13</v>
      </c>
      <c r="G44" s="659">
        <f>summ!F22</f>
        <v>0.438</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0.433</v>
      </c>
      <c r="H45" s="632" t="str">
        <f>CONCATENATE("Total ",E1," Mill Rate")</f>
        <v>Total 2014 Mill Rate</v>
      </c>
      <c r="I45" s="656"/>
      <c r="J45" s="657"/>
      <c r="K45" s="582"/>
    </row>
    <row r="46" spans="2:11" ht="15.75">
      <c r="B46" s="27" t="s">
        <v>118</v>
      </c>
      <c r="C46" s="29"/>
      <c r="D46" s="387">
        <f>C74</f>
        <v>0</v>
      </c>
      <c r="E46" s="32">
        <f>D74</f>
        <v>0</v>
      </c>
      <c r="G46" s="659">
        <f>summ!F32</f>
        <v>0.511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0.433</v>
      </c>
      <c r="H85" s="632" t="str">
        <f>CONCATENATE("Total ",E1," Mill Rate")</f>
        <v>Total 2014 Mill Rate</v>
      </c>
      <c r="I85" s="656"/>
      <c r="J85" s="657"/>
      <c r="K85" s="582"/>
    </row>
    <row r="86" spans="7:11" ht="15.75">
      <c r="G86" s="659">
        <f>summ!F32</f>
        <v>0.511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6">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Spring Creek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0.433</v>
      </c>
      <c r="H45" s="632" t="str">
        <f>CONCATENATE("Total ",E1," Mill Rate")</f>
        <v>Total 2014 Mill Rate</v>
      </c>
      <c r="I45" s="656"/>
      <c r="J45" s="657"/>
      <c r="K45" s="582"/>
    </row>
    <row r="46" spans="2:11" ht="15.75">
      <c r="B46" s="27" t="s">
        <v>118</v>
      </c>
      <c r="C46" s="29"/>
      <c r="D46" s="387">
        <f>C74</f>
        <v>0</v>
      </c>
      <c r="E46" s="32">
        <f>D74</f>
        <v>0</v>
      </c>
      <c r="G46" s="659">
        <f>summ!F32</f>
        <v>0.511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0.433</v>
      </c>
      <c r="H85" s="632" t="str">
        <f>CONCATENATE("Total ",E1," Mill Rate")</f>
        <v>Total 2014 Mill Rate</v>
      </c>
      <c r="I85" s="656"/>
      <c r="J85" s="657"/>
      <c r="K85" s="582"/>
    </row>
    <row r="86" spans="7:11" ht="15.75">
      <c r="G86" s="659">
        <f>summ!F32</f>
        <v>0.511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Spring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0.433</v>
      </c>
      <c r="H45" s="632" t="str">
        <f>CONCATENATE("Total ",E1," Mill Rate")</f>
        <v>Total 2014 Mill Rate</v>
      </c>
      <c r="I45" s="656"/>
      <c r="J45" s="657"/>
      <c r="K45" s="582"/>
    </row>
    <row r="46" spans="2:11" ht="15.75">
      <c r="B46" s="27" t="s">
        <v>118</v>
      </c>
      <c r="C46" s="29"/>
      <c r="D46" s="387">
        <f>C74</f>
        <v>0</v>
      </c>
      <c r="E46" s="32">
        <f>D74</f>
        <v>0</v>
      </c>
      <c r="G46" s="659">
        <f>summ!F32</f>
        <v>0.511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0.433</v>
      </c>
      <c r="H85" s="632" t="str">
        <f>CONCATENATE("Total ",E1," Mill Rate")</f>
        <v>Total 2014 Mill Rate</v>
      </c>
      <c r="I85" s="656"/>
      <c r="J85" s="657"/>
      <c r="K85" s="582"/>
    </row>
    <row r="86" spans="7:11" ht="15.75">
      <c r="G86" s="659">
        <f>summ!F32</f>
        <v>0.511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7">
      <selection activeCell="D40" sqref="D40"/>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Spring Creek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t="s">
        <v>945</v>
      </c>
      <c r="C19" s="34"/>
      <c r="D19" s="34"/>
      <c r="E19" s="34"/>
    </row>
    <row r="20" spans="2:5" ht="15.75">
      <c r="B20" s="37" t="s">
        <v>946</v>
      </c>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1">
      <selection activeCell="E64" sqref="E6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948</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2183</v>
      </c>
      <c r="E16" s="187">
        <v>200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949</v>
      </c>
      <c r="C20" s="380" t="s">
        <v>950</v>
      </c>
      <c r="D20" s="187">
        <v>8898</v>
      </c>
      <c r="E20" s="187">
        <v>1200</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1400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11081</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0.306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1.526</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1.832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1740</v>
      </c>
    </row>
    <row r="55" spans="1:5" ht="15.75">
      <c r="A55" s="327" t="str">
        <f>CONCATENATE("Assessed Valuation (",D5-2," budget column)")</f>
        <v>Assessed Valuation (2012 budget column)</v>
      </c>
      <c r="B55" s="328"/>
      <c r="C55" s="267"/>
      <c r="D55" s="28"/>
      <c r="E55" s="187">
        <v>2311016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Spring Creek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12" sqref="K1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Spring Creek Township</v>
      </c>
      <c r="C5" s="766"/>
      <c r="D5" s="766"/>
      <c r="E5" s="766"/>
      <c r="F5" s="766"/>
      <c r="G5" s="766"/>
      <c r="H5" s="766"/>
      <c r="I5" s="766"/>
    </row>
    <row r="6" spans="2:9" ht="15.75">
      <c r="B6" s="766" t="str">
        <f>inputPrYr!D3</f>
        <v>Coffey County</v>
      </c>
      <c r="C6" s="766"/>
      <c r="D6" s="766"/>
      <c r="E6" s="766"/>
      <c r="F6" s="766"/>
      <c r="G6" s="766"/>
      <c r="H6" s="766"/>
      <c r="I6" s="766"/>
    </row>
    <row r="7" spans="2:9" ht="15.75">
      <c r="B7" s="764" t="str">
        <f>CONCATENATE("will meet on ",inputBudSum!B8," at ",inputBudSum!B10," at ",inputBudSum!B12," for the purpose of hearing and")</f>
        <v>will meet on October 15, 2013 at 8:00 p.m. at Wilfred Lehmanns' Residence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Wilfred Lehmanns' Residence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280</v>
      </c>
      <c r="D18" s="524">
        <f>IF(inputPrYr!D42&gt;0,inputPrYr!D42,"  ")</f>
        <v>0.306</v>
      </c>
      <c r="E18" s="32">
        <f>IF(gen!$D$50&lt;&gt;0,gen!$D$50,"  ")</f>
        <v>350</v>
      </c>
      <c r="F18" s="235">
        <f>IF(inputOth!D17&gt;0,inputOth!D17,"  ")</f>
        <v>0.073</v>
      </c>
      <c r="G18" s="32">
        <f>IF(gen!$E$50&lt;&gt;0,gen!$E$50,"  ")</f>
        <v>2182</v>
      </c>
      <c r="H18" s="32">
        <f>IF(gen!$E$57&lt;&gt;0,gen!$E$57," ")</f>
        <v>200</v>
      </c>
      <c r="I18" s="526">
        <f>IF(gen!E57&gt;0,ROUND(H18/$G$37*1000,3)," ")</f>
        <v>0.062</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1585</v>
      </c>
      <c r="D22" s="524">
        <f>IF(inputPrYr!D46&gt;0,inputPrYr!D46,"  ")</f>
        <v>1.526</v>
      </c>
      <c r="E22" s="32">
        <f>IF(levypage9!$D$33&lt;&gt;0,levypage9!$D$33,"  ")</f>
        <v>1800</v>
      </c>
      <c r="F22" s="235">
        <f>IF(inputOth!D21&gt;0,inputOth!D21,"  ")</f>
        <v>0.438</v>
      </c>
      <c r="G22" s="32">
        <f>IF(levypage9!$E$33&lt;&gt;0,levypage9!$E$33,"  ")</f>
        <v>8265</v>
      </c>
      <c r="H22" s="32">
        <f>IF(levypage9!$E$40&lt;&gt;0,levypage9!$E$40,"  ")</f>
        <v>1200</v>
      </c>
      <c r="I22" s="526">
        <f>IF(levypage9!E40&gt;0,ROUND(H22/$G$37*1000,3)," ")</f>
        <v>0.371</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3234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0.511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253</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1865</v>
      </c>
      <c r="D32" s="478">
        <f t="shared" si="0"/>
        <v>1.832</v>
      </c>
      <c r="E32" s="527">
        <f t="shared" si="0"/>
        <v>2150</v>
      </c>
      <c r="F32" s="478">
        <f t="shared" si="0"/>
        <v>0.511</v>
      </c>
      <c r="G32" s="527">
        <f t="shared" si="0"/>
        <v>10447</v>
      </c>
      <c r="H32" s="527">
        <f t="shared" si="0"/>
        <v>1400</v>
      </c>
      <c r="I32" s="530">
        <f t="shared" si="0"/>
        <v>0.433</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1865</v>
      </c>
      <c r="D34" s="14"/>
      <c r="E34" s="528">
        <f>E32-E33</f>
        <v>2150</v>
      </c>
      <c r="F34" s="14"/>
      <c r="G34" s="528">
        <f>G32-G33</f>
        <v>10447</v>
      </c>
      <c r="H34" s="14"/>
      <c r="I34" s="14"/>
      <c r="K34" s="507" t="str">
        <f>CONCATENATE("",I1," Ad Valorem Tax Revenue:")</f>
        <v>2014 Ad Valorem Tax Revenue:</v>
      </c>
      <c r="L34" s="501"/>
      <c r="M34" s="501"/>
      <c r="N34" s="502">
        <f>H32</f>
        <v>1400</v>
      </c>
    </row>
    <row r="35" spans="2:14" ht="16.5" thickTop="1">
      <c r="B35" s="274" t="s">
        <v>46</v>
      </c>
      <c r="C35" s="529">
        <f>inputPrYr!E54</f>
        <v>1740</v>
      </c>
      <c r="D35" s="61"/>
      <c r="E35" s="529">
        <f>inputPrYr!E26</f>
        <v>1400</v>
      </c>
      <c r="F35" s="14"/>
      <c r="G35" s="520" t="s">
        <v>289</v>
      </c>
      <c r="H35" s="14"/>
      <c r="I35" s="14"/>
      <c r="K35" s="507" t="str">
        <f>CONCATENATE("",I1-1," Ad Valorem Tax Revenue:")</f>
        <v>2013 Ad Valorem Tax Revenue:</v>
      </c>
      <c r="L35" s="501"/>
      <c r="M35" s="501"/>
      <c r="N35" s="515">
        <f>ROUND(G37*N27/1000,0)</f>
        <v>1653</v>
      </c>
    </row>
    <row r="36" spans="2:14" ht="15.75">
      <c r="B36" s="274" t="s">
        <v>47</v>
      </c>
      <c r="C36" s="55"/>
      <c r="D36" s="61"/>
      <c r="E36" s="55"/>
      <c r="F36" s="61"/>
      <c r="G36" s="14"/>
      <c r="H36" s="14"/>
      <c r="I36" s="14"/>
      <c r="K36" s="512" t="s">
        <v>717</v>
      </c>
      <c r="L36" s="513"/>
      <c r="M36" s="513"/>
      <c r="N36" s="505">
        <f>N34-N35</f>
        <v>-253</v>
      </c>
    </row>
    <row r="37" spans="2:14" ht="15.75">
      <c r="B37" s="274" t="s">
        <v>48</v>
      </c>
      <c r="C37" s="32">
        <f>inputPrYr!E55</f>
        <v>2311016</v>
      </c>
      <c r="D37" s="14"/>
      <c r="E37" s="32">
        <f>inputOth!E29</f>
        <v>2739200</v>
      </c>
      <c r="F37" s="14"/>
      <c r="G37" s="32">
        <f>inputOth!E7</f>
        <v>3234219</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0.433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Wilfred Lehmann</v>
      </c>
      <c r="C46" s="832"/>
      <c r="D46" s="14"/>
      <c r="E46" s="14"/>
      <c r="F46" s="14"/>
      <c r="G46" s="14"/>
      <c r="H46" s="14"/>
      <c r="I46" s="14"/>
    </row>
    <row r="47" spans="2:9" ht="15.75">
      <c r="B47" s="830" t="str">
        <f>inputBudSum!B6</f>
        <v>Trustee</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M9" sqref="M9"/>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Spring Creek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3234219</v>
      </c>
      <c r="E19" s="14"/>
      <c r="F19" s="129"/>
    </row>
    <row r="20" spans="1:6" ht="15.75">
      <c r="A20" s="14"/>
      <c r="B20" s="14"/>
      <c r="C20" s="14"/>
      <c r="D20" s="14"/>
      <c r="E20" s="14"/>
      <c r="F20" s="129"/>
    </row>
    <row r="21" spans="1:6" ht="15.75">
      <c r="A21" s="14"/>
      <c r="B21" s="842" t="s">
        <v>365</v>
      </c>
      <c r="C21" s="842"/>
      <c r="D21" s="137">
        <f>IF(D19&gt;0,(D19*0.001),"")</f>
        <v>3234.219</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Spring Creek Township </v>
      </c>
      <c r="I6">
        <f>CONCATENATE(I7)</f>
      </c>
    </row>
    <row r="7" spans="1:7" ht="15.75">
      <c r="A7" s="852" t="str">
        <f>CONCATENATE("   with respect to financing the ",inputPrYr!D5," annual budget for ",(inputPrYr!D2)," , ",(inputPrYr!D3)," , Kansas.")</f>
        <v>   with respect to financing the 2014 annual budget for Spring Creek Township , Coffey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Spring Creek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Spring Creek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Spring Creek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Spring Creek Township of Coffey County, Kansas that is our desire to notify the public of increased property taxes to finance the 2014 Spring Creek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Spring Creek Township Board, Coffey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Spring Creek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Spring Creek Township</v>
      </c>
      <c r="B1" s="90"/>
      <c r="C1" s="90"/>
      <c r="D1" s="90"/>
      <c r="E1" s="90">
        <f>inputPrYr!D5</f>
        <v>2014</v>
      </c>
    </row>
    <row r="2" spans="1:5" ht="15.75">
      <c r="A2" s="88" t="str">
        <f>inputPrYr!D3</f>
        <v>Coffey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3234219</v>
      </c>
    </row>
    <row r="8" spans="1:5" ht="15.75">
      <c r="A8" s="22" t="str">
        <f>CONCATENATE("New Improvements for ",E1-1,"")</f>
        <v>New Improvements for 2013</v>
      </c>
      <c r="B8" s="19"/>
      <c r="C8" s="19"/>
      <c r="D8" s="19"/>
      <c r="E8" s="283">
        <v>14311</v>
      </c>
    </row>
    <row r="9" spans="1:5" ht="15.75">
      <c r="A9" s="22" t="str">
        <f>CONCATENATE("Personal Property excluding oil, gas, and mobile homes - ",E1-1,"")</f>
        <v>Personal Property excluding oil, gas, and mobile homes - 2013</v>
      </c>
      <c r="B9" s="19"/>
      <c r="C9" s="19"/>
      <c r="D9" s="19"/>
      <c r="E9" s="283">
        <v>0</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49214</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0.073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0.438</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0.511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2739200</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100</v>
      </c>
    </row>
    <row r="33" spans="1:5" ht="15.75">
      <c r="A33" s="296" t="s">
        <v>276</v>
      </c>
      <c r="B33" s="267"/>
      <c r="C33" s="267"/>
      <c r="D33" s="31"/>
      <c r="E33" s="34">
        <v>3</v>
      </c>
    </row>
    <row r="34" spans="1:5" ht="15.75">
      <c r="A34" s="296" t="s">
        <v>160</v>
      </c>
      <c r="B34" s="267"/>
      <c r="C34" s="267"/>
      <c r="D34" s="31"/>
      <c r="E34" s="34">
        <v>16</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2170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7422</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20" sqref="C20"/>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953</v>
      </c>
      <c r="C4" s="710"/>
      <c r="J4" s="711" t="s">
        <v>843</v>
      </c>
    </row>
    <row r="5" spans="1:10" ht="15.75">
      <c r="A5" s="474"/>
      <c r="B5" s="710"/>
      <c r="J5" s="711" t="s">
        <v>844</v>
      </c>
    </row>
    <row r="6" spans="1:10" ht="15.75">
      <c r="A6" s="474" t="s">
        <v>839</v>
      </c>
      <c r="B6" s="356" t="s">
        <v>954</v>
      </c>
      <c r="J6" s="711" t="s">
        <v>845</v>
      </c>
    </row>
    <row r="7" spans="1:10" ht="15.75">
      <c r="A7" s="353"/>
      <c r="B7" s="353"/>
      <c r="C7" s="353"/>
      <c r="D7" s="355"/>
      <c r="E7" s="353"/>
      <c r="F7" s="353"/>
      <c r="J7" s="711" t="s">
        <v>846</v>
      </c>
    </row>
    <row r="8" spans="1:10" ht="15.75">
      <c r="A8" s="354" t="s">
        <v>372</v>
      </c>
      <c r="B8" s="356" t="s">
        <v>955</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October 5, 2013</v>
      </c>
      <c r="E9" s="353"/>
      <c r="F9" s="353"/>
      <c r="J9" s="711" t="s">
        <v>848</v>
      </c>
    </row>
    <row r="10" spans="1:10" ht="15.75">
      <c r="A10" s="354" t="s">
        <v>373</v>
      </c>
      <c r="B10" s="356" t="s">
        <v>956</v>
      </c>
      <c r="C10" s="360"/>
      <c r="D10" s="354"/>
      <c r="E10" s="353"/>
      <c r="F10" s="353"/>
      <c r="J10" s="711" t="s">
        <v>849</v>
      </c>
    </row>
    <row r="11" spans="1:10" ht="15.75">
      <c r="A11" s="354"/>
      <c r="B11" s="354"/>
      <c r="C11" s="354"/>
      <c r="D11" s="354"/>
      <c r="E11" s="353"/>
      <c r="F11" s="353"/>
      <c r="J11" s="711" t="s">
        <v>850</v>
      </c>
    </row>
    <row r="12" spans="1:10" ht="15.75">
      <c r="A12" s="354" t="s">
        <v>374</v>
      </c>
      <c r="B12" s="361" t="s">
        <v>957</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957</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October</v>
      </c>
    </row>
    <row r="20" spans="1:7" ht="15.75">
      <c r="A20" s="354" t="s">
        <v>372</v>
      </c>
      <c r="B20" s="358" t="s">
        <v>377</v>
      </c>
      <c r="C20" s="354"/>
      <c r="D20" s="354"/>
      <c r="E20" s="354"/>
      <c r="G20" s="712" t="str">
        <f>IF(B8="","",CONCATENATE("J",G22))</f>
        <v>J10</v>
      </c>
    </row>
    <row r="21" spans="1:7" ht="15.75">
      <c r="A21" s="354"/>
      <c r="B21" s="354"/>
      <c r="C21" s="354"/>
      <c r="D21" s="354"/>
      <c r="E21" s="354"/>
      <c r="G21" s="713">
        <f>B8-10</f>
        <v>41552</v>
      </c>
    </row>
    <row r="22" spans="1:7" ht="15.75">
      <c r="A22" s="354" t="s">
        <v>373</v>
      </c>
      <c r="B22" s="354" t="s">
        <v>378</v>
      </c>
      <c r="C22" s="354"/>
      <c r="D22" s="354"/>
      <c r="E22" s="354"/>
      <c r="G22" s="714">
        <f>IF(B8="","",MONTH(G21))</f>
        <v>10</v>
      </c>
    </row>
    <row r="23" spans="1:7" ht="15.75">
      <c r="A23" s="354"/>
      <c r="B23" s="354"/>
      <c r="C23" s="354"/>
      <c r="D23" s="354"/>
      <c r="E23" s="354"/>
      <c r="G23" s="715">
        <f>IF(B8="","",DAY(G21))</f>
        <v>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Coffey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Spring Creek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2182</v>
      </c>
      <c r="F21" s="722">
        <f>IF(gen!$E$57&lt;&gt;0,gen!$E$57,0)</f>
        <v>200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Cemetery</v>
      </c>
      <c r="C25" s="260" t="str">
        <f>IF(inputPrYr!C20&gt;0,inputPrYr!C20,"  ")</f>
        <v>17-1344</v>
      </c>
      <c r="D25" s="261" t="str">
        <f>IF(levypage9!C81&gt;0,levypage9!C81,"  ")</f>
        <v>  </v>
      </c>
      <c r="E25" s="722">
        <f>IF(levypage9!$E$33&lt;&gt;0,levypage9!$E$33,"  ")</f>
        <v>8265</v>
      </c>
      <c r="F25" s="722">
        <f>IF(levypage9!$E$40&lt;&gt;0,levypage9!$E$40,"  ")</f>
        <v>1200</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10447</v>
      </c>
      <c r="F35" s="724">
        <f>SUM(F21:F30)</f>
        <v>1400</v>
      </c>
      <c r="G35" s="725">
        <f>IF(SUM(G21:G30)&gt;0,SUM(G21:G30),"")</f>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Spring Creek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1400</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1400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14311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0</v>
      </c>
      <c r="F14" s="246"/>
      <c r="G14" s="55"/>
      <c r="H14" s="55"/>
      <c r="I14" s="53"/>
      <c r="J14" s="55"/>
    </row>
    <row r="15" spans="1:10" ht="15.75">
      <c r="A15" s="245"/>
      <c r="B15" s="14" t="s">
        <v>87</v>
      </c>
      <c r="C15" s="14" t="str">
        <f>CONCATENATE("Personal Property ",J1-2,"")</f>
        <v>Personal Property 2012</v>
      </c>
      <c r="D15" s="245" t="s">
        <v>82</v>
      </c>
      <c r="E15" s="249">
        <f>inputOth!E11</f>
        <v>49214</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14311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3234219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3219908</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0.0044445369246574745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1406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1406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Spring Creek Township</v>
      </c>
      <c r="C1" s="14"/>
      <c r="D1" s="14"/>
      <c r="E1" s="14"/>
      <c r="F1" s="14"/>
      <c r="G1" s="14"/>
      <c r="H1" s="14"/>
      <c r="I1" s="14"/>
      <c r="J1" s="15">
        <f>inputPrYr!D5</f>
        <v>2014</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200</v>
      </c>
      <c r="E11" s="131">
        <f>IF(inputOth!D17&gt;0,inputOth!D17,"  ")</f>
        <v>0.073</v>
      </c>
      <c r="F11" s="717"/>
      <c r="G11" s="161">
        <f>IF(inputPrYr!E16=0,0,G23-SUM(G12:G20))</f>
        <v>14</v>
      </c>
      <c r="H11" s="718"/>
      <c r="I11" s="161">
        <f>IF(inputPrYr!E16=0,0,I25-SUM(I12:I20))</f>
        <v>0</v>
      </c>
      <c r="J11" s="161">
        <f>IF(inputPrYr!E16=0,0,J27-SUM(J12:J20))</f>
        <v>2</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Cemetery</v>
      </c>
      <c r="C15" s="234"/>
      <c r="D15" s="161">
        <f>IF(inputPrYr!E20&gt;=0,inputPrYr!E20,"  ")</f>
        <v>1200</v>
      </c>
      <c r="E15" s="131">
        <f>IF(inputOth!D21&gt;0,inputOth!D21,"  ")</f>
        <v>0.438</v>
      </c>
      <c r="F15" s="717"/>
      <c r="G15" s="161">
        <f>IF(inputPrYr!E20=0,0,ROUND(D15*$G$30,0))</f>
        <v>86</v>
      </c>
      <c r="H15" s="718"/>
      <c r="I15" s="161">
        <f>IF(inputPrYr!$E$20=0,0,ROUND($D$15*$I$32,0))</f>
        <v>3</v>
      </c>
      <c r="J15" s="161">
        <f>IF(inputPrYr!E20=0,0,ROUND($D15*$J$34,0))</f>
        <v>14</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1400</v>
      </c>
      <c r="E21" s="720">
        <f>SUM(E11:E20)</f>
        <v>0.511</v>
      </c>
      <c r="F21" s="721"/>
      <c r="G21" s="719">
        <f>SUM(G11:G20)</f>
        <v>100</v>
      </c>
      <c r="H21" s="719"/>
      <c r="I21" s="719">
        <f>SUM(I11:I20)</f>
        <v>3</v>
      </c>
      <c r="J21" s="719">
        <f>SUM(J11:J20)</f>
        <v>16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100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0.07142857142857142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0.002142857142857143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0.011428571428571429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Spring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2013-09-30T13:39:13Z</cp:lastPrinted>
  <dcterms:created xsi:type="dcterms:W3CDTF">1998-08-26T16:30:41Z</dcterms:created>
  <dcterms:modified xsi:type="dcterms:W3CDTF">2013-12-09T17:39:11Z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