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firstSheet="1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<sst xmlns="http://schemas.openxmlformats.org/spreadsheetml/2006/main" count="1374" uniqueCount="819">
  <si>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</si>
  <si>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</si>
  <si>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</si>
  <si>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</si>
  <si>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</si>
  <si>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</si>
  <si>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</si>
  <si>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</si>
  <si>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</si>
  <si>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</si>
  <si>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</si>
  <si>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</si>
  <si>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</si>
  <si>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</si>
  <si>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</si>
  <si>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</si>
  <si>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</si>
  <si>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</si>
  <si>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</si>
  <si>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</si>
  <si>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</si>
  <si>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</si>
  <si>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</si>
  <si>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</si>
  <si>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</si>
  <si>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</si>
  <si>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</si>
  <si>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</si>
  <si>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</si>
  <si>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</si>
  <si>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</si>
  <si>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</si>
  <si>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</si>
  <si>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</si>
  <si>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</si>
  <si>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</si>
  <si>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</si>
  <si>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</si>
  <si>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</si>
  <si>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</si>
  <si>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</si>
  <si>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</si>
  <si>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</si>
  <si>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</si>
  <si>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</si>
  <si>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</si>
  <si>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</si>
  <si>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</si>
  <si>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</si>
  <si>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</si>
  <si>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</si>
  <si>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</si>
  <si>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</si>
  <si>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</si>
  <si>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</si>
  <si>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</si>
  <si>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</si>
  <si>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</si>
  <si>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</si>
  <si>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</si>
  <si>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</si>
  <si>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</si>
  <si>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</si>
  <si>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</si>
  <si>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</si>
  <si>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</si>
  <si>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</si>
  <si>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</si>
  <si>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</si>
  <si>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</si>
  <si>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</si>
  <si>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</si>
  <si>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</si>
  <si>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</si>
  <si>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</si>
  <si>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</si>
  <si>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</si>
  <si>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</si>
  <si>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</si>
  <si>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</si>
  <si>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</si>
  <si>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</si>
  <si>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</si>
  <si>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</si>
  <si>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</si>
  <si>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</si>
  <si>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</si>
  <si>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</si>
  <si>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</si>
  <si>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</si>
  <si>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</si>
  <si>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</si>
  <si>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</si>
  <si>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</si>
  <si>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</si>
  <si>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</si>
  <si>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</si>
  <si>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</si>
  <si>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</si>
  <si>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</si>
  <si>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</si>
  <si>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</si>
  <si>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</si>
  <si>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</si>
  <si>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</si>
  <si>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</si>
  <si>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</si>
  <si>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</si>
  <si>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</si>
  <si>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</si>
  <si>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</si>
  <si>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</si>
  <si>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</si>
  <si>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</si>
  <si>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</si>
  <si>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</si>
  <si>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</si>
  <si>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</si>
  <si>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</si>
  <si>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</si>
  <si>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</si>
  <si>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</si>
  <si>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</si>
  <si>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</si>
  <si>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</si>
  <si>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</si>
  <si>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</si>
  <si>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</si>
  <si>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</si>
  <si>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</si>
  <si>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</si>
  <si>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</si>
  <si>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</si>
  <si>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</si>
  <si>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</si>
  <si>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</si>
  <si>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</si>
  <si>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</si>
  <si>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</si>
  <si>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</si>
  <si>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</si>
  <si>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</si>
  <si>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</si>
  <si>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</si>
  <si>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</si>
  <si>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</si>
  <si>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</si>
  <si>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</si>
  <si>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</si>
  <si>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</si>
  <si>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</si>
  <si>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</si>
  <si>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</si>
  <si>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</si>
  <si>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</si>
  <si>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</si>
  <si>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</si>
  <si>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</si>
  <si>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</si>
  <si>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</si>
  <si>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</si>
  <si>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</si>
  <si>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</si>
  <si>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</si>
  <si>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</si>
  <si>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</si>
  <si>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</si>
  <si>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</si>
  <si>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</si>
  <si>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</si>
  <si>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</si>
  <si>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</si>
  <si>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</si>
  <si>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</si>
  <si>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</si>
  <si>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</si>
  <si>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</si>
  <si>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</si>
  <si>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</si>
  <si>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</si>
  <si>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</si>
  <si>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</si>
  <si>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</si>
  <si>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</si>
  <si>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</si>
  <si>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</si>
  <si>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</si>
  <si>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</si>
  <si>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</si>
  <si>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</si>
  <si>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</si>
  <si>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</si>
  <si>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</si>
  <si>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</si>
  <si>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</si>
  <si>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</si>
  <si>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</si>
  <si>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</si>
  <si>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</si>
  <si>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</si>
  <si>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</si>
  <si>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</si>
  <si>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</si>
  <si>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</si>
  <si>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</si>
  <si>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</si>
  <si>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</si>
  <si>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</si>
  <si>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</si>
  <si>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</si>
  <si>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</si>
  <si>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</si>
  <si>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</si>
  <si>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</si>
  <si>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</si>
  <si>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</si>
  <si>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</si>
  <si>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</si>
  <si>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</si>
  <si>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</si>
  <si>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</si>
  <si>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</si>
  <si>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</si>
  <si>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</si>
  <si>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</si>
  <si>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</si>
  <si>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</si>
  <si>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</si>
  <si>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</si>
  <si>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</si>
  <si>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</si>
  <si>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</si>
  <si>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</si>
  <si>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</si>
  <si>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</si>
  <si>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</si>
  <si>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</si>
  <si>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</si>
  <si>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</si>
  <si>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</si>
  <si>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</si>
  <si>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</si>
  <si>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</si>
  <si>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</si>
  <si>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</si>
  <si>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</si>
  <si>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</si>
  <si>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</si>
  <si>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</si>
  <si>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</si>
  <si>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</si>
  <si>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</si>
  <si>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</si>
  <si>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</si>
  <si>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</si>
  <si>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</si>
  <si>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</si>
  <si>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</si>
  <si>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</si>
  <si>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</si>
  <si>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</si>
  <si>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</si>
  <si>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</si>
  <si>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</si>
  <si>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</si>
  <si>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</si>
  <si>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</si>
  <si>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</si>
  <si>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</si>
  <si>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</si>
  <si>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</si>
  <si>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</si>
  <si>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</si>
  <si>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</si>
  <si>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</si>
  <si>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</si>
  <si>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</si>
  <si>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</si>
  <si>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</si>
  <si>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</si>
  <si>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</si>
  <si>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</si>
  <si>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</si>
  <si>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</si>
  <si>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</si>
  <si>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</si>
  <si>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</si>
  <si>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</si>
  <si>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</si>
  <si>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</si>
  <si>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</si>
  <si>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</si>
  <si>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</si>
  <si>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</si>
  <si>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</si>
  <si>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</si>
  <si>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</si>
  <si>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</si>
  <si>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</si>
  <si>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</si>
  <si>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</si>
  <si>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</si>
  <si>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</si>
  <si>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</si>
  <si>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</si>
  <si>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</si>
  <si>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</si>
  <si>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</si>
  <si>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</si>
  <si>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</si>
  <si>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</si>
  <si>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</si>
  <si>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</si>
  <si>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</si>
  <si>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</si>
  <si>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</si>
  <si>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</si>
  <si>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</si>
  <si>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</si>
  <si>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</si>
  <si>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</si>
  <si>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</si>
  <si>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</si>
  <si>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</si>
  <si>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</si>
  <si>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</si>
  <si>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</si>
  <si>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</si>
  <si>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</si>
  <si>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</si>
  <si>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</si>
  <si>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</si>
  <si>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</si>
  <si>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</si>
  <si>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</si>
  <si>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</si>
  <si>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</si>
  <si>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</si>
  <si>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</si>
  <si>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</si>
  <si>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</si>
  <si>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</si>
  <si>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</si>
  <si>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</si>
  <si>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</si>
  <si>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</si>
  <si>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</si>
  <si>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</si>
  <si>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</si>
  <si>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</si>
  <si>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</si>
  <si>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</si>
  <si>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</si>
  <si>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</si>
  <si>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</si>
  <si>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</si>
  <si>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</si>
  <si>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</si>
  <si>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</si>
  <si>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</si>
  <si>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</si>
  <si>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</si>
  <si>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</si>
  <si>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</si>
  <si>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</si>
  <si>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</si>
  <si>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</si>
  <si>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</si>
  <si>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</si>
  <si>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</si>
  <si>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</si>
  <si>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</si>
  <si>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</si>
  <si>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</si>
  <si>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</si>
  <si>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</si>
  <si>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</si>
  <si>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</si>
  <si>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</si>
  <si>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</si>
  <si>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</si>
  <si>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</si>
  <si>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</si>
  <si>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</si>
  <si>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</si>
  <si>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</si>
  <si>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</si>
  <si>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</si>
  <si>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</si>
  <si>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</si>
  <si>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</si>
  <si>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</si>
  <si>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</si>
  <si>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</si>
  <si>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</si>
  <si>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</si>
  <si>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</si>
  <si>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</si>
  <si>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</si>
  <si>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</si>
  <si>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</si>
  <si>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</si>
  <si>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</si>
  <si>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</si>
  <si>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</si>
  <si>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</si>
  <si>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</si>
  <si>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</si>
  <si>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</si>
  <si>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</si>
  <si>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</si>
  <si>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</si>
  <si>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</si>
  <si>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</si>
  <si>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</si>
  <si>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</si>
  <si>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</si>
  <si>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</si>
  <si>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</si>
  <si>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</si>
  <si>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</si>
  <si>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</si>
  <si>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</si>
  <si>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</si>
  <si>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</si>
  <si>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</si>
  <si>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</si>
  <si>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</si>
  <si>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</si>
  <si>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</si>
  <si>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</si>
  <si>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</si>
  <si>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</si>
  <si>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</si>
  <si>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</si>
  <si>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</si>
  <si>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</si>
  <si>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</si>
  <si>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</si>
  <si>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</si>
  <si>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</si>
  <si>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</si>
  <si>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</si>
  <si>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</si>
  <si>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</si>
  <si>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</si>
  <si>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</si>
  <si>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</si>
  <si>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</si>
  <si>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</si>
  <si>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</si>
  <si>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</si>
  <si>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</si>
  <si>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</si>
  <si>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</si>
  <si>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</si>
  <si>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</si>
  <si>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</si>
  <si>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</si>
  <si>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</si>
  <si>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</si>
  <si>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</si>
  <si>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</si>
  <si>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</si>
  <si>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</si>
  <si>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</si>
  <si>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</si>
  <si>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</si>
  <si>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</si>
  <si>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</si>
  <si>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</si>
  <si>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</si>
  <si>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</si>
  <si>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</si>
  <si>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</si>
  <si>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</si>
  <si>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</si>
  <si>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</si>
  <si>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</si>
  <si>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</si>
  <si>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</si>
  <si>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</si>
  <si>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</si>
  <si>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</si>
  <si>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</si>
  <si>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</si>
  <si>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</si>
  <si>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</si>
  <si>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</si>
  <si>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</si>
  <si>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</si>
  <si>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</si>
  <si>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</si>
  <si>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</si>
  <si>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</si>
  <si>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</si>
  <si>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</si>
  <si>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</si>
  <si>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</si>
  <si>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</si>
  <si>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</si>
  <si>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</si>
  <si>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</si>
  <si>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</si>
  <si>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</si>
  <si>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</si>
  <si>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</si>
  <si>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</si>
  <si>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</si>
  <si>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</si>
  <si>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</si>
  <si>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</si>
  <si>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</si>
  <si>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</si>
  <si>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</si>
  <si>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</si>
  <si>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</si>
  <si>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</si>
  <si>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</si>
  <si>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</si>
  <si>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</si>
  <si>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</si>
  <si>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</si>
  <si>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</si>
  <si>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</si>
  <si>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</si>
  <si>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</si>
  <si>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</si>
  <si>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</si>
  <si>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</si>
  <si>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</si>
  <si>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</si>
  <si>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</si>
  <si>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</si>
  <si>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</si>
  <si>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</si>
  <si>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</si>
  <si>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</si>
  <si>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</si>
  <si>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</si>
  <si>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</si>
  <si>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</si>
  <si>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</si>
  <si>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</si>
  <si>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</si>
  <si>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</si>
  <si>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</si>
  <si>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</si>
  <si>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</si>
  <si>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</si>
  <si>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</si>
  <si>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</si>
  <si>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</si>
  <si>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</si>
  <si>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</si>
  <si>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</si>
  <si>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</si>
  <si>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</si>
  <si>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</si>
  <si>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</si>
  <si>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</si>
  <si>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</si>
  <si>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</si>
  <si>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</si>
  <si>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</si>
  <si>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</si>
  <si>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</si>
  <si>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</si>
  <si>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</si>
  <si>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</si>
  <si>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</si>
  <si>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</si>
  <si>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</si>
  <si>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</si>
  <si>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</si>
  <si>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</si>
  <si>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</si>
  <si>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</si>
  <si>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</si>
  <si>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</si>
  <si>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</si>
  <si>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</si>
  <si>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</si>
  <si>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</si>
  <si>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</si>
  <si>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</si>
  <si>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</si>
  <si>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</si>
  <si>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</si>
  <si>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</si>
  <si>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</si>
  <si>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</si>
  <si>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</si>
  <si>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</si>
  <si>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</si>
  <si>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</si>
  <si>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</si>
  <si>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</si>
  <si>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</si>
  <si>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</si>
  <si>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</si>
  <si>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</si>
  <si>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</si>
  <si>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</si>
  <si>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</si>
  <si>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</si>
  <si>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</si>
  <si>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</si>
  <si>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</si>
  <si>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</si>
  <si>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</si>
  <si>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</si>
  <si>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</si>
  <si>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</si>
  <si>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</si>
  <si>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</si>
  <si>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</si>
  <si>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</si>
  <si>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</si>
  <si>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</si>
  <si>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</si>
  <si>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</si>
  <si>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</si>
  <si>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</si>
  <si>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</si>
  <si>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</si>
  <si>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</si>
  <si>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</si>
  <si>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</si>
  <si>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</si>
  <si>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</si>
  <si>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</si>
  <si>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</si>
  <si>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</si>
  <si>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</si>
  <si>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</si>
  <si>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</si>
  <si>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</si>
  <si>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</si>
  <si>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</si>
  <si>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</si>
  <si>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</si>
  <si>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</si>
  <si>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</si>
  <si>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</si>
  <si>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</si>
  <si>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</si>
  <si>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</si>
  <si>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</si>
  <si>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</si>
  <si>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</si>
  <si>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</si>
  <si>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</si>
  <si>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</si>
  <si>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</si>
  <si>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</si>
  <si>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</si>
  <si>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</si>
  <si>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</si>
  <si>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</si>
  <si>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</si>
  <si>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</si>
  <si>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</si>
  <si>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</si>
  <si>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</si>
  <si>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</si>
  <si>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</si>
  <si>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</si>
  <si>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</si>
  <si>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</si>
  <si>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</si>
  <si>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</si>
  <si>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</si>
  <si>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</si>
  <si>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</si>
  <si>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</si>
  <si>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</si>
  <si>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</si>
  <si>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</si>
  <si>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</si>
  <si>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</si>
  <si>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</si>
  <si>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</si>
  <si>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</si>
  <si>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</si>
  <si>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</si>
  <si>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</si>
  <si>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</si>
  <si>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</si>
  <si>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</si>
  <si>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</si>
  <si>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</si>
  <si>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</si>
  <si>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</si>
  <si>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</si>
  <si>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</si>
  <si>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</si>
  <si>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</si>
  <si>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</si>
  <si>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</si>
  <si>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</si>
  <si>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</si>
  <si>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</si>
  <si>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</si>
  <si>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</si>
  <si>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</si>
  <si>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</si>
  <si>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</si>
  <si>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</si>
  <si>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</si>
  <si>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</si>
  <si>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</si>
  <si>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</si>
  <si>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</si>
  <si>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</si>
  <si>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</si>
  <si>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</si>
  <si>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</si>
  <si>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</si>
  <si>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</si>
  <si>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</si>
  <si>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</si>
  <si>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</si>
  <si>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</si>
  <si>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</si>
  <si>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</si>
  <si>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</si>
  <si>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</si>
  <si>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</si>
  <si>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</si>
  <si>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</si>
  <si>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</si>
  <si>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</si>
  <si>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</si>
  <si>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</si>
  <si>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</si>
  <si>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</si>
  <si>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</si>
  <si>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</si>
  <si>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</si>
  <si>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</si>
  <si>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</si>
  <si>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</si>
  <si>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</si>
  <si>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</si>
  <si>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</si>
  <si>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</si>
  <si>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</si>
  <si>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</si>
  <si>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</si>
  <si>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</si>
  <si>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</si>
  <si>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</si>
  <si>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</si>
  <si>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</si>
  <si>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</si>
  <si>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</si>
  <si>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</si>
  <si>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</si>
  <si>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</si>
  <si>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</si>
  <si>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</si>
  <si>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</si>
  <si>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</si>
  <si>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</si>
  <si>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</si>
  <si>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</si>
  <si>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</si>
  <si>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</si>
  <si>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</si>
  <si>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</si>
  <si>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</si>
  <si>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</si>
  <si>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</si>
  <si>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</si>
  <si>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</si>
  <si>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</si>
  <si>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</si>
  <si>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</si>
  <si>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</si>
  <si>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</si>
  <si>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</si>
  <si>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</si>
  <si>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</si>
  <si>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</si>
  <si>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</si>
  <si>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</si>
  <si>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</si>
  <si>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</si>
  <si>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</si>
  <si>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</si>
  <si>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</si>
  <si>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</si>
  <si>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</si>
  <si>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</si>
  <si>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</si>
  <si>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</si>
  <si>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</si>
  <si>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</si>
  <si>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</si>
  <si>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</si>
  <si>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</si>
  <si>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</si>
  <si>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</si>
  <si>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</si>
  <si>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</si>
  <si>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</si>
  <si>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</si>
  <si>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</si>
  <si>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</si>
  <si>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</si>
  <si>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</si>
  <si>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</si>
  <si>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PALESTINE TOWNSHIP</t>
  </si>
  <si>
    <t>Cemetery (Belle Plaine Tp)</t>
  </si>
  <si>
    <t>RESOLUTION NO.__________1________</t>
  </si>
  <si>
    <t>August 22, 2013</t>
  </si>
  <si>
    <t>7:00 P.M.</t>
  </si>
  <si>
    <t>Randy Grissom Residence, 709 N  Greenwich Rd, Belle Plaine,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</si>
</sst>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PALESTINE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PALESTINE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754</v>
      </c>
      <c r="D6" s="418">
        <f>C51</f>
        <v>1037.8400000000001</v>
      </c>
      <c r="E6" s="32">
        <f>D51</f>
        <v>194.84000000000015</v>
      </c>
    </row>
    <row r="7" spans="2:5" ht="15.75">
      <c r="B7" s="27" t="s">
        <v>124</v>
      </c>
      <c r="C7" s="418"/>
      <c r="D7" s="418"/>
      <c r="E7" s="33"/>
    </row>
    <row r="8" spans="2:5" ht="15.75">
      <c r="B8" s="27" t="s">
        <v>16</v>
      </c>
      <c r="C8" s="29">
        <v>3580</v>
      </c>
      <c r="D8" s="418">
        <f>inputPrYr!E16</f>
        <v>2298</v>
      </c>
      <c r="E8" s="33" t="s">
        <v>301</v>
      </c>
    </row>
    <row r="9" spans="2:5" ht="15.75">
      <c r="B9" s="27" t="s">
        <v>17</v>
      </c>
      <c r="C9" s="29">
        <v>16.55</v>
      </c>
      <c r="D9" s="29"/>
      <c r="E9" s="34"/>
    </row>
    <row r="10" spans="2:5" ht="15.75">
      <c r="B10" s="27" t="s">
        <v>18</v>
      </c>
      <c r="C10" s="29">
        <v>414.45</v>
      </c>
      <c r="D10" s="29">
        <v>582</v>
      </c>
      <c r="E10" s="32">
        <f>mvalloc!G11</f>
        <v>306</v>
      </c>
    </row>
    <row r="11" spans="2:5" ht="15.75">
      <c r="B11" s="27" t="s">
        <v>19</v>
      </c>
      <c r="C11" s="29">
        <v>5.48</v>
      </c>
      <c r="D11" s="29">
        <v>10</v>
      </c>
      <c r="E11" s="32">
        <f>mvalloc!I11</f>
        <v>6</v>
      </c>
    </row>
    <row r="12" spans="2:5" ht="15.75">
      <c r="B12" s="35" t="s">
        <v>72</v>
      </c>
      <c r="C12" s="29">
        <v>41.36</v>
      </c>
      <c r="D12" s="29">
        <v>41</v>
      </c>
      <c r="E12" s="32">
        <f>mvalloc!J11</f>
        <v>42</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4057.84</v>
      </c>
      <c r="D26" s="420">
        <f>SUM(D8:D24)</f>
        <v>2931</v>
      </c>
      <c r="E26" s="42">
        <f>SUM(E8:E24)</f>
        <v>354</v>
      </c>
    </row>
    <row r="27" spans="2:5" ht="15.75">
      <c r="B27" s="43" t="s">
        <v>24</v>
      </c>
      <c r="C27" s="420">
        <f>C26+C6</f>
        <v>4811.84</v>
      </c>
      <c r="D27" s="420">
        <f>D26+D6</f>
        <v>3968.84</v>
      </c>
      <c r="E27" s="42">
        <f>E26+E6</f>
        <v>548.8400000000001</v>
      </c>
    </row>
    <row r="28" spans="2:5" ht="15.75">
      <c r="B28" s="27" t="s">
        <v>25</v>
      </c>
      <c r="C28" s="418"/>
      <c r="D28" s="418"/>
      <c r="E28" s="32"/>
    </row>
    <row r="29" spans="2:5" ht="15.75">
      <c r="B29" s="37"/>
      <c r="C29" s="29"/>
      <c r="D29" s="29"/>
      <c r="E29" s="34"/>
    </row>
    <row r="30" spans="2:5" ht="15.75">
      <c r="B30" s="38" t="s">
        <v>105</v>
      </c>
      <c r="C30" s="29">
        <v>600</v>
      </c>
      <c r="D30" s="29">
        <v>600</v>
      </c>
      <c r="E30" s="34">
        <v>600</v>
      </c>
    </row>
    <row r="31" spans="2:5" ht="15.75">
      <c r="B31" s="38" t="s">
        <v>129</v>
      </c>
      <c r="C31" s="29"/>
      <c r="D31" s="29"/>
      <c r="E31" s="34"/>
    </row>
    <row r="32" spans="2:5" ht="15.75">
      <c r="B32" s="38" t="s">
        <v>106</v>
      </c>
      <c r="C32" s="29"/>
      <c r="D32" s="29"/>
      <c r="E32" s="34"/>
    </row>
    <row r="33" spans="2:5" ht="15.75">
      <c r="B33" s="38" t="s">
        <v>36</v>
      </c>
      <c r="C33" s="29"/>
      <c r="D33" s="29">
        <v>274</v>
      </c>
      <c r="E33" s="34">
        <v>274</v>
      </c>
    </row>
    <row r="34" spans="2:5" ht="15.75">
      <c r="B34" s="37" t="s">
        <v>107</v>
      </c>
      <c r="C34" s="29"/>
      <c r="D34" s="29"/>
      <c r="E34" s="34"/>
    </row>
    <row r="35" spans="2:5" ht="15.75">
      <c r="B35" s="37" t="s">
        <v>130</v>
      </c>
      <c r="C35" s="29">
        <v>500</v>
      </c>
      <c r="D35" s="29"/>
      <c r="E35" s="34"/>
    </row>
    <row r="36" spans="2:5" ht="15.75">
      <c r="B36" s="38" t="s">
        <v>132</v>
      </c>
      <c r="C36" s="29">
        <v>898</v>
      </c>
      <c r="D36" s="29">
        <v>1200</v>
      </c>
      <c r="E36" s="34">
        <v>1200</v>
      </c>
    </row>
    <row r="37" spans="2:5" ht="15.75">
      <c r="B37" s="38" t="s">
        <v>809</v>
      </c>
      <c r="C37" s="29">
        <v>76</v>
      </c>
      <c r="D37" s="29"/>
      <c r="E37" s="34"/>
    </row>
    <row r="38" spans="2:5" ht="15.75">
      <c r="B38" s="37" t="s">
        <v>814</v>
      </c>
      <c r="C38" s="29">
        <v>1700</v>
      </c>
      <c r="D38" s="29">
        <v>1700</v>
      </c>
      <c r="E38" s="34">
        <v>1700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3774</v>
      </c>
      <c r="D50" s="412">
        <f>SUM(D29:D48)</f>
        <v>3774</v>
      </c>
      <c r="E50" s="47">
        <f>SUM(E29:E43,E45,E47:E48)</f>
        <v>3774</v>
      </c>
    </row>
    <row r="51" spans="2:5" ht="15.75">
      <c r="B51" s="27" t="s">
        <v>123</v>
      </c>
      <c r="C51" s="413">
        <f>C27-C50</f>
        <v>1037.8400000000001</v>
      </c>
      <c r="D51" s="413">
        <f>SUM(D27-D50)</f>
        <v>194.84000000000015</v>
      </c>
      <c r="E51" s="33" t="s">
        <v>301</v>
      </c>
    </row>
    <row r="52" spans="2:6" ht="15.75">
      <c r="B52" s="48" t="str">
        <f>CONCATENATE("",E1-2,"/",E1-1," Budget Authority Amount:")</f>
        <v>2012/2013 Budget Authority Amount:</v>
      </c>
      <c r="C52" s="143">
        <v>3774</v>
      </c>
      <c r="D52" s="172">
        <f>inputPrYr!D16</f>
        <v>3774</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3774</v>
      </c>
    </row>
    <row r="55" spans="2:5" ht="15.75">
      <c r="B55" s="436" t="str">
        <f>CONCATENATE(C73,"     ",D73)</f>
        <v>     </v>
      </c>
      <c r="C55" s="60"/>
      <c r="D55" s="52" t="s">
        <v>28</v>
      </c>
      <c r="E55" s="46">
        <f>IF(E54-E27&gt;0,E54-E27,0)</f>
        <v>3225.16</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3225.16</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PALESTINE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A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PALESTINE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1721</v>
      </c>
      <c r="D6" s="418">
        <f>C44</f>
        <v>5911.759999999995</v>
      </c>
      <c r="E6" s="32">
        <f>D44</f>
        <v>4185.759999999995</v>
      </c>
    </row>
    <row r="7" spans="2:5" ht="15.75">
      <c r="B7" s="27" t="s">
        <v>124</v>
      </c>
      <c r="C7" s="418"/>
      <c r="D7" s="418"/>
      <c r="E7" s="33"/>
    </row>
    <row r="8" spans="2:5" ht="15.75">
      <c r="B8" s="27" t="s">
        <v>16</v>
      </c>
      <c r="C8" s="29">
        <v>45832</v>
      </c>
      <c r="D8" s="418">
        <f>inputPrYr!E18</f>
        <v>47392</v>
      </c>
      <c r="E8" s="33" t="s">
        <v>301</v>
      </c>
    </row>
    <row r="9" spans="2:5" ht="15.75">
      <c r="B9" s="27" t="s">
        <v>17</v>
      </c>
      <c r="C9" s="29">
        <v>212.68</v>
      </c>
      <c r="D9" s="29"/>
      <c r="E9" s="34"/>
    </row>
    <row r="10" spans="2:5" ht="15.75">
      <c r="B10" s="27" t="s">
        <v>18</v>
      </c>
      <c r="C10" s="29">
        <v>5309.96</v>
      </c>
      <c r="D10" s="29">
        <v>7457</v>
      </c>
      <c r="E10" s="32">
        <f>mvalloc!G13</f>
        <v>6298</v>
      </c>
    </row>
    <row r="11" spans="2:5" ht="15.75">
      <c r="B11" s="27" t="s">
        <v>19</v>
      </c>
      <c r="C11" s="29">
        <v>70.4</v>
      </c>
      <c r="D11" s="29">
        <v>131</v>
      </c>
      <c r="E11" s="32">
        <f>mvalloc!I13</f>
        <v>127</v>
      </c>
    </row>
    <row r="12" spans="2:5" ht="15.75">
      <c r="B12" s="27" t="s">
        <v>103</v>
      </c>
      <c r="C12" s="29">
        <v>517.13</v>
      </c>
      <c r="D12" s="29">
        <v>519</v>
      </c>
      <c r="E12" s="32">
        <f>mvalloc!J13</f>
        <v>541</v>
      </c>
    </row>
    <row r="13" spans="2:5" ht="15.75">
      <c r="B13" s="27" t="s">
        <v>166</v>
      </c>
      <c r="C13" s="29"/>
      <c r="D13" s="29"/>
      <c r="E13" s="32">
        <f>mvalloc!K13</f>
        <v>0</v>
      </c>
    </row>
    <row r="14" spans="2:5" ht="15.75">
      <c r="B14" s="27" t="s">
        <v>104</v>
      </c>
      <c r="C14" s="29">
        <f>1315.97+416.62</f>
        <v>1732.5900000000001</v>
      </c>
      <c r="D14" s="29">
        <v>1210</v>
      </c>
      <c r="E14" s="32">
        <f>inputOth!E36</f>
        <v>1300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53674.759999999995</v>
      </c>
      <c r="D23" s="420">
        <f>SUM(D8:D21)</f>
        <v>56709</v>
      </c>
      <c r="E23" s="42">
        <f>SUM(E8:E21)</f>
        <v>8266</v>
      </c>
    </row>
    <row r="24" spans="2:5" ht="15.75">
      <c r="B24" s="43" t="s">
        <v>24</v>
      </c>
      <c r="C24" s="420">
        <f>C23+C6</f>
        <v>55395.759999999995</v>
      </c>
      <c r="D24" s="420">
        <f>D23+D6</f>
        <v>62620.759999999995</v>
      </c>
      <c r="E24" s="42">
        <f>E23+E6</f>
        <v>12451.759999999995</v>
      </c>
    </row>
    <row r="25" spans="2:5" ht="15.75">
      <c r="B25" s="27" t="s">
        <v>25</v>
      </c>
      <c r="C25" s="418"/>
      <c r="D25" s="418"/>
      <c r="E25" s="32"/>
    </row>
    <row r="26" spans="2:5" ht="15.75">
      <c r="B26" s="38" t="s">
        <v>105</v>
      </c>
      <c r="C26" s="29">
        <v>1440</v>
      </c>
      <c r="D26" s="29">
        <v>1440</v>
      </c>
      <c r="E26" s="34">
        <v>1440</v>
      </c>
    </row>
    <row r="27" spans="2:5" ht="15.75">
      <c r="B27" s="38" t="s">
        <v>129</v>
      </c>
      <c r="C27" s="29">
        <v>6641</v>
      </c>
      <c r="D27" s="29">
        <v>11260</v>
      </c>
      <c r="E27" s="34">
        <v>11260</v>
      </c>
    </row>
    <row r="28" spans="2:5" ht="15.75">
      <c r="B28" s="37" t="s">
        <v>106</v>
      </c>
      <c r="C28" s="29"/>
      <c r="D28" s="29"/>
      <c r="E28" s="34"/>
    </row>
    <row r="29" spans="2:5" ht="15.75">
      <c r="B29" s="38" t="s">
        <v>131</v>
      </c>
      <c r="C29" s="29"/>
      <c r="D29" s="29">
        <v>4700</v>
      </c>
      <c r="E29" s="34">
        <v>4700</v>
      </c>
    </row>
    <row r="30" spans="2:5" ht="15.75">
      <c r="B30" s="38" t="s">
        <v>109</v>
      </c>
      <c r="C30" s="29">
        <v>20000</v>
      </c>
      <c r="D30" s="29">
        <v>19771</v>
      </c>
      <c r="E30" s="34">
        <v>19771</v>
      </c>
    </row>
    <row r="31" spans="2:5" ht="15.75">
      <c r="B31" s="38" t="s">
        <v>107</v>
      </c>
      <c r="C31" s="29">
        <v>13063</v>
      </c>
      <c r="D31" s="29">
        <v>10313</v>
      </c>
      <c r="E31" s="34">
        <v>14633</v>
      </c>
    </row>
    <row r="32" spans="2:5" ht="15.75">
      <c r="B32" s="38" t="s">
        <v>132</v>
      </c>
      <c r="C32" s="29">
        <v>2237</v>
      </c>
      <c r="D32" s="29">
        <v>1000</v>
      </c>
      <c r="E32" s="34">
        <v>1000</v>
      </c>
    </row>
    <row r="33" spans="2:5" ht="15.75">
      <c r="B33" s="38" t="s">
        <v>810</v>
      </c>
      <c r="C33" s="29"/>
      <c r="D33" s="29">
        <v>1000</v>
      </c>
      <c r="E33" s="34">
        <v>1000</v>
      </c>
    </row>
    <row r="34" spans="2:5" ht="15.75">
      <c r="B34" s="37" t="s">
        <v>811</v>
      </c>
      <c r="C34" s="29"/>
      <c r="D34" s="29">
        <v>8951</v>
      </c>
      <c r="E34" s="34">
        <v>8951</v>
      </c>
    </row>
    <row r="35" spans="2:5" ht="15.75">
      <c r="B35" s="37"/>
      <c r="C35" s="29">
        <v>5116</v>
      </c>
      <c r="D35" s="29"/>
      <c r="E35" s="34"/>
    </row>
    <row r="36" spans="2:5" ht="15.75">
      <c r="B36" s="38" t="s">
        <v>36</v>
      </c>
      <c r="C36" s="29">
        <v>56</v>
      </c>
      <c r="D36" s="29"/>
      <c r="E36" s="34"/>
    </row>
    <row r="37" spans="2:5" ht="15.75">
      <c r="B37" s="38"/>
      <c r="C37" s="29"/>
      <c r="D37" s="29"/>
      <c r="E37" s="34"/>
    </row>
    <row r="38" spans="2:5" ht="15.75">
      <c r="B38" s="27" t="s">
        <v>108</v>
      </c>
      <c r="C38" s="29">
        <v>931</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49484</v>
      </c>
      <c r="D43" s="420">
        <f>SUM(D26:D38,D40:D41)</f>
        <v>58435</v>
      </c>
      <c r="E43" s="42">
        <f>SUM(E26:E38,E40:E41)</f>
        <v>62755</v>
      </c>
    </row>
    <row r="44" spans="2:5" ht="15.75">
      <c r="B44" s="27" t="s">
        <v>123</v>
      </c>
      <c r="C44" s="413">
        <f>C24-C43</f>
        <v>5911.759999999995</v>
      </c>
      <c r="D44" s="413">
        <f>D24-D43</f>
        <v>4185.759999999995</v>
      </c>
      <c r="E44" s="33" t="s">
        <v>301</v>
      </c>
    </row>
    <row r="45" spans="2:6" ht="15.75">
      <c r="B45" s="48" t="str">
        <f>CONCATENATE("",E1-2,"/",E1-1," Budget Authority Amount:")</f>
        <v>2012/2013 Budget Authority Amount:</v>
      </c>
      <c r="C45" s="143">
        <v>49484</v>
      </c>
      <c r="D45" s="172">
        <f>inputPrYr!D18</f>
        <v>58435</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62755</v>
      </c>
    </row>
    <row r="48" spans="2:5" ht="15.75">
      <c r="B48" s="436" t="str">
        <f>CONCATENATE(C75,"     ",D75)</f>
        <v>     </v>
      </c>
      <c r="C48" s="60"/>
      <c r="D48" s="52" t="s">
        <v>28</v>
      </c>
      <c r="E48" s="46">
        <f>IF(E47-E24&gt;0,E47-E24,0)</f>
        <v>50303.240000000005</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50303.240000000005</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29468</v>
      </c>
      <c r="D55" s="14"/>
      <c r="E55" s="14"/>
    </row>
    <row r="56" spans="2:5" ht="15.75">
      <c r="B56" s="83" t="s">
        <v>33</v>
      </c>
      <c r="C56" s="143"/>
      <c r="D56" s="14"/>
      <c r="E56" s="14"/>
    </row>
    <row r="57" spans="2:5" ht="15.75">
      <c r="B57" s="83" t="s">
        <v>34</v>
      </c>
      <c r="C57" s="439">
        <f>C38</f>
        <v>931</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84</v>
      </c>
      <c r="D61" s="14"/>
      <c r="E61" s="14"/>
    </row>
    <row r="62" spans="2:5" ht="15.75">
      <c r="B62" s="87" t="s">
        <v>21</v>
      </c>
      <c r="C62" s="557">
        <v>2481</v>
      </c>
      <c r="D62" s="14"/>
      <c r="E62" s="14"/>
    </row>
    <row r="63" spans="2:5" ht="15.75">
      <c r="B63" s="88" t="s">
        <v>24</v>
      </c>
      <c r="C63" s="143">
        <f>SUM(C55:C62)</f>
        <v>32964</v>
      </c>
      <c r="D63" s="14"/>
      <c r="E63" s="14"/>
    </row>
    <row r="64" spans="2:5" ht="15.75">
      <c r="B64" s="88" t="s">
        <v>26</v>
      </c>
      <c r="C64" s="557"/>
      <c r="D64" s="14"/>
      <c r="E64" s="14"/>
    </row>
    <row r="65" spans="2:5" ht="15.75">
      <c r="B65" s="88" t="s">
        <v>27</v>
      </c>
      <c r="C65" s="438">
        <f>SUM(C63-C64)</f>
        <v>32964</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PALESTINE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PALESTINE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PALESTINE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PALESTINE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PALESTINE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3774</v>
      </c>
      <c r="E16" s="200">
        <v>2298</v>
      </c>
    </row>
    <row r="17" spans="1:5" ht="15.75">
      <c r="A17" s="14"/>
      <c r="B17" s="83" t="s">
        <v>311</v>
      </c>
      <c r="C17" s="172" t="s">
        <v>156</v>
      </c>
      <c r="D17" s="200"/>
      <c r="E17" s="200"/>
    </row>
    <row r="18" spans="1:5" ht="15.75">
      <c r="A18" s="14"/>
      <c r="B18" s="83" t="s">
        <v>286</v>
      </c>
      <c r="C18" s="192" t="s">
        <v>326</v>
      </c>
      <c r="D18" s="200">
        <v>58435</v>
      </c>
      <c r="E18" s="200">
        <v>47392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49690</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62209</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1.665</v>
      </c>
      <c r="E41" s="14"/>
    </row>
    <row r="42" spans="1:5" ht="15.75">
      <c r="A42" s="14"/>
      <c r="B42" s="96" t="str">
        <f t="shared" si="0"/>
        <v>Debt Service</v>
      </c>
      <c r="C42" s="14"/>
      <c r="D42" s="348"/>
      <c r="E42" s="14"/>
    </row>
    <row r="43" spans="1:5" ht="15.75">
      <c r="A43" s="14"/>
      <c r="B43" s="96" t="str">
        <f t="shared" si="0"/>
        <v>Road</v>
      </c>
      <c r="C43" s="14"/>
      <c r="D43" s="348">
        <v>21.307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22.971999999999998</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52057</v>
      </c>
    </row>
    <row r="53" spans="1:5" ht="15.75">
      <c r="A53" s="353" t="str">
        <f>CONCATENATE("Assessed Valuation (",D5-2," budget column)")</f>
        <v>Assessed Valuation (2012 budget column)</v>
      </c>
      <c r="B53" s="354"/>
      <c r="C53" s="291"/>
      <c r="D53" s="28"/>
      <c r="E53" s="200">
        <v>2266062</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PALESTINE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22, 2013 at 7:00 P.M. at Randy Grissom Residence, 709 N  Greenwich Rd, Belle Plaine, KS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Randy Grissom Residence, 709 N  Greenwich Rd, Belle Plaine,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3774</v>
      </c>
      <c r="D17" s="549">
        <f>IF(inputPrYr!D41&gt;0,inputPrYr!D41,"  ")</f>
        <v>1.665</v>
      </c>
      <c r="E17" s="32">
        <f>IF(gen!$D$50&lt;&gt;0,gen!$D$50,"  ")</f>
        <v>3774</v>
      </c>
      <c r="F17" s="253">
        <f>IF(inputOth!D17&gt;0,inputOth!D17,"  ")</f>
        <v>0.897</v>
      </c>
      <c r="G17" s="32">
        <f>IF(gen!$E$50&lt;&gt;0,gen!$E$50,"  ")</f>
        <v>3774</v>
      </c>
      <c r="H17" s="32">
        <f>IF(gen!$E$57&lt;&gt;0,gen!$E$57," ")</f>
        <v>3225.16</v>
      </c>
      <c r="I17" s="551">
        <f>IF(gen!E57&gt;0,ROUND(H17/$G$35*1000,3)," ")</f>
        <v>1.169</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49484</v>
      </c>
      <c r="D19" s="549">
        <f>IF(inputPrYr!D43&gt;0,inputPrYr!D43,"  ")</f>
        <v>21.307</v>
      </c>
      <c r="E19" s="32">
        <f>IF(road!$D$43&lt;&gt;0,road!$D$43,"  ")</f>
        <v>58435</v>
      </c>
      <c r="F19" s="253">
        <f>IF(inputOth!D19&gt;0,inputOth!D19,"  ")</f>
        <v>18.497</v>
      </c>
      <c r="G19" s="32">
        <f>IF(road!$E$43&lt;&gt;0,road!$E$43,"  ")</f>
        <v>62755</v>
      </c>
      <c r="H19" s="32">
        <f>IF(road!$E$50&lt;&gt;0,road!$E$50,"  ")</f>
        <v>50303.240000000005</v>
      </c>
      <c r="I19" s="551">
        <f>IF(road!E50&gt;0,ROUND(H19/$G$35*1000,3)," ")</f>
        <v>18.225</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53258</v>
      </c>
      <c r="D30" s="529">
        <f t="shared" si="0"/>
        <v>22.971999999999998</v>
      </c>
      <c r="E30" s="552">
        <f t="shared" si="0"/>
        <v>62209</v>
      </c>
      <c r="F30" s="529">
        <f t="shared" si="0"/>
        <v>19.394</v>
      </c>
      <c r="G30" s="552">
        <f t="shared" si="0"/>
        <v>66529</v>
      </c>
      <c r="H30" s="552">
        <f t="shared" si="0"/>
        <v>53528.40000000001</v>
      </c>
      <c r="I30" s="555">
        <f t="shared" si="0"/>
        <v>19.394000000000002</v>
      </c>
    </row>
    <row r="31" spans="2:9" ht="15.75">
      <c r="B31" s="83" t="s">
        <v>44</v>
      </c>
      <c r="C31" s="32">
        <f>transfer!C29</f>
        <v>931</v>
      </c>
      <c r="D31" s="14"/>
      <c r="E31" s="32">
        <f>transfer!D29</f>
        <v>0</v>
      </c>
      <c r="F31" s="62"/>
      <c r="G31" s="32">
        <f>transfer!E29</f>
        <v>0</v>
      </c>
      <c r="H31" s="14"/>
      <c r="I31" s="14"/>
    </row>
    <row r="32" spans="2:9" ht="16.5" thickBot="1">
      <c r="B32" s="83" t="s">
        <v>45</v>
      </c>
      <c r="C32" s="553">
        <f>C30-C31</f>
        <v>52327</v>
      </c>
      <c r="D32" s="14"/>
      <c r="E32" s="553">
        <f>E30-E31</f>
        <v>62209</v>
      </c>
      <c r="F32" s="14"/>
      <c r="G32" s="553">
        <f>G30-G31</f>
        <v>66529</v>
      </c>
      <c r="H32" s="14"/>
      <c r="I32" s="14"/>
    </row>
    <row r="33" spans="2:9" ht="16.5" thickTop="1">
      <c r="B33" s="83" t="s">
        <v>46</v>
      </c>
      <c r="C33" s="554">
        <f>inputPrYr!E52</f>
        <v>52057</v>
      </c>
      <c r="D33" s="62"/>
      <c r="E33" s="554">
        <f>inputPrYr!E25</f>
        <v>49690</v>
      </c>
      <c r="F33" s="14"/>
      <c r="G33" s="545" t="s">
        <v>301</v>
      </c>
      <c r="H33" s="14"/>
      <c r="I33" s="14"/>
    </row>
    <row r="34" spans="2:9" ht="15.75">
      <c r="B34" s="279" t="s">
        <v>47</v>
      </c>
      <c r="C34" s="55"/>
      <c r="D34" s="62"/>
      <c r="E34" s="55"/>
      <c r="F34" s="62"/>
      <c r="G34" s="14"/>
      <c r="H34" s="14"/>
      <c r="I34" s="14"/>
    </row>
    <row r="35" spans="2:9" ht="15.75">
      <c r="B35" s="563" t="s">
        <v>48</v>
      </c>
      <c r="C35" s="31">
        <f>inputPrYr!E53</f>
        <v>2266062</v>
      </c>
      <c r="D35" s="14"/>
      <c r="E35" s="32">
        <f>inputOth!E28</f>
        <v>2562127</v>
      </c>
      <c r="F35" s="14"/>
      <c r="G35" s="32">
        <f>inputOth!E7</f>
        <v>2760072</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J36" sqref="J36"/>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PALESTINE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2760072</v>
      </c>
      <c r="E18" s="14"/>
      <c r="F18" s="140"/>
    </row>
    <row r="19" spans="1:6" ht="15.75">
      <c r="A19" s="14"/>
      <c r="B19" s="14"/>
      <c r="C19" s="14"/>
      <c r="D19" s="14"/>
      <c r="E19" s="14"/>
      <c r="F19" s="140"/>
    </row>
    <row r="20" spans="1:6" ht="15.75">
      <c r="A20" s="14"/>
      <c r="B20" s="629" t="s">
        <v>378</v>
      </c>
      <c r="C20" s="629"/>
      <c r="D20" s="148">
        <f>IF(D18&gt;0,(D18*0.001),"")</f>
        <v>2760.072</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22" sqref="D22"/>
    </sheetView>
  </sheetViews>
  <sheetFormatPr defaultColWidth="8.796875" defaultRowHeight="15.75"/>
  <sheetData>
    <row r="1" spans="1:7" ht="15.75">
      <c r="A1" s="637" t="s">
        <v>133</v>
      </c>
      <c r="B1" s="637"/>
      <c r="C1" s="637"/>
      <c r="D1" s="637"/>
      <c r="E1" s="637"/>
      <c r="F1" s="637"/>
      <c r="G1" s="637"/>
    </row>
    <row r="2" ht="15.75">
      <c r="A2" s="1"/>
    </row>
    <row r="3" spans="1:7" ht="15.75">
      <c r="A3" s="638" t="s">
        <v>815</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PALESTINE TOWNSHIP </v>
      </c>
      <c r="I6">
        <f>CONCATENATE(I7)</f>
      </c>
    </row>
    <row r="7" spans="1:7" ht="15.75">
      <c r="A7" s="639" t="str">
        <f>CONCATENATE("   with respect to financing the ",inputPrYr!D5," annual budget for ",(inputPrYr!D2)," , ",(inputPrYr!D3)," , Kansas.")</f>
        <v>   with respect to financing the 2014 annual budget for PALESTINE TOWNSHIP , SUMNER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2014 PALESTINE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PALESTINE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PALESTINE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PALESTINE TOWNSHIP of SUMNER COUNTY, Kansas that is our desire to notify the public of increased property taxes to finance the 2014 PALESTINE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_____22____ day of ____July_______, ",inputPrYr!D5-1," by the ",(inputPrYr!D2)," Board, ",(inputPrYr!D3),", Kansas.")</f>
        <v>Adopted this _____22____ day of ____July_______, 2013 by the PALESTINE TOWNSHIP Board, SUMNER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PALESTINE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7</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PALESTINE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2760072</v>
      </c>
    </row>
    <row r="8" spans="1:5" ht="15.75">
      <c r="A8" s="22" t="str">
        <f>CONCATENATE("New Improvements for ",E1-1,"")</f>
        <v>New Improvements for 2013</v>
      </c>
      <c r="B8" s="19"/>
      <c r="C8" s="19"/>
      <c r="D8" s="19"/>
      <c r="E8" s="309">
        <v>62828</v>
      </c>
    </row>
    <row r="9" spans="1:5" ht="15.75">
      <c r="A9" s="22" t="str">
        <f>CONCATENATE("Personal Property excluding oil, gas, and mobile homes - ",E1-1,"")</f>
        <v>Personal Property excluding oil, gas, and mobile homes - 2013</v>
      </c>
      <c r="B9" s="19"/>
      <c r="C9" s="19"/>
      <c r="D9" s="19"/>
      <c r="E9" s="309">
        <v>92122</v>
      </c>
    </row>
    <row r="10" spans="1:5" ht="15.75">
      <c r="A10" s="22" t="str">
        <f>CONCATENATE("Property that has changed in use for ",E1-1,"")</f>
        <v>Property that has changed in use for 2013</v>
      </c>
      <c r="B10" s="19"/>
      <c r="C10" s="19"/>
      <c r="D10" s="19"/>
      <c r="E10" s="309">
        <v>19075</v>
      </c>
    </row>
    <row r="11" spans="1:5" ht="15.75">
      <c r="A11" s="22" t="str">
        <f>CONCATENATE("Personal Property excluding oil, gas, and mobile homes- ",E1-2,"")</f>
        <v>Personal Property excluding oil, gas, and mobile homes- 2012</v>
      </c>
      <c r="B11" s="19"/>
      <c r="C11" s="19"/>
      <c r="D11" s="19"/>
      <c r="E11" s="309">
        <v>85373</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0.897</v>
      </c>
      <c r="E17" s="312"/>
    </row>
    <row r="18" spans="1:5" ht="15.75">
      <c r="A18" s="82" t="str">
        <f>inputPrYr!B17</f>
        <v>Debt Service</v>
      </c>
      <c r="B18" s="291"/>
      <c r="C18" s="19"/>
      <c r="D18" s="315"/>
      <c r="E18" s="312"/>
    </row>
    <row r="19" spans="1:5" ht="15.75">
      <c r="A19" s="82" t="str">
        <f>inputPrYr!B18</f>
        <v>Road</v>
      </c>
      <c r="B19" s="291"/>
      <c r="C19" s="19"/>
      <c r="D19" s="315">
        <v>18.497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19.394</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2562127</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6604</v>
      </c>
    </row>
    <row r="32" spans="1:5" ht="15.75">
      <c r="A32" s="322" t="s">
        <v>288</v>
      </c>
      <c r="B32" s="291"/>
      <c r="C32" s="291"/>
      <c r="D32" s="31"/>
      <c r="E32" s="34">
        <v>133</v>
      </c>
    </row>
    <row r="33" spans="1:5" ht="15.75">
      <c r="A33" s="322" t="s">
        <v>164</v>
      </c>
      <c r="B33" s="291"/>
      <c r="C33" s="291"/>
      <c r="D33" s="31"/>
      <c r="E33" s="34">
        <v>583</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1300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816</v>
      </c>
      <c r="C5" s="387"/>
      <c r="D5" s="384" t="s">
        <v>796</v>
      </c>
      <c r="E5" s="383"/>
      <c r="F5" s="383"/>
    </row>
    <row r="6" spans="1:6" ht="15.75">
      <c r="A6" s="384"/>
      <c r="B6" s="388"/>
      <c r="C6" s="389"/>
      <c r="D6" s="384" t="s">
        <v>795</v>
      </c>
      <c r="E6" s="383"/>
      <c r="F6" s="383"/>
    </row>
    <row r="7" spans="1:6" ht="15.75">
      <c r="A7" s="384" t="s">
        <v>386</v>
      </c>
      <c r="B7" s="386" t="s">
        <v>817</v>
      </c>
      <c r="C7" s="390"/>
      <c r="D7" s="384"/>
      <c r="E7" s="383"/>
      <c r="F7" s="383"/>
    </row>
    <row r="8" spans="1:6" ht="15.75">
      <c r="A8" s="384"/>
      <c r="B8" s="384"/>
      <c r="C8" s="384"/>
      <c r="D8" s="384"/>
      <c r="E8" s="383"/>
      <c r="F8" s="383"/>
    </row>
    <row r="9" spans="1:6" ht="15.75">
      <c r="A9" s="384" t="s">
        <v>387</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818</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PALESTINE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3774</v>
      </c>
      <c r="F20" s="172">
        <f>IF(gen!$E$57&lt;&gt;0,gen!$E$57,0)</f>
        <v>3225.16</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62755</v>
      </c>
      <c r="F22" s="172">
        <f>IF(road!$E$50&lt;&gt;0,road!$E$50,"  ")</f>
        <v>50303.240000000005</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66529</v>
      </c>
      <c r="F33" s="292">
        <f>SUM(F20:F28)</f>
        <v>53528.40000000001</v>
      </c>
      <c r="G33" s="293">
        <f>IF(SUM(G20:G28)&gt;0,SUM(G20:G28),"")</f>
      </c>
    </row>
    <row r="34" spans="2:4" s="14" customFormat="1" ht="16.5" thickTop="1">
      <c r="B34" s="27" t="s">
        <v>174</v>
      </c>
      <c r="C34" s="283"/>
      <c r="D34" s="288">
        <f>summ!D47</f>
        <v>6</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7</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PALESTINE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49690</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49690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62828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92122</v>
      </c>
      <c r="F14" s="270"/>
      <c r="G14" s="55"/>
      <c r="H14" s="55"/>
      <c r="I14" s="53"/>
      <c r="J14" s="55"/>
    </row>
    <row r="15" spans="1:10" ht="15.75">
      <c r="A15" s="269"/>
      <c r="B15" s="14" t="s">
        <v>91</v>
      </c>
      <c r="C15" s="14" t="str">
        <f>CONCATENATE("Personal Property ",J1-2,"")</f>
        <v>Personal Property 2012</v>
      </c>
      <c r="D15" s="269" t="s">
        <v>86</v>
      </c>
      <c r="E15" s="273">
        <f>inputOth!E11</f>
        <v>85373</v>
      </c>
      <c r="F15" s="270"/>
      <c r="G15" s="53"/>
      <c r="H15" s="53"/>
      <c r="I15" s="55"/>
      <c r="J15" s="55"/>
    </row>
    <row r="16" spans="1:10" ht="15.75">
      <c r="A16" s="269"/>
      <c r="B16" s="14" t="s">
        <v>92</v>
      </c>
      <c r="C16" s="14" t="s">
        <v>112</v>
      </c>
      <c r="D16" s="14"/>
      <c r="E16" s="55"/>
      <c r="F16" s="55" t="s">
        <v>15</v>
      </c>
      <c r="G16" s="271">
        <f>IF(E14&gt;E15,E14-E15,0)</f>
        <v>6749</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19075</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88652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2760072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2671420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0.03318534711876081</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1649</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51339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51339</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PALESTINE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2298</v>
      </c>
      <c r="E11" s="253">
        <f>IF(inputOth!D17&gt;0,inputOth!D17,"  ")</f>
        <v>0.897</v>
      </c>
      <c r="F11" s="254"/>
      <c r="G11" s="96">
        <f>IF(inputPrYr!E16=0,0,G22-SUM(G12:G19))</f>
        <v>306</v>
      </c>
      <c r="H11" s="255"/>
      <c r="I11" s="96">
        <f>IF(inputPrYr!E16=0,0,I24-SUM(I12:I19))</f>
        <v>6</v>
      </c>
      <c r="J11" s="96">
        <v>42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47392</v>
      </c>
      <c r="E13" s="253">
        <f>IF(inputOth!D19&gt;0,inputOth!D19,"  ")</f>
        <v>18.497</v>
      </c>
      <c r="F13" s="254"/>
      <c r="G13" s="96">
        <v>6298</v>
      </c>
      <c r="H13" s="255"/>
      <c r="I13" s="96">
        <f>IF(inputPrYr!$E$18=0,0,ROUND($D$13*$I$32,0))</f>
        <v>127</v>
      </c>
      <c r="J13" s="96">
        <v>541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49690</v>
      </c>
      <c r="E20" s="259">
        <f>SUM(E11:E19)</f>
        <v>19.394</v>
      </c>
      <c r="F20" s="260"/>
      <c r="G20" s="258">
        <f>SUM(G11:G19)</f>
        <v>6604</v>
      </c>
      <c r="H20" s="258"/>
      <c r="I20" s="258">
        <f>SUM(I11:I19)</f>
        <v>133</v>
      </c>
      <c r="J20" s="258">
        <f>SUM(J11:J19)</f>
        <v>583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6604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133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583</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0.13290400482994566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0.0026765948883075066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0.011732743006641176</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PALESTINE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931</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931</v>
      </c>
      <c r="D27" s="245">
        <f>SUM(D10:D26)</f>
        <v>0</v>
      </c>
      <c r="E27" s="245">
        <f>SUM(E10:E26)</f>
        <v>0</v>
      </c>
      <c r="F27" s="140"/>
    </row>
    <row r="28" spans="1:6" ht="15.75">
      <c r="A28" s="140"/>
      <c r="B28" s="244" t="s">
        <v>632</v>
      </c>
      <c r="C28" s="140"/>
      <c r="D28" s="241"/>
      <c r="E28" s="241"/>
      <c r="F28" s="140"/>
    </row>
    <row r="29" spans="1:6" ht="15.75">
      <c r="A29" s="140"/>
      <c r="B29" s="192" t="s">
        <v>183</v>
      </c>
      <c r="C29" s="246">
        <f>C27</f>
        <v>931</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2013-07-22T18:13:28Z</cp:lastPrinted>
  <dcterms:created xsi:type="dcterms:W3CDTF">1998-08-26T16:30:41Z</dcterms:created>
  <dcterms:modified xsi:type="dcterms:W3CDTF">2013-07-22T18:18:39Z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