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30" yWindow="65431" windowWidth="10410" windowHeight="7290"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Fire" sheetId="12" r:id="rId12"/>
    <sheet name="Reserve"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levypage11" sheetId="23" r:id="rId23"/>
    <sheet name="levypage12" sheetId="24" r:id="rId24"/>
    <sheet name="nolevypage13" sheetId="25" r:id="rId25"/>
    <sheet name="nolevypage14" sheetId="26" r:id="rId26"/>
    <sheet name="blank1" sheetId="27" r:id="rId27"/>
    <sheet name="blank" sheetId="28" r:id="rId28"/>
    <sheet name="Helpful Links" sheetId="29" r:id="rId29"/>
    <sheet name="legend" sheetId="30" r:id="rId30"/>
    <sheet name="TransferStatutes" sheetId="31" r:id="rId31"/>
    <sheet name="Library Grant" sheetId="32" r:id="rId32"/>
    <sheet name="NonBudFunds" sheetId="33" r:id="rId33"/>
  </sheets>
  <externalReferences>
    <externalReference r:id="rId36"/>
  </externalReferences>
  <definedNames>
    <definedName name="_xlnm.Print_Area" localSheetId="27">'blank'!$A$1:$E$90</definedName>
    <definedName name="_xlnm.Print_Area" localSheetId="26">'blank1'!$B$1:$E$83</definedName>
    <definedName name="_xlnm.Print_Area" localSheetId="11">'Fire'!$A$1:$E$78</definedName>
    <definedName name="_xlnm.Print_Area" localSheetId="9">'gen'!$B$1:$E$53</definedName>
    <definedName name="_xlnm.Print_Area" localSheetId="1">'inputPrYr'!$A$1:$E$93</definedName>
    <definedName name="_xlnm.Print_Area" localSheetId="22">'levypage11'!$A$1:$E$90</definedName>
    <definedName name="_xlnm.Print_Area" localSheetId="23">'levypage12'!$A$1:$E$90</definedName>
    <definedName name="_xlnm.Print_Area" localSheetId="31">'Library Grant'!$A$1:$J$40</definedName>
    <definedName name="_xlnm.Print_Area" localSheetId="10">'road'!$B$1:$E$65</definedName>
    <definedName name="_xlnm.Print_Area" localSheetId="13">'summ'!$A$2:$H$41</definedName>
  </definedNames>
  <calcPr fullCalcOnLoad="1"/>
</workbook>
</file>

<file path=xl/sharedStrings.xml><?xml version="1.0" encoding="utf-8"?>
<sst xmlns="http://schemas.openxmlformats.org/spreadsheetml/2006/main" count="1706" uniqueCount="978">
  <si>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</si>
  <si>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</si>
  <si>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</si>
  <si>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</si>
  <si>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</si>
  <si>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</si>
  <si>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</si>
  <si>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</si>
  <si>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</si>
  <si>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</si>
  <si>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</si>
  <si>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</si>
  <si>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</si>
  <si>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</si>
  <si>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</si>
  <si>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</si>
  <si>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</si>
  <si>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</si>
  <si>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</si>
  <si>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</si>
  <si>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</si>
  <si>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</si>
  <si>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</si>
  <si>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</si>
  <si>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</si>
  <si>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</si>
  <si>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</si>
  <si>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</si>
  <si>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</si>
  <si>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</si>
  <si>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</si>
  <si>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</si>
  <si>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</si>
  <si>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</si>
  <si>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</si>
  <si>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</si>
  <si>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</si>
  <si>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</si>
  <si>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</si>
  <si>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</si>
  <si>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</si>
  <si>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</si>
  <si>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</si>
  <si>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</si>
  <si>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</si>
  <si>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</si>
  <si>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</si>
  <si>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</si>
  <si>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</si>
  <si>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</si>
  <si>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</si>
  <si>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</si>
  <si>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</si>
  <si>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</si>
  <si>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</si>
  <si>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</si>
  <si>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</si>
  <si>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</si>
  <si>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</si>
  <si>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</si>
  <si>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</si>
  <si>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</si>
  <si>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</si>
  <si>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</si>
  <si>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</si>
  <si>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</si>
  <si>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</si>
  <si>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</si>
  <si>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</si>
  <si>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</si>
  <si>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</si>
  <si>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</si>
  <si>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</si>
  <si>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</si>
  <si>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</si>
  <si>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</si>
  <si>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</si>
  <si>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</si>
  <si>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</si>
  <si>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</si>
  <si>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</si>
  <si>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</si>
  <si>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</si>
  <si>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</si>
  <si>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</si>
  <si>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</si>
  <si>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</si>
  <si>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</si>
  <si>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</si>
  <si>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</si>
  <si>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</si>
  <si>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</si>
  <si>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</si>
  <si>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</si>
  <si>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</si>
  <si>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</si>
  <si>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</si>
  <si>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</si>
  <si>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</si>
  <si>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</si>
  <si>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</si>
  <si>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</si>
  <si>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</si>
  <si>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</si>
  <si>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</si>
  <si>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</si>
  <si>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</si>
  <si>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</si>
  <si>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</si>
  <si>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</si>
  <si>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</si>
  <si>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</si>
  <si>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</si>
  <si>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</si>
  <si>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</si>
  <si>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</si>
  <si>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</si>
  <si>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</si>
  <si>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</si>
  <si>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</si>
  <si>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</si>
  <si>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</si>
  <si>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</si>
  <si>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</si>
  <si>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</si>
  <si>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</si>
  <si>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</si>
  <si>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</si>
  <si>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</si>
  <si>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</si>
  <si>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</si>
  <si>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</si>
  <si>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</si>
  <si>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</si>
  <si>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</si>
  <si>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</si>
  <si>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</si>
  <si>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</si>
  <si>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</si>
  <si>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</si>
  <si>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</si>
  <si>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</si>
  <si>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</si>
  <si>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</si>
  <si>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</si>
  <si>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</si>
  <si>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</si>
  <si>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</si>
  <si>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</si>
  <si>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</si>
  <si>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</si>
  <si>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</si>
  <si>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</si>
  <si>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</si>
  <si>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</si>
  <si>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</si>
  <si>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</si>
  <si>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</si>
  <si>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</si>
  <si>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</si>
  <si>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</si>
  <si>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</si>
  <si>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</si>
  <si>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</si>
  <si>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</si>
  <si>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</si>
  <si>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</si>
  <si>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</si>
  <si>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</si>
  <si>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</si>
  <si>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</si>
  <si>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</si>
  <si>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</si>
  <si>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</si>
  <si>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</si>
  <si>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</si>
  <si>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</si>
  <si>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</si>
  <si>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</si>
  <si>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</si>
  <si>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</si>
  <si>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</si>
  <si>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</si>
  <si>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</si>
  <si>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</si>
  <si>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</si>
  <si>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</si>
  <si>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</si>
  <si>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</si>
  <si>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</si>
  <si>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</si>
  <si>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</si>
  <si>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</si>
  <si>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</si>
  <si>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</si>
  <si>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</si>
  <si>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</si>
  <si>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</si>
  <si>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</si>
  <si>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</si>
  <si>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</si>
  <si>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</si>
  <si>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</si>
  <si>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</si>
  <si>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</si>
  <si>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</si>
  <si>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</si>
  <si>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</si>
  <si>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</si>
  <si>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</si>
  <si>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</si>
  <si>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</si>
  <si>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</si>
  <si>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</si>
  <si>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</si>
  <si>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</si>
  <si>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</si>
  <si>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</si>
  <si>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</si>
  <si>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</si>
  <si>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</si>
  <si>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</si>
  <si>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</si>
  <si>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</si>
  <si>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</si>
  <si>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</si>
  <si>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</si>
  <si>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</si>
  <si>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</si>
  <si>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</si>
  <si>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</si>
  <si>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</si>
  <si>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</si>
  <si>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</si>
  <si>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</si>
  <si>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</si>
  <si>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</si>
  <si>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</si>
  <si>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</si>
  <si>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</si>
  <si>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</si>
  <si>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</si>
  <si>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</si>
  <si>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</si>
  <si>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</si>
  <si>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</si>
  <si>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</si>
  <si>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</si>
  <si>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</si>
  <si>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</si>
  <si>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</si>
  <si>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</si>
  <si>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</si>
  <si>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</si>
  <si>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</si>
  <si>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</si>
  <si>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</si>
  <si>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</si>
  <si>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</si>
  <si>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</si>
  <si>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</si>
  <si>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</si>
  <si>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</si>
  <si>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</si>
  <si>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</si>
  <si>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</si>
  <si>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</si>
  <si>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</si>
  <si>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</si>
  <si>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</si>
  <si>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</si>
  <si>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</si>
  <si>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</si>
  <si>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</si>
  <si>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</si>
  <si>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</si>
  <si>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</si>
  <si>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</si>
  <si>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</si>
  <si>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</si>
  <si>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</si>
  <si>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</si>
  <si>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</si>
  <si>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</si>
  <si>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</si>
  <si>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</si>
  <si>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</si>
  <si>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</si>
  <si>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</si>
  <si>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</si>
  <si>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</si>
  <si>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</si>
  <si>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</si>
  <si>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</si>
  <si>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</si>
  <si>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</si>
  <si>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</si>
  <si>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</si>
  <si>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</si>
  <si>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</si>
  <si>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</si>
  <si>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</si>
  <si>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</si>
  <si>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</si>
  <si>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</si>
  <si>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</si>
  <si>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</si>
  <si>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</si>
  <si>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</si>
  <si>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</si>
  <si>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</si>
  <si>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</si>
  <si>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</si>
  <si>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</si>
  <si>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</si>
  <si>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</si>
  <si>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</si>
  <si>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</si>
  <si>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</si>
  <si>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</si>
  <si>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</si>
  <si>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</si>
  <si>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</si>
  <si>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</si>
  <si>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</si>
  <si>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</si>
  <si>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</si>
  <si>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</si>
  <si>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</si>
  <si>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</si>
  <si>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</si>
  <si>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</si>
  <si>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</si>
  <si>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</si>
  <si>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</si>
  <si>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</si>
  <si>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</si>
  <si>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</si>
  <si>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</si>
  <si>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</si>
  <si>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</si>
  <si>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</si>
  <si>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</si>
  <si>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</si>
  <si>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</si>
  <si>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</si>
  <si>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</si>
  <si>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</si>
  <si>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</si>
  <si>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</si>
  <si>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</si>
  <si>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</si>
  <si>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</si>
  <si>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</si>
  <si>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</si>
  <si>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</si>
  <si>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</si>
  <si>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</si>
  <si>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</si>
  <si>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</si>
  <si>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</si>
  <si>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</si>
  <si>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</si>
  <si>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</si>
  <si>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</si>
  <si>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</si>
  <si>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</si>
  <si>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</si>
  <si>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</si>
  <si>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</si>
  <si>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</si>
  <si>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</si>
  <si>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</si>
  <si>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</si>
  <si>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</si>
  <si>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</si>
  <si>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</si>
  <si>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</si>
  <si>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</si>
  <si>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</si>
  <si>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</si>
  <si>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</si>
  <si>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</si>
  <si>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</si>
  <si>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</si>
  <si>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</si>
  <si>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</si>
  <si>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</si>
  <si>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</si>
  <si>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</si>
  <si>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</si>
  <si>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</si>
  <si>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</si>
  <si>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</si>
  <si>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</si>
  <si>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</si>
  <si>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</si>
  <si>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</si>
  <si>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</si>
  <si>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</si>
  <si>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</si>
  <si>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</si>
  <si>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</si>
  <si>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</si>
  <si>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</si>
  <si>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</si>
  <si>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</si>
  <si>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</si>
  <si>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</si>
  <si>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</si>
  <si>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</si>
  <si>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</si>
  <si>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</si>
  <si>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</si>
  <si>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</si>
  <si>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</si>
  <si>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</si>
  <si>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</si>
  <si>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</si>
  <si>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</si>
  <si>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</si>
  <si>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</si>
  <si>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</si>
  <si>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</si>
  <si>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</si>
  <si>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</si>
  <si>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</si>
  <si>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</si>
  <si>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</si>
  <si>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</si>
  <si>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</si>
  <si>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</si>
  <si>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</si>
  <si>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</si>
  <si>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</si>
  <si>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</si>
  <si>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</si>
  <si>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</si>
  <si>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</si>
  <si>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</si>
  <si>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</si>
  <si>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</si>
  <si>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</si>
  <si>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</si>
  <si>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</si>
  <si>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</si>
  <si>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</si>
  <si>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</si>
  <si>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</si>
  <si>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</si>
  <si>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</si>
  <si>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</si>
  <si>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</si>
  <si>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</si>
  <si>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</si>
  <si>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</si>
  <si>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</si>
  <si>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</si>
  <si>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</si>
  <si>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</si>
  <si>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</si>
  <si>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</si>
  <si>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</si>
  <si>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</si>
  <si>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</si>
  <si>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</si>
  <si>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</si>
  <si>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</si>
  <si>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</si>
  <si>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</si>
  <si>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</si>
  <si>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</si>
  <si>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</si>
  <si>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</si>
  <si>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</si>
  <si>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</si>
  <si>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</si>
  <si>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</si>
  <si>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</si>
  <si>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</si>
  <si>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</si>
  <si>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</si>
  <si>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</si>
  <si>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</si>
  <si>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</si>
  <si>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</si>
  <si>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</si>
  <si>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</si>
  <si>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</si>
  <si>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</si>
  <si>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</si>
  <si>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</si>
  <si>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</si>
  <si>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</si>
  <si>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</si>
  <si>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</si>
  <si>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</si>
  <si>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</si>
  <si>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</si>
  <si>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</si>
  <si>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</si>
  <si>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</si>
  <si>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</si>
  <si>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</si>
  <si>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</si>
  <si>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</si>
  <si>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</si>
  <si>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</si>
  <si>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</si>
  <si>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</si>
  <si>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</si>
  <si>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</si>
  <si>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</si>
  <si>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</si>
  <si>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</si>
  <si>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</si>
  <si>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</si>
  <si>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</si>
  <si>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</si>
  <si>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</si>
  <si>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</si>
  <si>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</si>
  <si>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</si>
  <si>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</si>
  <si>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</si>
  <si>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</si>
  <si>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</si>
  <si>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</si>
  <si>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</si>
  <si>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</si>
  <si>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</si>
  <si>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</si>
  <si>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</si>
  <si>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</si>
  <si>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</si>
  <si>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</si>
  <si>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</si>
  <si>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</si>
  <si>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</si>
  <si>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</si>
  <si>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</si>
  <si>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</si>
  <si>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</si>
  <si>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</si>
  <si>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</si>
  <si>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</si>
  <si>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</si>
  <si>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</si>
  <si>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</si>
  <si>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</si>
  <si>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</si>
  <si>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</si>
  <si>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</si>
  <si>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</si>
  <si>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</si>
  <si>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</si>
  <si>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</si>
  <si>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</si>
  <si>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</si>
  <si>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</si>
  <si>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</si>
  <si>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</si>
  <si>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</si>
  <si>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</si>
  <si>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</si>
  <si>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</si>
  <si>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</si>
  <si>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</si>
  <si>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</si>
  <si>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</si>
  <si>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</si>
  <si>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</si>
  <si>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</si>
  <si>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</si>
  <si>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</si>
  <si>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</si>
  <si>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</si>
  <si>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</si>
  <si>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</si>
  <si>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</si>
  <si>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</si>
  <si>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</si>
  <si>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</si>
  <si>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</si>
  <si>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</si>
  <si>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</si>
  <si>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</si>
  <si>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</si>
  <si>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</si>
  <si>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</si>
  <si>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</si>
  <si>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</si>
  <si>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</si>
  <si>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</si>
  <si>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</si>
  <si>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</si>
  <si>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</si>
  <si>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</si>
  <si>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</si>
  <si>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</si>
  <si>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</si>
  <si>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</si>
  <si>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</si>
  <si>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</si>
  <si>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</si>
  <si>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</si>
  <si>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</si>
  <si>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</si>
  <si>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</si>
  <si>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</si>
  <si>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</si>
  <si>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</si>
  <si>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</si>
  <si>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</si>
  <si>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</si>
  <si>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</si>
  <si>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</si>
  <si>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</si>
  <si>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</si>
  <si>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</si>
  <si>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</si>
  <si>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</si>
  <si>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</si>
  <si>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</si>
  <si>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</si>
  <si>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</si>
  <si>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</si>
  <si>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</si>
  <si>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</si>
  <si>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</si>
  <si>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</si>
  <si>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</si>
  <si>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</si>
  <si>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</si>
  <si>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</si>
  <si>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</si>
  <si>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</si>
  <si>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</si>
  <si>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</si>
  <si>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</si>
  <si>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</si>
  <si>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</si>
  <si>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</si>
  <si>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</si>
  <si>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</si>
  <si>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</si>
  <si>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</si>
  <si>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</si>
  <si>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</si>
  <si>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</si>
  <si>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</si>
  <si>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</si>
  <si>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</si>
  <si>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</si>
  <si>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</si>
  <si>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</si>
  <si>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</si>
  <si>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</si>
  <si>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</si>
  <si>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</si>
  <si>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</si>
  <si>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</si>
  <si>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</si>
  <si>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</si>
  <si>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</si>
  <si>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</si>
  <si>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</si>
  <si>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</si>
  <si>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</si>
  <si>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</si>
  <si>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</si>
  <si>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</si>
  <si>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</si>
  <si>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</si>
  <si>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</si>
  <si>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</si>
  <si>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</si>
  <si>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</si>
  <si>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</si>
  <si>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</si>
  <si>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</si>
  <si>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</si>
  <si>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</si>
  <si>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</si>
  <si>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</si>
  <si>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</si>
  <si>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</si>
  <si>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</si>
  <si>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</si>
  <si>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</si>
  <si>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</si>
  <si>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</si>
  <si>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</si>
  <si>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</si>
  <si>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</si>
  <si>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</si>
  <si>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</si>
  <si>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</si>
  <si>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</si>
  <si>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</si>
  <si>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</si>
  <si>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</si>
  <si>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</si>
  <si>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</si>
  <si>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</si>
  <si>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</si>
  <si>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</si>
  <si>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</si>
  <si>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</si>
  <si>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</si>
  <si>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</si>
  <si>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</si>
  <si>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</si>
  <si>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</si>
  <si>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</si>
  <si>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</si>
  <si>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</si>
  <si>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</si>
  <si>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</si>
  <si>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</si>
  <si>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</si>
  <si>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</si>
  <si>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</si>
  <si>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</si>
  <si>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</si>
  <si>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</si>
  <si>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</si>
  <si>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</si>
  <si>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</si>
  <si>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</si>
  <si>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</si>
  <si>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</si>
  <si>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</si>
  <si>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</si>
  <si>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</si>
  <si>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</si>
  <si>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</si>
  <si>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</si>
  <si>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</si>
  <si>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</si>
  <si>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</si>
  <si>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</si>
  <si>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</si>
  <si>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</si>
  <si>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</si>
  <si>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</si>
  <si>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</si>
  <si>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</si>
  <si>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</si>
  <si>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</si>
  <si>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</si>
  <si>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</si>
  <si>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</si>
  <si>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</si>
  <si>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</si>
  <si>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</si>
  <si>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</si>
  <si>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</si>
  <si>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</si>
  <si>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</si>
  <si>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</si>
  <si>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</si>
  <si>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</si>
  <si>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</si>
  <si>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</si>
  <si>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</si>
  <si>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</si>
  <si>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</si>
  <si>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</si>
  <si>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</si>
  <si>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</si>
  <si>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</si>
  <si>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</si>
  <si>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</si>
  <si>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</si>
  <si>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</si>
  <si>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</si>
  <si>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</si>
  <si>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</si>
  <si>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</si>
  <si>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</si>
  <si>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</si>
  <si>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</si>
  <si>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</si>
  <si>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</si>
  <si>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</si>
  <si>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</si>
  <si>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</si>
  <si>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</si>
  <si>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</si>
  <si>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</si>
  <si>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</si>
  <si>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</si>
  <si>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</si>
  <si>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</si>
  <si>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</si>
  <si>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</si>
  <si>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</si>
  <si>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</si>
  <si>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</si>
  <si>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</si>
  <si>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</si>
  <si>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</si>
  <si>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</si>
  <si>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</si>
  <si>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</si>
  <si>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</si>
  <si>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</si>
  <si>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</si>
  <si>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</si>
  <si>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</si>
  <si>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</si>
  <si>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</si>
  <si>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</si>
  <si>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</si>
  <si>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</si>
  <si>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</si>
  <si>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</si>
  <si>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</si>
  <si>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</si>
  <si>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</si>
  <si>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</si>
  <si>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</si>
  <si>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</si>
  <si>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</si>
  <si>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</si>
  <si>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</si>
  <si>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</si>
  <si>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</si>
  <si>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</si>
  <si>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</si>
  <si>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</si>
  <si>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</si>
  <si>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</si>
  <si>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</si>
  <si>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</si>
  <si>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</si>
  <si>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</si>
  <si>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</si>
  <si>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</si>
  <si>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</si>
  <si>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</si>
  <si>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</si>
  <si>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</si>
  <si>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</si>
  <si>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</si>
  <si>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</si>
  <si>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</si>
  <si>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</si>
  <si>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</si>
  <si>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</si>
  <si>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</si>
  <si>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</si>
  <si>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</si>
  <si>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</si>
  <si>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</si>
  <si>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</si>
  <si>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</si>
  <si>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</si>
  <si>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</si>
  <si>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</si>
  <si>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</si>
  <si>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</si>
  <si>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</si>
  <si>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</si>
  <si>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</si>
  <si>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</si>
  <si>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</si>
  <si>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</si>
  <si>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</si>
  <si>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</si>
  <si>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</si>
  <si>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</si>
  <si>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</si>
  <si>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</si>
  <si>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</si>
  <si>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</si>
  <si>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</si>
  <si>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</si>
  <si>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</si>
  <si>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</si>
  <si>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</si>
  <si>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</si>
  <si>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</si>
  <si>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</si>
  <si>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</si>
  <si>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</si>
  <si>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</si>
  <si>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</si>
  <si>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</si>
  <si>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</si>
  <si>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</si>
  <si>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</si>
  <si>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</si>
  <si>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</si>
  <si>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</si>
  <si>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</si>
  <si>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</si>
  <si>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</si>
  <si>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</si>
  <si>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</si>
  <si>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</si>
  <si>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</si>
  <si>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</si>
  <si>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</si>
  <si>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</si>
  <si>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</si>
  <si>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</si>
  <si>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</si>
  <si>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</si>
  <si>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</si>
  <si>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</si>
  <si>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</si>
  <si>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</si>
  <si>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</si>
  <si>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</si>
  <si>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</si>
  <si>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</si>
  <si>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</si>
  <si>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</si>
  <si>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</si>
  <si>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</si>
  <si>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</si>
  <si>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</si>
  <si>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</si>
  <si>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</si>
  <si>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</si>
  <si>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</si>
  <si>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</si>
  <si>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</si>
  <si>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</si>
  <si>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</si>
  <si>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</si>
  <si>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</si>
  <si>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</si>
  <si>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</si>
  <si>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</si>
  <si>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</si>
  <si>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</si>
  <si>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</si>
  <si>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</si>
  <si>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</si>
  <si>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</si>
  <si>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</si>
  <si>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</si>
  <si>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Brown County</t>
  </si>
  <si>
    <t>Brown County Clerk's office</t>
  </si>
  <si>
    <t>Padonia</t>
  </si>
  <si>
    <t>Padonia Township</t>
  </si>
  <si>
    <t>Special Road Fund</t>
  </si>
  <si>
    <t>Grader</t>
  </si>
  <si>
    <t>Budget &amp; Publications</t>
  </si>
  <si>
    <t>Accounting</t>
  </si>
  <si>
    <t>City of Hiawatha (Fire)</t>
  </si>
  <si>
    <t>Equipment Repairs</t>
  </si>
  <si>
    <t>Fuel</t>
  </si>
  <si>
    <t>AG Partners</t>
  </si>
  <si>
    <t>Sales</t>
  </si>
  <si>
    <t>Insurance Refund</t>
  </si>
  <si>
    <t>Fire Protection-City of Hiawatha</t>
  </si>
  <si>
    <t>FEMA</t>
  </si>
  <si>
    <t>Sac &amp; Fox Tribe</t>
  </si>
  <si>
    <t>Wages</t>
  </si>
  <si>
    <t>Materials</t>
  </si>
  <si>
    <t>Contractors</t>
  </si>
  <si>
    <t>Reserves</t>
  </si>
  <si>
    <t>8:00 PM</t>
  </si>
  <si>
    <t>Jerry Reschke, 1515 320 Street, Hiawatha</t>
  </si>
  <si>
    <t>Bradley Swearingen</t>
  </si>
  <si>
    <t>Sale of Metals</t>
  </si>
  <si>
    <t>Misc</t>
  </si>
  <si>
    <t>TR to Sp Machenery</t>
  </si>
  <si>
    <t xml:space="preserve">  Special Road </t>
  </si>
  <si>
    <t>Repairs</t>
  </si>
  <si>
    <t>Other Operating</t>
  </si>
  <si>
    <t xml:space="preserve">Equipment </t>
  </si>
  <si>
    <t>August 22, 2013</t>
  </si>
  <si>
    <t>Trustee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</si>
</sst>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0" fontId="12" fillId="0" borderId="0" xfId="68"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um(L26:O27)" TargetMode="External" /><Relationship Id="rId2" Type="http://schemas.openxmlformats.org/officeDocument/2006/relationships/hyperlink" Target="mailto:=@sum(L26:L49"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337</v>
      </c>
    </row>
    <row r="3" ht="34.5" customHeight="1">
      <c r="A3" s="214" t="s">
        <v>128</v>
      </c>
    </row>
    <row r="4" ht="15.75">
      <c r="A4" s="215"/>
    </row>
    <row r="5" ht="52.5" customHeight="1">
      <c r="A5" s="216" t="s">
        <v>338</v>
      </c>
    </row>
    <row r="6" ht="15.75">
      <c r="A6" s="216"/>
    </row>
    <row r="7" ht="51" customHeight="1">
      <c r="A7" s="216" t="s">
        <v>870</v>
      </c>
    </row>
    <row r="8" ht="15.75">
      <c r="A8" s="216"/>
    </row>
    <row r="9" ht="15.75">
      <c r="A9" s="216" t="s">
        <v>129</v>
      </c>
    </row>
    <row r="12" ht="15.75">
      <c r="A12" s="213" t="s">
        <v>185</v>
      </c>
    </row>
    <row r="14" ht="15.75">
      <c r="A14" s="215" t="s">
        <v>186</v>
      </c>
    </row>
    <row r="17" ht="38.25" customHeight="1">
      <c r="A17" s="217" t="s">
        <v>310</v>
      </c>
    </row>
    <row r="18" ht="9.75" customHeight="1">
      <c r="A18" s="217"/>
    </row>
    <row r="21" ht="15.75">
      <c r="A21" s="213" t="s">
        <v>130</v>
      </c>
    </row>
    <row r="23" ht="34.5" customHeight="1">
      <c r="A23" s="216" t="s">
        <v>187</v>
      </c>
    </row>
    <row r="24" ht="9.75" customHeight="1">
      <c r="A24" s="216"/>
    </row>
    <row r="25" ht="15.75">
      <c r="A25" s="218" t="s">
        <v>131</v>
      </c>
    </row>
    <row r="26" ht="15.75">
      <c r="A26" s="216"/>
    </row>
    <row r="27" ht="17.25" customHeight="1">
      <c r="A27" s="219" t="s">
        <v>132</v>
      </c>
    </row>
    <row r="28" ht="17.25" customHeight="1">
      <c r="A28" s="220"/>
    </row>
    <row r="29" ht="87.75" customHeight="1">
      <c r="A29" s="221" t="s">
        <v>166</v>
      </c>
    </row>
    <row r="31" ht="15.75">
      <c r="A31" s="222" t="s">
        <v>133</v>
      </c>
    </row>
    <row r="33" ht="15.75">
      <c r="A33" s="151" t="s">
        <v>188</v>
      </c>
    </row>
    <row r="35" ht="15.75">
      <c r="A35" s="216" t="s">
        <v>134</v>
      </c>
    </row>
    <row r="36" ht="15.75">
      <c r="A36" s="216"/>
    </row>
    <row r="37" ht="72" customHeight="1">
      <c r="A37" s="216" t="s">
        <v>399</v>
      </c>
    </row>
    <row r="39" ht="15.75">
      <c r="A39" s="213" t="s">
        <v>135</v>
      </c>
    </row>
    <row r="41" ht="70.5" customHeight="1">
      <c r="A41" s="216" t="s">
        <v>772</v>
      </c>
    </row>
    <row r="42" ht="52.5" customHeight="1">
      <c r="A42" s="223" t="s">
        <v>136</v>
      </c>
    </row>
    <row r="43" ht="33" customHeight="1">
      <c r="A43" s="216" t="s">
        <v>165</v>
      </c>
    </row>
    <row r="44" ht="106.5" customHeight="1">
      <c r="A44" s="742" t="s">
        <v>871</v>
      </c>
    </row>
    <row r="45" ht="10.5" customHeight="1">
      <c r="A45" s="216"/>
    </row>
    <row r="46" ht="108" customHeight="1">
      <c r="A46" s="216" t="s">
        <v>773</v>
      </c>
    </row>
    <row r="47" ht="59.25" customHeight="1">
      <c r="A47" s="216" t="s">
        <v>137</v>
      </c>
    </row>
    <row r="48" ht="101.25" customHeight="1">
      <c r="A48" s="216" t="s">
        <v>225</v>
      </c>
    </row>
    <row r="49" ht="74.25" customHeight="1">
      <c r="A49" s="216" t="s">
        <v>400</v>
      </c>
    </row>
    <row r="50" ht="69.75" customHeight="1">
      <c r="A50" s="216" t="s">
        <v>407</v>
      </c>
    </row>
    <row r="51" ht="58.5" customHeight="1">
      <c r="A51" s="743" t="s">
        <v>872</v>
      </c>
    </row>
    <row r="52" ht="12" customHeight="1">
      <c r="A52" s="216"/>
    </row>
    <row r="53" ht="81" customHeight="1">
      <c r="A53" s="216" t="s">
        <v>401</v>
      </c>
    </row>
    <row r="54" ht="81" customHeight="1">
      <c r="A54" s="216" t="s">
        <v>620</v>
      </c>
    </row>
    <row r="55" ht="81" customHeight="1">
      <c r="A55" s="216" t="s">
        <v>873</v>
      </c>
    </row>
    <row r="56" ht="48" customHeight="1">
      <c r="A56" s="743" t="s">
        <v>874</v>
      </c>
    </row>
    <row r="57" ht="84.75" customHeight="1">
      <c r="A57" s="744" t="s">
        <v>875</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4" t="s">
        <v>876</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7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4" t="s">
        <v>877</v>
      </c>
    </row>
    <row r="76" ht="12" customHeight="1"/>
    <row r="77" ht="78.75" customHeight="1">
      <c r="A77" s="216" t="s">
        <v>879</v>
      </c>
    </row>
    <row r="78" ht="78.75" customHeight="1">
      <c r="A78" s="744" t="s">
        <v>878</v>
      </c>
    </row>
    <row r="79" ht="86.25" customHeight="1">
      <c r="A79" s="545" t="s">
        <v>880</v>
      </c>
    </row>
    <row r="80" ht="78.75" customHeight="1">
      <c r="A80" s="545" t="s">
        <v>881</v>
      </c>
    </row>
    <row r="81" ht="78.75" customHeight="1">
      <c r="A81" s="545" t="s">
        <v>882</v>
      </c>
    </row>
    <row r="82" ht="73.5" customHeight="1">
      <c r="A82" s="216" t="s">
        <v>883</v>
      </c>
    </row>
    <row r="83" ht="120.75" customHeight="1">
      <c r="A83" s="216" t="s">
        <v>884</v>
      </c>
    </row>
    <row r="84" ht="72.75" customHeight="1">
      <c r="A84" s="216" t="s">
        <v>885</v>
      </c>
    </row>
    <row r="85" ht="100.5" customHeight="1">
      <c r="A85" s="216" t="s">
        <v>886</v>
      </c>
    </row>
    <row r="86" ht="110.25" customHeight="1">
      <c r="A86" s="216" t="s">
        <v>887</v>
      </c>
    </row>
    <row r="87" ht="100.5" customHeight="1">
      <c r="A87" s="224" t="s">
        <v>888</v>
      </c>
    </row>
    <row r="88" ht="61.5" customHeight="1">
      <c r="A88" s="360" t="s">
        <v>889</v>
      </c>
    </row>
    <row r="89" ht="120.75" customHeight="1">
      <c r="A89" s="216" t="s">
        <v>941</v>
      </c>
    </row>
    <row r="90" ht="86.25" customHeight="1">
      <c r="A90" s="224" t="s">
        <v>890</v>
      </c>
    </row>
    <row r="91" ht="101.25" customHeight="1">
      <c r="A91" s="224" t="s">
        <v>940</v>
      </c>
    </row>
    <row r="92" ht="133.5" customHeight="1">
      <c r="A92" s="216" t="s">
        <v>891</v>
      </c>
    </row>
    <row r="93" ht="137.25" customHeight="1">
      <c r="A93" s="216" t="s">
        <v>892</v>
      </c>
    </row>
    <row r="94" ht="101.25" customHeight="1">
      <c r="A94" s="216" t="s">
        <v>893</v>
      </c>
    </row>
    <row r="95" ht="9.75" customHeight="1">
      <c r="A95" s="224"/>
    </row>
    <row r="96" ht="119.25" customHeight="1">
      <c r="A96" s="216" t="s">
        <v>894</v>
      </c>
    </row>
    <row r="97" ht="117" customHeight="1">
      <c r="A97" s="224" t="s">
        <v>895</v>
      </c>
    </row>
    <row r="98" ht="58.5" customHeight="1">
      <c r="A98" s="224" t="s">
        <v>896</v>
      </c>
    </row>
    <row r="99" ht="21" customHeight="1">
      <c r="A99" s="216" t="s">
        <v>897</v>
      </c>
    </row>
    <row r="100" ht="3.75" customHeight="1"/>
    <row r="101" ht="64.5" customHeight="1">
      <c r="A101" s="216" t="s">
        <v>898</v>
      </c>
    </row>
    <row r="102" ht="22.5" customHeight="1">
      <c r="A102" s="216" t="s">
        <v>899</v>
      </c>
    </row>
    <row r="103" ht="40.5" customHeight="1">
      <c r="A103" s="545" t="s">
        <v>900</v>
      </c>
    </row>
    <row r="104" ht="115.5" customHeight="1">
      <c r="A104" s="545" t="s">
        <v>901</v>
      </c>
    </row>
    <row r="105" ht="116.25" customHeight="1">
      <c r="A105" s="545" t="s">
        <v>902</v>
      </c>
    </row>
    <row r="106" ht="90" customHeight="1">
      <c r="A106" s="216" t="s">
        <v>903</v>
      </c>
    </row>
    <row r="107" ht="74.25" customHeight="1">
      <c r="A107" s="745" t="s">
        <v>904</v>
      </c>
    </row>
    <row r="108" ht="61.5" customHeight="1">
      <c r="A108" s="216" t="s">
        <v>905</v>
      </c>
    </row>
    <row r="109" ht="9" customHeight="1"/>
    <row r="110" ht="78.75" customHeight="1">
      <c r="A110" s="216" t="s">
        <v>906</v>
      </c>
    </row>
    <row r="112" ht="73.5" customHeight="1">
      <c r="A112" s="545" t="s">
        <v>907</v>
      </c>
    </row>
    <row r="113" ht="108" customHeight="1">
      <c r="A113" s="545" t="s">
        <v>908</v>
      </c>
    </row>
    <row r="114" ht="96" customHeight="1">
      <c r="A114" s="545" t="s">
        <v>909</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7"/>
  <sheetViews>
    <sheetView zoomScale="70" zoomScaleNormal="70" zoomScalePageLayoutView="0" workbookViewId="0" topLeftCell="A21">
      <selection activeCell="E32" sqref="E32"/>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Padonia Township</v>
      </c>
      <c r="C1" s="65"/>
      <c r="D1" s="65"/>
      <c r="E1" s="226">
        <f>inputPrYr!D9</f>
        <v>2014</v>
      </c>
    </row>
    <row r="2" spans="2:5" ht="15.75">
      <c r="B2" s="547" t="s">
        <v>771</v>
      </c>
      <c r="C2" s="65"/>
      <c r="D2" s="65"/>
      <c r="E2" s="312"/>
    </row>
    <row r="3" spans="2:5" ht="15.75">
      <c r="B3" s="65"/>
      <c r="C3" s="78"/>
      <c r="D3" s="78"/>
      <c r="E3" s="313"/>
    </row>
    <row r="4" spans="2:5" ht="15.75">
      <c r="B4" s="72" t="s">
        <v>274</v>
      </c>
      <c r="C4" s="393" t="s">
        <v>275</v>
      </c>
      <c r="D4" s="396" t="s">
        <v>276</v>
      </c>
      <c r="E4" s="74" t="s">
        <v>277</v>
      </c>
    </row>
    <row r="5" spans="2:5" ht="15.75">
      <c r="B5" s="489" t="str">
        <f>inputPrYr!B20</f>
        <v>General</v>
      </c>
      <c r="C5" s="394" t="str">
        <f>CONCATENATE("Actual for ",$E$1-2,"")</f>
        <v>Actual for 2012</v>
      </c>
      <c r="D5" s="394" t="str">
        <f>CONCATENATE("Estimate for ",$E$1-1,"")</f>
        <v>Estimate for 2013</v>
      </c>
      <c r="E5" s="79" t="str">
        <f>CONCATENATE("Year for ",$E$1,"")</f>
        <v>Year for 2014</v>
      </c>
    </row>
    <row r="6" spans="2:5" ht="15.75">
      <c r="B6" s="80" t="s">
        <v>70</v>
      </c>
      <c r="C6" s="314">
        <v>0</v>
      </c>
      <c r="D6" s="395">
        <f>C43</f>
        <v>1689</v>
      </c>
      <c r="E6" s="262">
        <f>D43</f>
        <v>2879</v>
      </c>
    </row>
    <row r="7" spans="2:5" ht="15.75">
      <c r="B7" s="80" t="s">
        <v>72</v>
      </c>
      <c r="C7" s="395"/>
      <c r="D7" s="395"/>
      <c r="E7" s="316"/>
    </row>
    <row r="8" spans="2:5" ht="15.75">
      <c r="B8" s="80" t="s">
        <v>280</v>
      </c>
      <c r="C8" s="314">
        <v>4554</v>
      </c>
      <c r="D8" s="395">
        <f>IF(inputPrYr!H19&gt;0,inputPrYr!G20,inputPrYr!E20)</f>
        <v>5952</v>
      </c>
      <c r="E8" s="316" t="s">
        <v>259</v>
      </c>
    </row>
    <row r="9" spans="2:5" ht="15.75">
      <c r="B9" s="80" t="s">
        <v>281</v>
      </c>
      <c r="C9" s="314"/>
      <c r="D9" s="314"/>
      <c r="E9" s="171"/>
    </row>
    <row r="10" spans="2:5" ht="15.75">
      <c r="B10" s="80" t="s">
        <v>282</v>
      </c>
      <c r="C10" s="314"/>
      <c r="D10" s="314">
        <v>248</v>
      </c>
      <c r="E10" s="262">
        <f>mvalloc!G11</f>
        <v>558</v>
      </c>
    </row>
    <row r="11" spans="2:5" ht="15.75">
      <c r="B11" s="80" t="s">
        <v>283</v>
      </c>
      <c r="C11" s="314"/>
      <c r="D11" s="314">
        <v>6</v>
      </c>
      <c r="E11" s="262">
        <f>mvalloc!I11</f>
        <v>7</v>
      </c>
    </row>
    <row r="12" spans="2:5" ht="15.75">
      <c r="B12" s="317" t="s">
        <v>21</v>
      </c>
      <c r="C12" s="314"/>
      <c r="D12" s="314">
        <v>84</v>
      </c>
      <c r="E12" s="262">
        <f>mvalloc!J11</f>
        <v>127</v>
      </c>
    </row>
    <row r="13" spans="2:5" ht="15.75">
      <c r="B13" s="317" t="s">
        <v>113</v>
      </c>
      <c r="C13" s="314"/>
      <c r="D13" s="314"/>
      <c r="E13" s="262">
        <f>inputOth!E71</f>
        <v>0</v>
      </c>
    </row>
    <row r="14" spans="2:5" ht="15.75">
      <c r="B14" s="80" t="s">
        <v>284</v>
      </c>
      <c r="C14" s="314"/>
      <c r="D14" s="314"/>
      <c r="E14" s="262">
        <f>inputOth!E32</f>
        <v>0</v>
      </c>
    </row>
    <row r="15" spans="2:5" ht="15.75">
      <c r="B15" s="319"/>
      <c r="C15" s="314"/>
      <c r="D15" s="314"/>
      <c r="E15" s="171"/>
    </row>
    <row r="16" spans="2:5" ht="15.75">
      <c r="B16" s="318"/>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IF(E20*0.1+E49&lt;E18,"Exceed 10% Rule","")</f>
      </c>
    </row>
    <row r="20" spans="2:5" ht="15.75">
      <c r="B20" s="322" t="s">
        <v>287</v>
      </c>
      <c r="C20" s="398">
        <f>SUM(C8:C18)</f>
        <v>4554</v>
      </c>
      <c r="D20" s="398">
        <f>SUM(D8:D18)</f>
        <v>6290</v>
      </c>
      <c r="E20" s="323">
        <f>SUM(E8:E18)</f>
        <v>692</v>
      </c>
    </row>
    <row r="21" spans="2:5" ht="15.75">
      <c r="B21" s="98" t="s">
        <v>288</v>
      </c>
      <c r="C21" s="398">
        <f>C20+C6</f>
        <v>4554</v>
      </c>
      <c r="D21" s="398">
        <f>D20+D6</f>
        <v>7979</v>
      </c>
      <c r="E21" s="323">
        <f>E20+E6</f>
        <v>3571</v>
      </c>
    </row>
    <row r="22" spans="2:5" ht="15.75">
      <c r="B22" s="80" t="s">
        <v>289</v>
      </c>
      <c r="C22" s="395"/>
      <c r="D22" s="395"/>
      <c r="E22" s="262"/>
    </row>
    <row r="23" spans="2:5" ht="15.75">
      <c r="B23" s="318"/>
      <c r="C23" s="314"/>
      <c r="D23" s="314"/>
      <c r="E23" s="171"/>
    </row>
    <row r="24" spans="2:5" ht="15.75">
      <c r="B24" s="319" t="s">
        <v>53</v>
      </c>
      <c r="C24" s="314">
        <f>675+225</f>
        <v>900</v>
      </c>
      <c r="D24" s="314">
        <v>900</v>
      </c>
      <c r="E24" s="171">
        <v>900</v>
      </c>
    </row>
    <row r="25" spans="2:5" ht="15.75">
      <c r="B25" s="319" t="s">
        <v>77</v>
      </c>
      <c r="C25" s="314"/>
      <c r="D25" s="314"/>
      <c r="E25" s="171"/>
    </row>
    <row r="26" spans="2:5" ht="15.75">
      <c r="B26" s="319" t="s">
        <v>54</v>
      </c>
      <c r="C26" s="314"/>
      <c r="D26" s="314">
        <v>290</v>
      </c>
      <c r="E26" s="171">
        <v>290</v>
      </c>
    </row>
    <row r="27" spans="2:5" ht="15.75">
      <c r="B27" s="319" t="s">
        <v>300</v>
      </c>
      <c r="C27" s="314">
        <f>26+8</f>
        <v>34</v>
      </c>
      <c r="D27" s="314">
        <v>510</v>
      </c>
      <c r="E27" s="171">
        <v>700</v>
      </c>
    </row>
    <row r="28" spans="2:5" ht="15.75">
      <c r="B28" s="318" t="s">
        <v>55</v>
      </c>
      <c r="C28" s="314"/>
      <c r="D28" s="314"/>
      <c r="E28" s="171"/>
    </row>
    <row r="29" spans="2:5" ht="15.75">
      <c r="B29" s="318" t="s">
        <v>78</v>
      </c>
      <c r="C29" s="314">
        <f>200+28</f>
        <v>228</v>
      </c>
      <c r="D29" s="314">
        <v>1500</v>
      </c>
      <c r="E29" s="171">
        <v>1500</v>
      </c>
    </row>
    <row r="30" spans="2:5" ht="15.75">
      <c r="B30" s="319" t="s">
        <v>80</v>
      </c>
      <c r="C30" s="314">
        <v>351</v>
      </c>
      <c r="D30" s="314">
        <v>500</v>
      </c>
      <c r="E30" s="171">
        <v>500</v>
      </c>
    </row>
    <row r="31" spans="2:5" ht="15.75">
      <c r="B31" s="319" t="s">
        <v>951</v>
      </c>
      <c r="C31" s="314">
        <f>150+32+61-1</f>
        <v>242</v>
      </c>
      <c r="D31" s="314">
        <v>300</v>
      </c>
      <c r="E31" s="171">
        <v>300</v>
      </c>
    </row>
    <row r="32" spans="2:5" ht="15.75">
      <c r="B32" s="319" t="s">
        <v>952</v>
      </c>
      <c r="C32" s="314">
        <f>430+220+230+230</f>
        <v>1110</v>
      </c>
      <c r="D32" s="314">
        <v>1100</v>
      </c>
      <c r="E32" s="171">
        <v>1100</v>
      </c>
    </row>
    <row r="33" spans="2:5" ht="15.75">
      <c r="B33" s="319" t="s">
        <v>953</v>
      </c>
      <c r="C33" s="314"/>
      <c r="D33" s="314"/>
      <c r="E33" s="171"/>
    </row>
    <row r="34" spans="2:10" ht="15.75">
      <c r="B34" s="319"/>
      <c r="C34" s="314"/>
      <c r="D34" s="314"/>
      <c r="E34" s="171"/>
      <c r="G34" s="512"/>
      <c r="H34" s="549"/>
      <c r="I34" s="554"/>
      <c r="J34" s="513"/>
    </row>
    <row r="35" spans="2:10" ht="15.75">
      <c r="B35" s="317" t="s">
        <v>192</v>
      </c>
      <c r="C35" s="314"/>
      <c r="D35" s="314"/>
      <c r="E35" s="171"/>
      <c r="G35" s="514" t="s">
        <v>737</v>
      </c>
      <c r="H35" s="554"/>
      <c r="I35" s="554"/>
      <c r="J35" s="515">
        <v>0</v>
      </c>
    </row>
    <row r="36" spans="2:10" ht="15.75">
      <c r="B36" s="317" t="s">
        <v>193</v>
      </c>
      <c r="C36" s="397">
        <f>IF(AND($C$35&gt;0,$C$8&gt;0),"Not Authorized","")</f>
      </c>
      <c r="D36" s="397">
        <f>IF(AND($D$35&gt;0,$D$8&gt;0),"Not Authorized","")</f>
      </c>
      <c r="E36" s="324">
        <f>IF(AND(E49&gt;0,$E$35&gt;0),"Not Authorized","")</f>
      </c>
      <c r="G36" s="512" t="s">
        <v>738</v>
      </c>
      <c r="H36" s="549"/>
      <c r="I36" s="549"/>
      <c r="J36" s="725">
        <f>IF(J35=0,"",ROUND((J35+E49-G48)/inputOth!E11*1000,3)-G53)</f>
      </c>
    </row>
    <row r="37" spans="2:10" ht="15.75">
      <c r="B37" s="80" t="s">
        <v>194</v>
      </c>
      <c r="C37" s="314"/>
      <c r="D37" s="314"/>
      <c r="E37" s="171"/>
      <c r="G37" s="726" t="str">
        <f>CONCATENATE("",E1," Tot Exp/Non-Appr Must Be:")</f>
        <v>2014 Tot Exp/Non-Appr Must Be:</v>
      </c>
      <c r="H37" s="544"/>
      <c r="I37" s="722"/>
      <c r="J37" s="727">
        <f>IF(J35&gt;0,IF(E46&lt;E17,IF(J35=G48,E46,((J35-G48)*(1-D48))+E17),E46+(J35-G48)),0)</f>
        <v>0</v>
      </c>
    </row>
    <row r="38" spans="2:10" ht="15.75">
      <c r="B38" s="80" t="s">
        <v>777</v>
      </c>
      <c r="C38" s="397">
        <f>IF(C21*0.25&lt;C37,"Exceeds 25%","")</f>
      </c>
      <c r="D38" s="397">
        <f>IF(D21*0.25&lt;D37,"Exceeds 25%","")</f>
      </c>
      <c r="E38" s="324">
        <f>IF(E21*0.25+E49&lt;E37,"Exceeds 25%","")</f>
      </c>
      <c r="G38" s="728" t="s">
        <v>867</v>
      </c>
      <c r="H38" s="729"/>
      <c r="I38" s="729"/>
      <c r="J38" s="730">
        <f>IF(J35&gt;0,J37-E46,0)</f>
        <v>0</v>
      </c>
    </row>
    <row r="39" spans="2:5" ht="15.75">
      <c r="B39" s="317" t="s">
        <v>234</v>
      </c>
      <c r="C39" s="314"/>
      <c r="D39" s="314"/>
      <c r="E39" s="182">
        <f>nhood!E6</f>
      </c>
    </row>
    <row r="40" spans="2:10" ht="15.75">
      <c r="B40" s="317" t="s">
        <v>232</v>
      </c>
      <c r="C40" s="314"/>
      <c r="D40" s="314"/>
      <c r="E40" s="171"/>
      <c r="G40" s="815" t="str">
        <f>CONCATENATE("Projected Carryover Into ",E1+1,"")</f>
        <v>Projected Carryover Into 2015</v>
      </c>
      <c r="H40" s="816"/>
      <c r="I40" s="816"/>
      <c r="J40" s="817"/>
    </row>
    <row r="41" spans="2:10" ht="15.75">
      <c r="B41" s="317" t="s">
        <v>734</v>
      </c>
      <c r="C41" s="397">
        <f>IF(C42*0.1&lt;C40,"Exceed 10% Rule","")</f>
      </c>
      <c r="D41" s="397">
        <f>IF(D42*0.1&lt;D40,"Exceed 10% Rule","")</f>
      </c>
      <c r="E41" s="324">
        <f>IF(E42*0.1&lt;E40,"Exceed 10% Rule","")</f>
      </c>
      <c r="G41" s="548"/>
      <c r="H41" s="549"/>
      <c r="I41" s="549"/>
      <c r="J41" s="550"/>
    </row>
    <row r="42" spans="2:10" ht="15.75">
      <c r="B42" s="98" t="s">
        <v>290</v>
      </c>
      <c r="C42" s="398">
        <f>SUM(C23:C35,C37,C39:C40)</f>
        <v>2865</v>
      </c>
      <c r="D42" s="398">
        <f>SUM(D23:D35,D37,D39:D40)</f>
        <v>5100</v>
      </c>
      <c r="E42" s="323">
        <f>SUM(E23:E35,E39:E40,E37)</f>
        <v>5290</v>
      </c>
      <c r="G42" s="551">
        <f>D43</f>
        <v>2879</v>
      </c>
      <c r="H42" s="552" t="str">
        <f>CONCATENATE("",E1-1," Ending Cash Balance (est.)")</f>
        <v>2013 Ending Cash Balance (est.)</v>
      </c>
      <c r="I42" s="553"/>
      <c r="J42" s="550"/>
    </row>
    <row r="43" spans="2:10" ht="15.75">
      <c r="B43" s="80" t="s">
        <v>71</v>
      </c>
      <c r="C43" s="399">
        <f>C21-C42</f>
        <v>1689</v>
      </c>
      <c r="D43" s="399">
        <f>D21-D42</f>
        <v>2879</v>
      </c>
      <c r="E43" s="316" t="s">
        <v>259</v>
      </c>
      <c r="G43" s="551">
        <f>E20</f>
        <v>692</v>
      </c>
      <c r="H43" s="554" t="str">
        <f>CONCATENATE("",E1," Non-AV Receipts (est.)")</f>
        <v>2014 Non-AV Receipts (est.)</v>
      </c>
      <c r="I43" s="553"/>
      <c r="J43" s="550"/>
    </row>
    <row r="44" spans="2:11" ht="15.75">
      <c r="B44" s="117" t="str">
        <f>CONCATENATE("",E1-2,"/",E1-1," Budget Authority Amount:")</f>
        <v>2012/2013 Budget Authority Amount:</v>
      </c>
      <c r="C44" s="339">
        <f>inputOth!B83</f>
        <v>4694</v>
      </c>
      <c r="D44" s="68">
        <f>inputPrYr!D20</f>
        <v>6290</v>
      </c>
      <c r="E44" s="316" t="s">
        <v>259</v>
      </c>
      <c r="F44" s="325"/>
      <c r="G44" s="555">
        <f>IF(D48&gt;0,E47,E49)</f>
        <v>1719</v>
      </c>
      <c r="H44" s="554" t="str">
        <f>CONCATENATE("",E1," Ad Valorem Tax (est.)")</f>
        <v>2014 Ad Valorem Tax (est.)</v>
      </c>
      <c r="I44" s="553"/>
      <c r="J44" s="550"/>
      <c r="K44" s="731">
        <f>IF(G44=E49,"","Note: Does not include Delinquent Taxes")</f>
      </c>
    </row>
    <row r="45" spans="2:10" ht="15.75">
      <c r="B45" s="117"/>
      <c r="C45" s="809" t="s">
        <v>731</v>
      </c>
      <c r="D45" s="810"/>
      <c r="E45" s="171"/>
      <c r="F45" s="325">
        <f>IF(E42/0.95-E42&lt;E45,"Exceeds 5%","")</f>
      </c>
      <c r="G45" s="551">
        <f>SUM(G42:G44)</f>
        <v>5290</v>
      </c>
      <c r="H45" s="554" t="str">
        <f>CONCATENATE("Total ",E1," Resources Available")</f>
        <v>Total 2014 Resources Available</v>
      </c>
      <c r="I45" s="553"/>
      <c r="J45" s="550"/>
    </row>
    <row r="46" spans="2:10" ht="15.75">
      <c r="B46" s="504" t="str">
        <f>CONCATENATE(C66,"      ",D66)</f>
        <v>      </v>
      </c>
      <c r="C46" s="811" t="s">
        <v>732</v>
      </c>
      <c r="D46" s="812"/>
      <c r="E46" s="262">
        <f>E42+E45</f>
        <v>5290</v>
      </c>
      <c r="G46" s="556"/>
      <c r="H46" s="554"/>
      <c r="I46" s="554"/>
      <c r="J46" s="550"/>
    </row>
    <row r="47" spans="2:10" ht="15.75">
      <c r="B47" s="504" t="str">
        <f>CONCATENATE(C67,"       ",D67)</f>
        <v>       </v>
      </c>
      <c r="C47" s="507"/>
      <c r="D47" s="506" t="s">
        <v>292</v>
      </c>
      <c r="E47" s="182">
        <f>IF(E46-E21&gt;0,E46-E21,0)</f>
        <v>1719</v>
      </c>
      <c r="G47" s="555">
        <f>ROUND(C42*0.05+C42,0)</f>
        <v>3008</v>
      </c>
      <c r="H47" s="554" t="str">
        <f>CONCATENATE("Less ",E1-2," Expenditures + 5%")</f>
        <v>Less 2012 Expenditures + 5%</v>
      </c>
      <c r="I47" s="553"/>
      <c r="J47" s="550"/>
    </row>
    <row r="48" spans="2:10" ht="15.75">
      <c r="B48" s="211"/>
      <c r="C48" s="505" t="s">
        <v>733</v>
      </c>
      <c r="D48" s="724">
        <f>inputOth!$E$77</f>
        <v>0</v>
      </c>
      <c r="E48" s="262">
        <f>ROUND(IF(D48&gt;0,(E47*D48),0),0)</f>
        <v>0</v>
      </c>
      <c r="G48" s="557">
        <f>G45-G47</f>
        <v>2282</v>
      </c>
      <c r="H48" s="558" t="str">
        <f>CONCATENATE("Projected ",E1+1," Carryover (est.)")</f>
        <v>Projected 2015 Carryover (est.)</v>
      </c>
      <c r="I48" s="559"/>
      <c r="J48" s="560"/>
    </row>
    <row r="49" spans="2:5" ht="15.75">
      <c r="B49" s="65"/>
      <c r="C49" s="813" t="str">
        <f>CONCATENATE("Amount of  ",$E$1-1," Ad Valorem Tax")</f>
        <v>Amount of  2013 Ad Valorem Tax</v>
      </c>
      <c r="D49" s="814"/>
      <c r="E49" s="182">
        <f>E47+E48</f>
        <v>1719</v>
      </c>
    </row>
    <row r="50" spans="2:10" ht="15.75">
      <c r="B50" s="65"/>
      <c r="C50" s="65"/>
      <c r="D50" s="65"/>
      <c r="E50" s="65"/>
      <c r="G50" s="818" t="s">
        <v>868</v>
      </c>
      <c r="H50" s="819"/>
      <c r="I50" s="819"/>
      <c r="J50" s="820"/>
    </row>
    <row r="51" spans="2:11" s="327" customFormat="1" ht="15.75">
      <c r="B51" s="71"/>
      <c r="C51" s="71"/>
      <c r="D51" s="269"/>
      <c r="E51" s="71"/>
      <c r="G51" s="732"/>
      <c r="H51" s="552"/>
      <c r="I51" s="723"/>
      <c r="J51" s="733"/>
      <c r="K51" s="156"/>
    </row>
    <row r="52" spans="2:11" s="328" customFormat="1" ht="15.75">
      <c r="B52" s="65"/>
      <c r="C52" s="65"/>
      <c r="D52" s="190"/>
      <c r="E52" s="65"/>
      <c r="G52" s="734">
        <f>summ!H18</f>
        <v>0.281</v>
      </c>
      <c r="H52" s="552" t="str">
        <f>CONCATENATE("",E1," Fund Mill Rate")</f>
        <v>2014 Fund Mill Rate</v>
      </c>
      <c r="I52" s="723"/>
      <c r="J52" s="733"/>
      <c r="K52" s="156"/>
    </row>
    <row r="53" spans="2:10" ht="15.75">
      <c r="B53" s="211" t="s">
        <v>273</v>
      </c>
      <c r="C53" s="376">
        <v>6</v>
      </c>
      <c r="D53" s="65"/>
      <c r="E53" s="65"/>
      <c r="G53" s="735">
        <f>summ!E18</f>
        <v>1.069</v>
      </c>
      <c r="H53" s="552" t="str">
        <f>CONCATENATE("",E1-1," Fund Mill Rate")</f>
        <v>2013 Fund Mill Rate</v>
      </c>
      <c r="I53" s="723"/>
      <c r="J53" s="733"/>
    </row>
    <row r="54" spans="7:10" ht="15.75">
      <c r="G54" s="736">
        <f>summ!H24</f>
        <v>12.978</v>
      </c>
      <c r="H54" s="552" t="str">
        <f>CONCATENATE("Total ",E1," Mill Rate")</f>
        <v>Total 2014 Mill Rate</v>
      </c>
      <c r="I54" s="723"/>
      <c r="J54" s="733"/>
    </row>
    <row r="55" spans="2:10" ht="15.75">
      <c r="B55" s="109"/>
      <c r="G55" s="735">
        <f>summ!E24</f>
        <v>14.169999999999998</v>
      </c>
      <c r="H55" s="737" t="str">
        <f>CONCATENATE("Total ",E1-1," Mill Rate")</f>
        <v>Total 2013 Mill Rate</v>
      </c>
      <c r="I55" s="738"/>
      <c r="J55" s="739"/>
    </row>
    <row r="66" spans="3:4" ht="15.75" hidden="1">
      <c r="C66" s="156">
        <f>IF(C42&gt;C44,"See Tab A","")</f>
      </c>
      <c r="D66" s="156">
        <f>IF(D42&gt;D44,"See Tab C","")</f>
      </c>
    </row>
    <row r="67" spans="3:4" ht="15.75" hidden="1">
      <c r="C67" s="156">
        <f>IF(C43&lt;0,"See Tab B","")</f>
      </c>
      <c r="D67" s="156">
        <f>IF(D43&lt;0,"See Tab D","")</f>
      </c>
    </row>
  </sheetData>
  <sheetProtection/>
  <mergeCells count="5">
    <mergeCell ref="C45:D45"/>
    <mergeCell ref="C46:D46"/>
    <mergeCell ref="C49:D49"/>
    <mergeCell ref="G40:J40"/>
    <mergeCell ref="G50:J50"/>
  </mergeCells>
  <conditionalFormatting sqref="C18">
    <cfRule type="cellIs" priority="2" dxfId="173" operator="greaterThan" stopIfTrue="1">
      <formula>$C$20*0.1</formula>
    </cfRule>
  </conditionalFormatting>
  <conditionalFormatting sqref="D18">
    <cfRule type="cellIs" priority="3" dxfId="173" operator="greaterThan" stopIfTrue="1">
      <formula>$D$20*0.1</formula>
    </cfRule>
  </conditionalFormatting>
  <conditionalFormatting sqref="E45">
    <cfRule type="cellIs" priority="4" dxfId="173" operator="greaterThan" stopIfTrue="1">
      <formula>$E$42/0.95-$E$42</formula>
    </cfRule>
  </conditionalFormatting>
  <conditionalFormatting sqref="E40">
    <cfRule type="cellIs" priority="5" dxfId="173" operator="greaterThan" stopIfTrue="1">
      <formula>$E$42*0.1</formula>
    </cfRule>
  </conditionalFormatting>
  <conditionalFormatting sqref="D40">
    <cfRule type="cellIs" priority="6" dxfId="173" operator="greaterThan" stopIfTrue="1">
      <formula>$D$42*0.1</formula>
    </cfRule>
  </conditionalFormatting>
  <conditionalFormatting sqref="C40">
    <cfRule type="cellIs" priority="7" dxfId="173" operator="greaterThan" stopIfTrue="1">
      <formula>$C$42*0.1</formula>
    </cfRule>
  </conditionalFormatting>
  <conditionalFormatting sqref="C42">
    <cfRule type="cellIs" priority="8" dxfId="173" operator="greaterThan" stopIfTrue="1">
      <formula>$C$44</formula>
    </cfRule>
  </conditionalFormatting>
  <conditionalFormatting sqref="C43">
    <cfRule type="cellIs" priority="9" dxfId="173" operator="lessThan" stopIfTrue="1">
      <formula>0</formula>
    </cfRule>
  </conditionalFormatting>
  <conditionalFormatting sqref="D42">
    <cfRule type="cellIs" priority="10" dxfId="1" operator="greaterThan" stopIfTrue="1">
      <formula>$D$44</formula>
    </cfRule>
  </conditionalFormatting>
  <conditionalFormatting sqref="C37">
    <cfRule type="cellIs" priority="11" dxfId="173" operator="greaterThan" stopIfTrue="1">
      <formula>$C$21*0.25</formula>
    </cfRule>
  </conditionalFormatting>
  <conditionalFormatting sqref="D37">
    <cfRule type="cellIs" priority="12" dxfId="173" operator="greaterThan" stopIfTrue="1">
      <formula>$D$21*0.25</formula>
    </cfRule>
  </conditionalFormatting>
  <conditionalFormatting sqref="D35">
    <cfRule type="expression" priority="13" dxfId="173" stopIfTrue="1">
      <formula>$D$8&gt;0</formula>
    </cfRule>
  </conditionalFormatting>
  <conditionalFormatting sqref="C35">
    <cfRule type="expression" priority="15" dxfId="173" stopIfTrue="1">
      <formula>$C$8&gt;0</formula>
    </cfRule>
  </conditionalFormatting>
  <conditionalFormatting sqref="E37">
    <cfRule type="cellIs" priority="16" dxfId="173" operator="greaterThan" stopIfTrue="1">
      <formula>$E$21*0.25+$E$49</formula>
    </cfRule>
  </conditionalFormatting>
  <conditionalFormatting sqref="E35">
    <cfRule type="expression" priority="17" dxfId="173" stopIfTrue="1">
      <formula>$E$49&gt;0</formula>
    </cfRule>
  </conditionalFormatting>
  <conditionalFormatting sqref="D43">
    <cfRule type="cellIs" priority="1" dxfId="0" operator="lessThan" stopIfTrue="1">
      <formula>0</formula>
    </cfRule>
  </conditionalFormatting>
  <conditionalFormatting sqref="E18">
    <cfRule type="cellIs" priority="20" dxfId="173" operator="greaterThan" stopIfTrue="1">
      <formula>$E$20*0.1+$E$49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Q71"/>
  <sheetViews>
    <sheetView zoomScale="70" zoomScaleNormal="70" zoomScalePageLayoutView="0" workbookViewId="0" topLeftCell="A29">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Padonia Township</v>
      </c>
      <c r="C1" s="65"/>
      <c r="D1" s="65"/>
      <c r="E1" s="226">
        <f>inputPrYr!D9</f>
        <v>2014</v>
      </c>
    </row>
    <row r="2" spans="2:5" ht="15.75">
      <c r="B2" s="547" t="s">
        <v>771</v>
      </c>
      <c r="C2" s="65"/>
      <c r="D2" s="208"/>
      <c r="E2" s="67"/>
    </row>
    <row r="3" spans="2:5" ht="15.75">
      <c r="B3" s="72" t="s">
        <v>274</v>
      </c>
      <c r="C3" s="70"/>
      <c r="D3" s="70"/>
      <c r="E3" s="70"/>
    </row>
    <row r="4" spans="2:5" ht="15.75">
      <c r="B4" s="65"/>
      <c r="C4" s="393" t="s">
        <v>275</v>
      </c>
      <c r="D4" s="396" t="s">
        <v>276</v>
      </c>
      <c r="E4" s="74" t="s">
        <v>277</v>
      </c>
    </row>
    <row r="5" spans="2:5" ht="15.75">
      <c r="B5" s="489" t="str">
        <f>inputPrYr!B23</f>
        <v>Road</v>
      </c>
      <c r="C5" s="394" t="str">
        <f>gen!C5</f>
        <v>Actual for 2012</v>
      </c>
      <c r="D5" s="394" t="str">
        <f>gen!D5</f>
        <v>Estimate for 2013</v>
      </c>
      <c r="E5" s="79" t="str">
        <f>gen!E5</f>
        <v>Year for 2014</v>
      </c>
    </row>
    <row r="6" spans="2:5" ht="15.75">
      <c r="B6" s="80" t="s">
        <v>70</v>
      </c>
      <c r="C6" s="314">
        <v>0</v>
      </c>
      <c r="D6" s="395">
        <f>C42</f>
        <v>1272</v>
      </c>
      <c r="E6" s="262">
        <f>D42</f>
        <v>552</v>
      </c>
    </row>
    <row r="7" spans="2:5" ht="15.75">
      <c r="B7" s="80" t="s">
        <v>72</v>
      </c>
      <c r="C7" s="395"/>
      <c r="D7" s="395"/>
      <c r="E7" s="316"/>
    </row>
    <row r="8" spans="2:5" ht="15.75">
      <c r="B8" s="80" t="s">
        <v>280</v>
      </c>
      <c r="C8" s="314">
        <v>76435</v>
      </c>
      <c r="D8" s="395">
        <f>IF(inputPrYr!H19&gt;0,inputPrYr!G23,inputPrYr!E23)</f>
        <v>69758</v>
      </c>
      <c r="E8" s="316" t="s">
        <v>259</v>
      </c>
    </row>
    <row r="9" spans="2:5" ht="15.75">
      <c r="B9" s="80" t="s">
        <v>281</v>
      </c>
      <c r="C9" s="314"/>
      <c r="D9" s="314"/>
      <c r="E9" s="171"/>
    </row>
    <row r="10" spans="2:5" ht="15.75">
      <c r="B10" s="80" t="s">
        <v>282</v>
      </c>
      <c r="C10" s="314"/>
      <c r="D10" s="314">
        <v>4039</v>
      </c>
      <c r="E10" s="262">
        <f>mvalloc!G14</f>
        <v>6542</v>
      </c>
    </row>
    <row r="11" spans="2:5" ht="15.75">
      <c r="B11" s="80" t="s">
        <v>283</v>
      </c>
      <c r="C11" s="314"/>
      <c r="D11" s="314">
        <v>94</v>
      </c>
      <c r="E11" s="262">
        <f>mvalloc!I14</f>
        <v>81</v>
      </c>
    </row>
    <row r="12" spans="2:5" ht="15.75">
      <c r="B12" s="80" t="s">
        <v>51</v>
      </c>
      <c r="C12" s="314"/>
      <c r="D12" s="314">
        <v>1370</v>
      </c>
      <c r="E12" s="262">
        <f>mvalloc!J14</f>
        <v>1493</v>
      </c>
    </row>
    <row r="13" spans="2:5" ht="15.75">
      <c r="B13" s="80" t="s">
        <v>52</v>
      </c>
      <c r="C13" s="314"/>
      <c r="D13" s="314">
        <v>3369</v>
      </c>
      <c r="E13" s="262">
        <f>inputOth!E72</f>
        <v>3279</v>
      </c>
    </row>
    <row r="14" spans="2:5" ht="15.75">
      <c r="B14" s="319" t="s">
        <v>956</v>
      </c>
      <c r="C14" s="314">
        <v>68</v>
      </c>
      <c r="D14" s="314"/>
      <c r="E14" s="171"/>
    </row>
    <row r="15" spans="2:5" ht="15.75">
      <c r="B15" s="319" t="s">
        <v>957</v>
      </c>
      <c r="C15" s="314"/>
      <c r="D15" s="314"/>
      <c r="E15" s="171"/>
    </row>
    <row r="16" spans="2:5" ht="15.75">
      <c r="B16" s="319" t="s">
        <v>958</v>
      </c>
      <c r="C16" s="314"/>
      <c r="D16" s="314"/>
      <c r="E16" s="171"/>
    </row>
    <row r="17" spans="2:5" ht="15.75">
      <c r="B17" s="319"/>
      <c r="C17" s="314"/>
      <c r="D17" s="314"/>
      <c r="E17" s="171"/>
    </row>
    <row r="18" spans="2:5" ht="15.75">
      <c r="B18" s="319" t="s">
        <v>286</v>
      </c>
      <c r="C18" s="314"/>
      <c r="D18" s="314"/>
      <c r="E18" s="171"/>
    </row>
    <row r="19" spans="2:5" ht="15.75">
      <c r="B19" s="320" t="s">
        <v>232</v>
      </c>
      <c r="C19" s="314"/>
      <c r="D19" s="314"/>
      <c r="E19" s="171"/>
    </row>
    <row r="20" spans="2:5" ht="15.75">
      <c r="B20" s="320" t="s">
        <v>233</v>
      </c>
      <c r="C20" s="397">
        <f>IF(C21*0.1&lt;C19,"Exceed 10% Rule","")</f>
      </c>
      <c r="D20" s="397">
        <f>IF(D21*0.1&lt;D19,"Exceed 10% Rule","")</f>
      </c>
      <c r="E20" s="324">
        <f>IF(E21*0.1+E48&lt;E19,"Exceed 10% Rule","")</f>
      </c>
    </row>
    <row r="21" spans="2:5" ht="15.75">
      <c r="B21" s="322" t="s">
        <v>287</v>
      </c>
      <c r="C21" s="398">
        <f>SUM(C8:C19)</f>
        <v>76503</v>
      </c>
      <c r="D21" s="398">
        <f>SUM(D8:D19)</f>
        <v>78630</v>
      </c>
      <c r="E21" s="323">
        <f>SUM(E8:E19)</f>
        <v>11395</v>
      </c>
    </row>
    <row r="22" spans="2:5" ht="15.75">
      <c r="B22" s="98" t="s">
        <v>288</v>
      </c>
      <c r="C22" s="398">
        <f>C21+C6</f>
        <v>76503</v>
      </c>
      <c r="D22" s="398">
        <f>D21+D6</f>
        <v>79902</v>
      </c>
      <c r="E22" s="323">
        <f>E21+E6</f>
        <v>11947</v>
      </c>
    </row>
    <row r="23" spans="2:8" ht="15.75">
      <c r="B23" s="80" t="s">
        <v>289</v>
      </c>
      <c r="C23" s="395"/>
      <c r="D23" s="395"/>
      <c r="E23" s="262"/>
      <c r="H23" s="156">
        <v>6402.61</v>
      </c>
    </row>
    <row r="24" spans="2:12" ht="15.75">
      <c r="B24" s="319"/>
      <c r="C24" s="314"/>
      <c r="D24" s="314"/>
      <c r="E24" s="171"/>
      <c r="H24" s="156">
        <v>10843.39</v>
      </c>
      <c r="L24" s="156" t="s">
        <v>974</v>
      </c>
    </row>
    <row r="25" spans="2:15" ht="15.75">
      <c r="B25" s="319" t="s">
        <v>53</v>
      </c>
      <c r="C25" s="314">
        <f>450+450+225+450+375+525+225</f>
        <v>2700</v>
      </c>
      <c r="D25" s="314">
        <v>2700</v>
      </c>
      <c r="E25" s="171">
        <v>2700</v>
      </c>
      <c r="H25" s="156">
        <v>6164.82</v>
      </c>
      <c r="L25" s="156" t="s">
        <v>973</v>
      </c>
      <c r="M25" s="156" t="s">
        <v>300</v>
      </c>
      <c r="N25" s="156" t="s">
        <v>80</v>
      </c>
      <c r="O25" s="156" t="s">
        <v>955</v>
      </c>
    </row>
    <row r="26" spans="2:15" ht="15.75">
      <c r="B26" s="319" t="s">
        <v>77</v>
      </c>
      <c r="C26" s="314">
        <f>3620+1810+3620+1810+3620+1809+3619</f>
        <v>19908</v>
      </c>
      <c r="D26" s="314">
        <v>22000</v>
      </c>
      <c r="E26" s="171">
        <v>22000</v>
      </c>
      <c r="H26" s="156">
        <v>12279.32</v>
      </c>
      <c r="L26" s="156">
        <v>15.07</v>
      </c>
      <c r="M26" s="156">
        <v>278.6</v>
      </c>
      <c r="O26" s="156">
        <v>730.32</v>
      </c>
    </row>
    <row r="27" spans="2:17" ht="15.75">
      <c r="B27" s="318" t="s">
        <v>54</v>
      </c>
      <c r="C27" s="314">
        <f>2058+526+1287+526+767+1052+1819</f>
        <v>8035</v>
      </c>
      <c r="D27" s="314">
        <v>10000</v>
      </c>
      <c r="E27" s="171">
        <v>10000</v>
      </c>
      <c r="H27" s="156">
        <v>11909.17</v>
      </c>
      <c r="L27" s="156">
        <v>49</v>
      </c>
      <c r="N27" s="156">
        <v>61</v>
      </c>
      <c r="Q27" s="750">
        <f>SUM(L26:O27)</f>
        <v>1133.99</v>
      </c>
    </row>
    <row r="28" spans="2:13" ht="15.75">
      <c r="B28" s="319" t="s">
        <v>79</v>
      </c>
      <c r="C28" s="314"/>
      <c r="D28" s="314">
        <v>7000</v>
      </c>
      <c r="E28" s="171">
        <v>7000</v>
      </c>
      <c r="H28" s="156">
        <v>7854.31</v>
      </c>
      <c r="L28" s="156">
        <v>23.82</v>
      </c>
      <c r="M28" s="156">
        <v>141.88</v>
      </c>
    </row>
    <row r="29" spans="2:15" ht="15.75">
      <c r="B29" s="319" t="s">
        <v>57</v>
      </c>
      <c r="C29" s="314">
        <f>2559+954+1148+2575+835+5310</f>
        <v>13381</v>
      </c>
      <c r="D29" s="314">
        <v>14150</v>
      </c>
      <c r="E29" s="171">
        <f>72002-58253</f>
        <v>13749</v>
      </c>
      <c r="G29" s="156">
        <f>78455-4734-1719</f>
        <v>72002</v>
      </c>
      <c r="H29" s="156">
        <v>19777.7</v>
      </c>
      <c r="L29" s="156">
        <v>282.16</v>
      </c>
      <c r="M29" s="156">
        <v>31.65</v>
      </c>
      <c r="O29" s="156">
        <v>434.39</v>
      </c>
    </row>
    <row r="30" spans="2:5" ht="15.75">
      <c r="B30" s="319" t="s">
        <v>975</v>
      </c>
      <c r="C30" s="314">
        <f>1022+882+2109+4426+920+1033+2</f>
        <v>10394</v>
      </c>
      <c r="D30" s="314"/>
      <c r="E30" s="171"/>
    </row>
    <row r="31" spans="2:13" ht="15.75">
      <c r="B31" s="319" t="s">
        <v>954</v>
      </c>
      <c r="C31" s="314">
        <v>3033</v>
      </c>
      <c r="D31" s="314">
        <v>7000</v>
      </c>
      <c r="E31" s="171">
        <v>8000</v>
      </c>
      <c r="H31" s="156">
        <f>SUM(H23:H29)</f>
        <v>75231.31999999999</v>
      </c>
      <c r="L31" s="156">
        <v>54.47</v>
      </c>
      <c r="M31" s="156">
        <v>560</v>
      </c>
    </row>
    <row r="32" spans="2:17" ht="15.75">
      <c r="B32" s="319" t="s">
        <v>80</v>
      </c>
      <c r="C32" s="314">
        <f>61+61+8687</f>
        <v>8809</v>
      </c>
      <c r="D32" s="314">
        <v>9000</v>
      </c>
      <c r="E32" s="171">
        <v>9000</v>
      </c>
      <c r="L32" s="156">
        <v>15</v>
      </c>
      <c r="Q32" s="156">
        <f>SUM(L28:O32)</f>
        <v>1543.37</v>
      </c>
    </row>
    <row r="33" spans="2:15" ht="15.75">
      <c r="B33" s="319" t="s">
        <v>955</v>
      </c>
      <c r="C33" s="314">
        <f>730+434+2004+787+280</f>
        <v>4235</v>
      </c>
      <c r="D33" s="314">
        <v>7500</v>
      </c>
      <c r="E33" s="171">
        <v>7500</v>
      </c>
      <c r="G33" s="815" t="str">
        <f>CONCATENATE("Desired Carryover Into ",E1+1,"")</f>
        <v>Desired Carryover Into 2015</v>
      </c>
      <c r="H33" s="816"/>
      <c r="I33" s="816"/>
      <c r="J33" s="817"/>
      <c r="L33" s="156">
        <v>103.48</v>
      </c>
      <c r="M33" s="156">
        <v>40</v>
      </c>
      <c r="O33" s="156">
        <v>2004.28</v>
      </c>
    </row>
    <row r="34" spans="2:17" ht="15.75">
      <c r="B34" s="319" t="s">
        <v>300</v>
      </c>
      <c r="C34" s="314">
        <v>4736</v>
      </c>
      <c r="D34" s="314"/>
      <c r="E34" s="171">
        <v>4000</v>
      </c>
      <c r="G34" s="512"/>
      <c r="H34" s="549"/>
      <c r="I34" s="554"/>
      <c r="J34" s="513"/>
      <c r="L34" s="156">
        <v>887.14</v>
      </c>
      <c r="M34" s="156">
        <v>69.63</v>
      </c>
      <c r="O34" s="156">
        <v>786.54</v>
      </c>
      <c r="Q34" s="156">
        <f>SUM(L33:O34)</f>
        <v>3891.07</v>
      </c>
    </row>
    <row r="35" spans="2:13" ht="15.75">
      <c r="B35" s="318"/>
      <c r="C35" s="314" t="s">
        <v>301</v>
      </c>
      <c r="D35" s="314"/>
      <c r="E35" s="171"/>
      <c r="G35" s="512" t="s">
        <v>738</v>
      </c>
      <c r="H35" s="549"/>
      <c r="I35" s="549"/>
      <c r="J35" s="725" t="e">
        <f>IF(#REF!=0,"",ROUND((#REF!+E48-G47)/inputOth!E11*1000,3)-G52)</f>
        <v>#REF!</v>
      </c>
      <c r="L35" s="156">
        <v>118.34</v>
      </c>
      <c r="M35" s="156">
        <v>491.25</v>
      </c>
    </row>
    <row r="36" spans="2:13" ht="15.75">
      <c r="B36" s="80" t="s">
        <v>56</v>
      </c>
      <c r="C36" s="314"/>
      <c r="D36" s="314"/>
      <c r="E36" s="171"/>
      <c r="G36" s="726" t="str">
        <f>CONCATENATE("",E1," Tot Exp/Non-Appr Must Be:")</f>
        <v>2014 Tot Exp/Non-Appr Must Be:</v>
      </c>
      <c r="H36" s="544"/>
      <c r="I36" s="722"/>
      <c r="J36" s="727" t="e">
        <f>IF(#REF!&gt;0,IF(E45&lt;E22,IF(#REF!=G47,E45,((#REF!-G47)*(1-D47))+E22),E45+(#REF!-G47)),0)</f>
        <v>#REF!</v>
      </c>
      <c r="L36" s="156">
        <v>181.18</v>
      </c>
      <c r="M36" s="156">
        <v>262.76</v>
      </c>
    </row>
    <row r="37" spans="2:13" ht="15.75">
      <c r="B37" s="80" t="s">
        <v>739</v>
      </c>
      <c r="C37" s="397">
        <f>IF(C22*0.25&lt;C36,"Exceeds 25%","")</f>
      </c>
      <c r="D37" s="397">
        <f>IF(D22*0.25&lt;D36,"Exceeds 25%","")</f>
      </c>
      <c r="E37" s="324">
        <f>IF(E22*0.25+E48&lt;E36,"Exceeds 25%","")</f>
      </c>
      <c r="G37" s="728" t="s">
        <v>867</v>
      </c>
      <c r="H37" s="729"/>
      <c r="I37" s="729"/>
      <c r="J37" s="730" t="e">
        <f>IF(#REF!&gt;0,J36-E45,0)</f>
        <v>#REF!</v>
      </c>
      <c r="M37" s="156">
        <v>531</v>
      </c>
    </row>
    <row r="38" spans="2:17" ht="15.75">
      <c r="B38" s="317" t="s">
        <v>234</v>
      </c>
      <c r="C38" s="314"/>
      <c r="D38" s="314"/>
      <c r="E38" s="182">
        <f>nhood!E9</f>
      </c>
      <c r="L38" s="156">
        <v>388.33</v>
      </c>
      <c r="M38" s="156">
        <v>148.55</v>
      </c>
      <c r="Q38" s="156">
        <f>SUM(L35:O38)</f>
        <v>2121.41</v>
      </c>
    </row>
    <row r="39" spans="2:15" ht="15.75">
      <c r="B39" s="317" t="s">
        <v>232</v>
      </c>
      <c r="C39" s="314"/>
      <c r="D39" s="314"/>
      <c r="E39" s="171"/>
      <c r="G39" s="815" t="str">
        <f>CONCATENATE("Projected Carryover Into ",E1+1,"")</f>
        <v>Projected Carryover Into 2015</v>
      </c>
      <c r="H39" s="816"/>
      <c r="I39" s="816"/>
      <c r="J39" s="817"/>
      <c r="L39" s="156">
        <v>270</v>
      </c>
      <c r="M39" s="156">
        <v>200.25</v>
      </c>
      <c r="O39" s="156">
        <v>279.51</v>
      </c>
    </row>
    <row r="40" spans="2:12" ht="15.75">
      <c r="B40" s="317" t="s">
        <v>734</v>
      </c>
      <c r="C40" s="397">
        <f>IF(C41*0.1&lt;C39,"Exceed 10% Rule","")</f>
      </c>
      <c r="D40" s="397">
        <f>IF(D41*0.1&lt;D39,"Exceed 10% Rule","")</f>
      </c>
      <c r="E40" s="324">
        <f>IF(E41*0.1&lt;E39,"Exceed 10% Rule","")</f>
      </c>
      <c r="G40" s="548"/>
      <c r="H40" s="549"/>
      <c r="I40" s="549"/>
      <c r="J40" s="550"/>
      <c r="L40" s="156">
        <v>81.34</v>
      </c>
    </row>
    <row r="41" spans="2:12" ht="15.75">
      <c r="B41" s="98" t="s">
        <v>290</v>
      </c>
      <c r="C41" s="398">
        <f>SUM(C24:C39)</f>
        <v>75231</v>
      </c>
      <c r="D41" s="398">
        <f>SUM(D24:D39)</f>
        <v>79350</v>
      </c>
      <c r="E41" s="323">
        <f>SUM(E24:E36,E39)</f>
        <v>83949</v>
      </c>
      <c r="G41" s="551">
        <f>D42</f>
        <v>552</v>
      </c>
      <c r="H41" s="552" t="str">
        <f>CONCATENATE("",E1-1," Ending Cash Balance (est.)")</f>
        <v>2013 Ending Cash Balance (est.)</v>
      </c>
      <c r="I41" s="553"/>
      <c r="J41" s="550"/>
      <c r="L41" s="156">
        <v>40</v>
      </c>
    </row>
    <row r="42" spans="2:13" ht="15.75">
      <c r="B42" s="80" t="s">
        <v>71</v>
      </c>
      <c r="C42" s="399">
        <f>C22-C41</f>
        <v>1272</v>
      </c>
      <c r="D42" s="399">
        <f>D22-D41</f>
        <v>552</v>
      </c>
      <c r="E42" s="316" t="s">
        <v>259</v>
      </c>
      <c r="G42" s="551">
        <f>E21</f>
        <v>11395</v>
      </c>
      <c r="H42" s="554" t="str">
        <f>CONCATENATE("",E1," Non-AV Receipts (est.)")</f>
        <v>2014 Non-AV Receipts (est.)</v>
      </c>
      <c r="I42" s="553"/>
      <c r="J42" s="550"/>
      <c r="L42" s="156">
        <v>30</v>
      </c>
      <c r="M42" s="156">
        <v>538.47</v>
      </c>
    </row>
    <row r="43" spans="2:17" ht="15.75">
      <c r="B43" s="117" t="str">
        <f>CONCATENATE("",$E$1-2,"/",$E$1-1," Budget Authority Amount:")</f>
        <v>2012/2013 Budget Authority Amount:</v>
      </c>
      <c r="C43" s="339">
        <f>inputOth!B86</f>
        <v>76800</v>
      </c>
      <c r="D43" s="83">
        <f>inputPrYr!D23</f>
        <v>79350</v>
      </c>
      <c r="E43" s="316" t="s">
        <v>259</v>
      </c>
      <c r="F43" s="325"/>
      <c r="G43" s="555">
        <f>IF(D47&gt;0,E46,E48)</f>
        <v>72002</v>
      </c>
      <c r="H43" s="554" t="str">
        <f>CONCATENATE("",E1," Ad Valorem Tax (est.)")</f>
        <v>2014 Ad Valorem Tax (est.)</v>
      </c>
      <c r="I43" s="553"/>
      <c r="J43" s="550"/>
      <c r="K43" s="731">
        <f>IF(G43=E48,"","Note: Does not include Delinquent Taxes")</f>
      </c>
      <c r="L43" s="156">
        <v>48.3</v>
      </c>
      <c r="Q43" s="156">
        <f>SUM(L39:O43)</f>
        <v>1487.8700000000001</v>
      </c>
    </row>
    <row r="44" spans="2:13" ht="15.75">
      <c r="B44" s="117"/>
      <c r="C44" s="809" t="s">
        <v>731</v>
      </c>
      <c r="D44" s="810"/>
      <c r="E44" s="171"/>
      <c r="F44" s="740">
        <f>IF(E41/0.95-E41&lt;E44,"Exceeds 5%","")</f>
      </c>
      <c r="G44" s="551">
        <f>SUM(G41:G43)</f>
        <v>83949</v>
      </c>
      <c r="H44" s="554" t="str">
        <f>CONCATENATE("Total ",E1," Resources Available")</f>
        <v>Total 2014 Resources Available</v>
      </c>
      <c r="I44" s="553"/>
      <c r="J44" s="550"/>
      <c r="L44" s="156">
        <v>201.32</v>
      </c>
      <c r="M44" s="156">
        <v>165</v>
      </c>
    </row>
    <row r="45" spans="2:14" ht="15.75">
      <c r="B45" s="504" t="str">
        <f>CONCATENATE(C70,"     ",D70)</f>
        <v>     </v>
      </c>
      <c r="C45" s="811" t="s">
        <v>732</v>
      </c>
      <c r="D45" s="812"/>
      <c r="E45" s="262">
        <f>E41+E44</f>
        <v>83949</v>
      </c>
      <c r="G45" s="556"/>
      <c r="H45" s="554"/>
      <c r="I45" s="554"/>
      <c r="J45" s="550"/>
      <c r="L45" s="156">
        <v>69</v>
      </c>
      <c r="M45" s="156">
        <v>391.9</v>
      </c>
      <c r="N45" s="156">
        <v>8687</v>
      </c>
    </row>
    <row r="46" spans="2:13" ht="15.75">
      <c r="B46" s="504" t="str">
        <f>CONCATENATE(C71,"     ",D71)</f>
        <v>     </v>
      </c>
      <c r="C46" s="507"/>
      <c r="D46" s="506" t="s">
        <v>292</v>
      </c>
      <c r="E46" s="182">
        <f>IF(E45-E22&gt;0,E45-E22,0)</f>
        <v>72002</v>
      </c>
      <c r="G46" s="555">
        <f>ROUND(C41*0.05+C41,0)</f>
        <v>78993</v>
      </c>
      <c r="H46" s="554" t="str">
        <f>CONCATENATE("Less ",E1-2," Expenditures + 5%")</f>
        <v>Less 2012 Expenditures + 5%</v>
      </c>
      <c r="I46" s="553"/>
      <c r="J46" s="550"/>
      <c r="M46" s="156">
        <v>123.43</v>
      </c>
    </row>
    <row r="47" spans="2:17" ht="15.75">
      <c r="B47" s="211"/>
      <c r="C47" s="505" t="s">
        <v>733</v>
      </c>
      <c r="D47" s="724">
        <f>inputOth!$E$77</f>
        <v>0</v>
      </c>
      <c r="E47" s="262">
        <f>ROUND(IF(D47&gt;0,(E46*D47),0),0)</f>
        <v>0</v>
      </c>
      <c r="G47" s="557">
        <f>G44-G46</f>
        <v>4956</v>
      </c>
      <c r="H47" s="558" t="str">
        <f>CONCATENATE("Projected ",E1+1," Carryover (est.)")</f>
        <v>Projected 2015 Carryover (est.)</v>
      </c>
      <c r="I47" s="559"/>
      <c r="J47" s="560"/>
      <c r="M47" s="156">
        <v>559.38</v>
      </c>
      <c r="Q47" s="156">
        <f>SUM(L44:O47)</f>
        <v>10197.029999999999</v>
      </c>
    </row>
    <row r="48" spans="2:12" ht="15.75">
      <c r="B48" s="65"/>
      <c r="C48" s="813" t="str">
        <f>CONCATENATE("Amount of  ",$E$1-1," Ad Valorem Tax")</f>
        <v>Amount of  2013 Ad Valorem Tax</v>
      </c>
      <c r="D48" s="814"/>
      <c r="E48" s="182">
        <f>E46+E47</f>
        <v>72002</v>
      </c>
      <c r="L48" s="156">
        <v>100.28</v>
      </c>
    </row>
    <row r="49" spans="2:17" ht="15.75">
      <c r="B49" s="65"/>
      <c r="C49" s="65"/>
      <c r="D49" s="65"/>
      <c r="E49" s="65"/>
      <c r="G49" s="818" t="s">
        <v>868</v>
      </c>
      <c r="H49" s="819"/>
      <c r="I49" s="819"/>
      <c r="J49" s="820"/>
      <c r="L49" s="156">
        <v>75</v>
      </c>
      <c r="M49" s="156">
        <v>202.25</v>
      </c>
      <c r="N49" s="156">
        <v>61</v>
      </c>
      <c r="Q49" s="156">
        <f>SUM(L48:O49)</f>
        <v>438.53</v>
      </c>
    </row>
    <row r="50" spans="2:10" ht="15.75">
      <c r="B50" s="65"/>
      <c r="C50" s="65"/>
      <c r="D50" s="65"/>
      <c r="E50" s="65"/>
      <c r="G50" s="732"/>
      <c r="H50" s="552"/>
      <c r="I50" s="723"/>
      <c r="J50" s="733"/>
    </row>
    <row r="51" spans="2:17" ht="15.75">
      <c r="B51" s="157" t="s">
        <v>294</v>
      </c>
      <c r="C51" s="205">
        <f>E1-2</f>
        <v>2012</v>
      </c>
      <c r="D51" s="65"/>
      <c r="E51" s="65"/>
      <c r="G51" s="734">
        <f>summ!H19</f>
        <v>11.914</v>
      </c>
      <c r="H51" s="552" t="str">
        <f>CONCATENATE("",E1," Fund Mill Rate")</f>
        <v>2014 Fund Mill Rate</v>
      </c>
      <c r="I51" s="723"/>
      <c r="J51" s="733"/>
      <c r="L51" s="750">
        <f>SUM(L26:L50)</f>
        <v>3033.2300000000005</v>
      </c>
      <c r="M51" s="156">
        <f>SUM(M26:M50)</f>
        <v>4736.000000000001</v>
      </c>
      <c r="N51" s="156">
        <f>SUM(N26:N50)</f>
        <v>8809</v>
      </c>
      <c r="O51" s="156">
        <f>SUM(O26:O50)</f>
        <v>4235.04</v>
      </c>
      <c r="Q51" s="156">
        <f>SUM(Q26:Q50)</f>
        <v>20813.269999999997</v>
      </c>
    </row>
    <row r="52" spans="2:16" ht="15.75">
      <c r="B52" s="77" t="s">
        <v>295</v>
      </c>
      <c r="C52" s="79" t="s">
        <v>296</v>
      </c>
      <c r="D52" s="65"/>
      <c r="E52" s="65"/>
      <c r="G52" s="735">
        <f>summ!E19</f>
        <v>12.738</v>
      </c>
      <c r="H52" s="552" t="str">
        <f>CONCATENATE("",E1-1," Fund Mill Rate")</f>
        <v>2013 Fund Mill Rate</v>
      </c>
      <c r="I52" s="723"/>
      <c r="J52" s="733"/>
      <c r="P52" s="156">
        <f>SUM(L51:O51)</f>
        <v>20813.270000000004</v>
      </c>
    </row>
    <row r="53" spans="2:10" ht="15.75">
      <c r="B53" s="105" t="s">
        <v>278</v>
      </c>
      <c r="C53" s="503">
        <v>343</v>
      </c>
      <c r="D53" s="65"/>
      <c r="E53" s="65"/>
      <c r="G53" s="736">
        <f>summ!H24</f>
        <v>12.978</v>
      </c>
      <c r="H53" s="552" t="str">
        <f>CONCATENATE("Total ",E1," Mill Rate")</f>
        <v>Total 2014 Mill Rate</v>
      </c>
      <c r="I53" s="723"/>
      <c r="J53" s="733"/>
    </row>
    <row r="54" spans="2:10" ht="15.75">
      <c r="B54" s="105" t="s">
        <v>297</v>
      </c>
      <c r="C54" s="339"/>
      <c r="D54" s="65"/>
      <c r="E54" s="65"/>
      <c r="G54" s="735">
        <f>summ!E24</f>
        <v>14.169999999999998</v>
      </c>
      <c r="H54" s="737" t="str">
        <f>CONCATENATE("Total ",E1-1," Mill Rate")</f>
        <v>Total 2013 Mill Rate</v>
      </c>
      <c r="I54" s="738"/>
      <c r="J54" s="739"/>
    </row>
    <row r="55" spans="2:5" ht="15.75">
      <c r="B55" s="105" t="s">
        <v>298</v>
      </c>
      <c r="C55" s="498">
        <f>IF(C36&gt;0,C36,0)</f>
        <v>0</v>
      </c>
      <c r="D55" s="330">
        <f>IF(C36&gt;(C22*0.25),"Exceeds 25% of Resources Available","")</f>
      </c>
      <c r="E55" s="65"/>
    </row>
    <row r="56" spans="2:5" ht="15.75">
      <c r="B56" s="105" t="s">
        <v>196</v>
      </c>
      <c r="C56" s="497">
        <f>IF(gen!C35&gt;0,gen!C35,0)</f>
        <v>0</v>
      </c>
      <c r="D56" s="821">
        <f>IF(AND(gen!C35&gt;0,gen!C37&gt;0),"Not Auth. Two General Transfers - Only One","")</f>
      </c>
      <c r="E56" s="65"/>
    </row>
    <row r="57" spans="2:5" ht="15.75">
      <c r="B57" s="105" t="s">
        <v>197</v>
      </c>
      <c r="C57" s="498">
        <f>IF(gen!C37&gt;0,gen!C37,0)</f>
        <v>0</v>
      </c>
      <c r="D57" s="822"/>
      <c r="E57" s="65"/>
    </row>
    <row r="58" spans="2:5" ht="15.75">
      <c r="B58" s="173" t="s">
        <v>972</v>
      </c>
      <c r="C58" s="503">
        <v>18163</v>
      </c>
      <c r="D58" s="65"/>
      <c r="E58" s="65"/>
    </row>
    <row r="59" spans="2:5" ht="15.75">
      <c r="B59" s="173" t="s">
        <v>286</v>
      </c>
      <c r="C59" s="503">
        <v>158</v>
      </c>
      <c r="D59" s="65"/>
      <c r="E59" s="65"/>
    </row>
    <row r="60" spans="2:5" ht="15.75">
      <c r="B60" s="173" t="s">
        <v>285</v>
      </c>
      <c r="C60" s="503"/>
      <c r="D60" s="65"/>
      <c r="E60" s="65"/>
    </row>
    <row r="61" spans="2:5" ht="15.75">
      <c r="B61" s="331" t="s">
        <v>288</v>
      </c>
      <c r="C61" s="496">
        <f>SUM(C53,C55:C60)</f>
        <v>18664</v>
      </c>
      <c r="D61" s="65"/>
      <c r="E61" s="65"/>
    </row>
    <row r="62" spans="2:5" ht="15.75">
      <c r="B62" s="331" t="s">
        <v>290</v>
      </c>
      <c r="C62" s="503">
        <v>18163</v>
      </c>
      <c r="D62" s="65"/>
      <c r="E62" s="65"/>
    </row>
    <row r="63" spans="2:5" ht="15.75">
      <c r="B63" s="331" t="s">
        <v>291</v>
      </c>
      <c r="C63" s="496">
        <f>C61-C62</f>
        <v>501</v>
      </c>
      <c r="D63" s="65"/>
      <c r="E63" s="65"/>
    </row>
    <row r="64" spans="2:5" ht="15.75">
      <c r="B64" s="65"/>
      <c r="C64" s="65"/>
      <c r="D64" s="65"/>
      <c r="E64" s="65"/>
    </row>
    <row r="65" spans="2:5" ht="15.75">
      <c r="B65" s="211" t="s">
        <v>273</v>
      </c>
      <c r="C65" s="333">
        <v>7</v>
      </c>
      <c r="D65" s="65"/>
      <c r="E65" s="65"/>
    </row>
    <row r="67" ht="15.75">
      <c r="B67" s="109"/>
    </row>
    <row r="70" spans="3:4" ht="15.75" hidden="1">
      <c r="C70" s="156">
        <f>IF(C41&gt;C43,"See Tab A","")</f>
      </c>
      <c r="D70" s="156">
        <f>IF(D41&gt;D43,"See Tab C","")</f>
      </c>
    </row>
    <row r="71" spans="3:4" ht="15.75" hidden="1">
      <c r="C71" s="156">
        <f>IF(C42&lt;0,"See Tab B","")</f>
      </c>
      <c r="D71" s="156">
        <f>IF(D42&lt;0,"See Tab D","")</f>
      </c>
    </row>
  </sheetData>
  <sheetProtection/>
  <mergeCells count="7">
    <mergeCell ref="D56:D57"/>
    <mergeCell ref="C44:D44"/>
    <mergeCell ref="C45:D45"/>
    <mergeCell ref="C48:D48"/>
    <mergeCell ref="G33:J33"/>
    <mergeCell ref="G39:J39"/>
    <mergeCell ref="G49:J49"/>
  </mergeCells>
  <conditionalFormatting sqref="C39">
    <cfRule type="cellIs" priority="2" dxfId="173" operator="greaterThan" stopIfTrue="1">
      <formula>$C$41*0.1</formula>
    </cfRule>
  </conditionalFormatting>
  <conditionalFormatting sqref="D39">
    <cfRule type="cellIs" priority="3" dxfId="173" operator="greaterThan" stopIfTrue="1">
      <formula>$D$41*0.1</formula>
    </cfRule>
  </conditionalFormatting>
  <conditionalFormatting sqref="E39">
    <cfRule type="cellIs" priority="4" dxfId="173" operator="greaterThan" stopIfTrue="1">
      <formula>$E$41*0.1</formula>
    </cfRule>
  </conditionalFormatting>
  <conditionalFormatting sqref="C19">
    <cfRule type="cellIs" priority="5" dxfId="173" operator="greaterThan" stopIfTrue="1">
      <formula>$C$21*0.1</formula>
    </cfRule>
  </conditionalFormatting>
  <conditionalFormatting sqref="D19">
    <cfRule type="cellIs" priority="6" dxfId="173" operator="greaterThan" stopIfTrue="1">
      <formula>$D$21*0.1</formula>
    </cfRule>
  </conditionalFormatting>
  <conditionalFormatting sqref="C36">
    <cfRule type="cellIs" priority="7" dxfId="173" operator="greaterThan" stopIfTrue="1">
      <formula>$C$22*0.25</formula>
    </cfRule>
  </conditionalFormatting>
  <conditionalFormatting sqref="E44">
    <cfRule type="cellIs" priority="8" dxfId="173" operator="greaterThan" stopIfTrue="1">
      <formula>$E$41/0.95-$E$41</formula>
    </cfRule>
  </conditionalFormatting>
  <conditionalFormatting sqref="C42">
    <cfRule type="cellIs" priority="9" dxfId="173" operator="lessThan" stopIfTrue="1">
      <formula>0</formula>
    </cfRule>
  </conditionalFormatting>
  <conditionalFormatting sqref="C41">
    <cfRule type="cellIs" priority="10" dxfId="1" operator="greaterThan" stopIfTrue="1">
      <formula>$C$43</formula>
    </cfRule>
  </conditionalFormatting>
  <conditionalFormatting sqref="D41">
    <cfRule type="cellIs" priority="11" dxfId="1" operator="greaterThan" stopIfTrue="1">
      <formula>$D$43</formula>
    </cfRule>
  </conditionalFormatting>
  <conditionalFormatting sqref="D36">
    <cfRule type="cellIs" priority="12" dxfId="173" operator="greaterThan" stopIfTrue="1">
      <formula>$D$22*0.25</formula>
    </cfRule>
  </conditionalFormatting>
  <conditionalFormatting sqref="E36">
    <cfRule type="cellIs" priority="13" dxfId="173" operator="greaterThan" stopIfTrue="1">
      <formula>$E$22*0.25+$E$48</formula>
    </cfRule>
  </conditionalFormatting>
  <conditionalFormatting sqref="D42">
    <cfRule type="cellIs" priority="1" dxfId="0" operator="lessThan" stopIfTrue="1">
      <formula>0</formula>
    </cfRule>
  </conditionalFormatting>
  <conditionalFormatting sqref="E19">
    <cfRule type="cellIs" priority="17" dxfId="173" operator="greaterThan" stopIfTrue="1">
      <formula>$E$21*0.1+$E$48</formula>
    </cfRule>
  </conditionalFormatting>
  <hyperlinks>
    <hyperlink ref="Q27" r:id="rId1" display="=@sum(L26:O27)"/>
    <hyperlink ref="L51" r:id="rId2" display="=@sum(L26:L49"/>
  </hyperlinks>
  <printOptions/>
  <pageMargins left="0.9" right="0.9" top="0.96" bottom="0.5" header="0.41" footer="0.3"/>
  <pageSetup blackAndWhite="1" fitToHeight="1" fitToWidth="1" horizontalDpi="300" verticalDpi="300" orientation="portrait" scale="76" r:id="rId3"/>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8"/>
  <sheetViews>
    <sheetView zoomScale="70" zoomScaleNormal="70" zoomScalePageLayoutView="0" workbookViewId="0" topLeftCell="A3">
      <selection activeCell="F25" sqref="F2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Padonia Township</v>
      </c>
      <c r="C1" s="65"/>
      <c r="D1" s="65"/>
      <c r="E1" s="226">
        <f>inputPrYr!D9</f>
        <v>2014</v>
      </c>
    </row>
    <row r="2" spans="2:5" ht="15.75">
      <c r="B2" s="547" t="s">
        <v>771</v>
      </c>
      <c r="C2" s="65"/>
      <c r="D2" s="208"/>
      <c r="E2" s="335"/>
    </row>
    <row r="3" spans="2:5" ht="15.75">
      <c r="B3" s="65"/>
      <c r="C3" s="70"/>
      <c r="D3" s="70"/>
      <c r="E3" s="70"/>
    </row>
    <row r="4" spans="2:5" ht="15.75">
      <c r="B4" s="72" t="s">
        <v>274</v>
      </c>
      <c r="C4" s="393" t="s">
        <v>275</v>
      </c>
      <c r="D4" s="396" t="s">
        <v>276</v>
      </c>
      <c r="E4" s="74" t="s">
        <v>277</v>
      </c>
    </row>
    <row r="5" spans="2:5" ht="15.75">
      <c r="B5" s="489" t="str">
        <f>inputPrYr!B26</f>
        <v>Fire Protection</v>
      </c>
      <c r="C5" s="394" t="str">
        <f>gen!C5</f>
        <v>Actual for 2012</v>
      </c>
      <c r="D5" s="394" t="str">
        <f>gen!D5</f>
        <v>Estimate for 2013</v>
      </c>
      <c r="E5" s="79" t="str">
        <f>gen!E5</f>
        <v>Year for 2014</v>
      </c>
    </row>
    <row r="6" spans="2:5" ht="15.75">
      <c r="B6" s="80" t="s">
        <v>70</v>
      </c>
      <c r="C6" s="314">
        <v>-212</v>
      </c>
      <c r="D6" s="395">
        <f>C29</f>
        <v>823</v>
      </c>
      <c r="E6" s="262">
        <f>D29</f>
        <v>35</v>
      </c>
    </row>
    <row r="7" spans="2:5" ht="15.75">
      <c r="B7" s="80" t="s">
        <v>72</v>
      </c>
      <c r="C7" s="395"/>
      <c r="D7" s="395"/>
      <c r="E7" s="316"/>
    </row>
    <row r="8" spans="2:5" ht="15.75">
      <c r="B8" s="80" t="s">
        <v>280</v>
      </c>
      <c r="C8" s="314">
        <v>3035</v>
      </c>
      <c r="D8" s="395">
        <f>IF(inputPrYr!H19&gt;0,inputPrYr!G26,inputPrYr!E26)</f>
        <v>1986</v>
      </c>
      <c r="E8" s="316" t="s">
        <v>259</v>
      </c>
    </row>
    <row r="9" spans="2:5" ht="15.75">
      <c r="B9" s="80" t="s">
        <v>281</v>
      </c>
      <c r="C9" s="314"/>
      <c r="D9" s="314">
        <v>300</v>
      </c>
      <c r="E9" s="171">
        <v>300</v>
      </c>
    </row>
    <row r="10" spans="2:5" ht="15.75">
      <c r="B10" s="80" t="s">
        <v>282</v>
      </c>
      <c r="C10" s="314"/>
      <c r="D10" s="314">
        <v>166</v>
      </c>
      <c r="E10" s="262">
        <f>mvalloc!G17</f>
        <v>186</v>
      </c>
    </row>
    <row r="11" spans="2:5" ht="15.75">
      <c r="B11" s="80" t="s">
        <v>283</v>
      </c>
      <c r="C11" s="314"/>
      <c r="D11" s="314">
        <v>4</v>
      </c>
      <c r="E11" s="262">
        <f>mvalloc!I17</f>
        <v>2</v>
      </c>
    </row>
    <row r="12" spans="2:5" ht="15.75">
      <c r="B12" s="80" t="s">
        <v>51</v>
      </c>
      <c r="C12" s="314"/>
      <c r="D12" s="314">
        <v>56</v>
      </c>
      <c r="E12" s="262">
        <f>mvalloc!J17</f>
        <v>43</v>
      </c>
    </row>
    <row r="13" spans="2:5" ht="15.75">
      <c r="B13" s="318"/>
      <c r="C13" s="314"/>
      <c r="D13" s="314"/>
      <c r="E13" s="171"/>
    </row>
    <row r="14" spans="2:5" ht="15.75">
      <c r="B14" s="319" t="s">
        <v>286</v>
      </c>
      <c r="C14" s="314"/>
      <c r="D14" s="314"/>
      <c r="E14" s="171"/>
    </row>
    <row r="15" spans="2:5" ht="15.75">
      <c r="B15" s="320" t="s">
        <v>232</v>
      </c>
      <c r="C15" s="314"/>
      <c r="D15" s="314"/>
      <c r="E15" s="171"/>
    </row>
    <row r="16" spans="2:5" ht="15.75">
      <c r="B16" s="320" t="s">
        <v>233</v>
      </c>
      <c r="C16" s="397">
        <f>IF(C17*0.1&lt;C15,"Exceed 10% Rule","")</f>
      </c>
      <c r="D16" s="397">
        <f>IF(D17*0.1&lt;D15,"Exceed 10% Rule","")</f>
      </c>
      <c r="E16" s="324">
        <f>IF(E17*0.1+E35&lt;E15,"Exceed 10% Rule","")</f>
      </c>
    </row>
    <row r="17" spans="2:5" ht="15.75">
      <c r="B17" s="322" t="s">
        <v>287</v>
      </c>
      <c r="C17" s="398">
        <f>SUM(C8:C15)</f>
        <v>3035</v>
      </c>
      <c r="D17" s="398">
        <f>SUM(D8:D15)</f>
        <v>2512</v>
      </c>
      <c r="E17" s="323">
        <f>SUM(E8:E15)</f>
        <v>531</v>
      </c>
    </row>
    <row r="18" spans="2:5" ht="15.75">
      <c r="B18" s="98" t="s">
        <v>288</v>
      </c>
      <c r="C18" s="398">
        <f>C17+C6</f>
        <v>2823</v>
      </c>
      <c r="D18" s="398">
        <f>D17+D6</f>
        <v>3335</v>
      </c>
      <c r="E18" s="323">
        <f>E17+E6</f>
        <v>566</v>
      </c>
    </row>
    <row r="19" spans="2:5" ht="15.75">
      <c r="B19" s="80" t="s">
        <v>289</v>
      </c>
      <c r="C19" s="395"/>
      <c r="D19" s="395"/>
      <c r="E19" s="262"/>
    </row>
    <row r="20" spans="2:5" ht="15.75">
      <c r="B20" s="319"/>
      <c r="C20" s="314"/>
      <c r="D20" s="314"/>
      <c r="E20" s="171"/>
    </row>
    <row r="21" spans="2:11" ht="15.75">
      <c r="B21" s="319" t="s">
        <v>959</v>
      </c>
      <c r="C21" s="314">
        <v>2000</v>
      </c>
      <c r="D21" s="314">
        <v>3000</v>
      </c>
      <c r="E21" s="171">
        <v>5000</v>
      </c>
      <c r="G21" s="823" t="str">
        <f>CONCATENATE("Desired Carryover Into ",E1+1,"")</f>
        <v>Desired Carryover Into 2015</v>
      </c>
      <c r="H21" s="824"/>
      <c r="I21" s="824"/>
      <c r="J21" s="825"/>
      <c r="K21" s="621"/>
    </row>
    <row r="22" spans="2:11" ht="15.75">
      <c r="B22" s="319"/>
      <c r="C22" s="314"/>
      <c r="D22" s="314"/>
      <c r="E22" s="171"/>
      <c r="G22" s="653"/>
      <c r="H22" s="654"/>
      <c r="I22" s="655"/>
      <c r="J22" s="656"/>
      <c r="K22" s="621"/>
    </row>
    <row r="23" spans="2:11" ht="15.75">
      <c r="B23" s="319"/>
      <c r="C23" s="314"/>
      <c r="D23" s="314"/>
      <c r="E23" s="171"/>
      <c r="G23" s="657" t="s">
        <v>737</v>
      </c>
      <c r="H23" s="655"/>
      <c r="I23" s="655"/>
      <c r="J23" s="658">
        <v>0</v>
      </c>
      <c r="K23" s="621"/>
    </row>
    <row r="24" spans="2:11" ht="15.75">
      <c r="B24" s="319"/>
      <c r="C24" s="314"/>
      <c r="D24" s="314"/>
      <c r="E24" s="171"/>
      <c r="G24" s="664" t="s">
        <v>867</v>
      </c>
      <c r="H24" s="665"/>
      <c r="I24" s="665"/>
      <c r="J24" s="666">
        <f>IF(J23&gt;0,#REF!-E32,0)</f>
        <v>0</v>
      </c>
      <c r="K24" s="621"/>
    </row>
    <row r="25" spans="2:11" ht="15.75">
      <c r="B25" s="317" t="s">
        <v>234</v>
      </c>
      <c r="C25" s="314"/>
      <c r="D25" s="314"/>
      <c r="E25" s="182">
        <f>nhood!E12</f>
      </c>
      <c r="G25" s="621"/>
      <c r="H25" s="621"/>
      <c r="I25" s="621"/>
      <c r="J25" s="621"/>
      <c r="K25" s="621"/>
    </row>
    <row r="26" spans="2:11" ht="15.75">
      <c r="B26" s="317" t="s">
        <v>232</v>
      </c>
      <c r="C26" s="314"/>
      <c r="D26" s="314">
        <v>300</v>
      </c>
      <c r="E26" s="171">
        <v>300</v>
      </c>
      <c r="G26" s="823" t="str">
        <f>CONCATENATE("Projected Carryover Into ",E1+1,"")</f>
        <v>Projected Carryover Into 2015</v>
      </c>
      <c r="H26" s="826"/>
      <c r="I26" s="826"/>
      <c r="J26" s="827"/>
      <c r="K26" s="621"/>
    </row>
    <row r="27" spans="2:11" ht="15.75">
      <c r="B27" s="317" t="s">
        <v>734</v>
      </c>
      <c r="C27" s="397">
        <f>IF(C28*0.1&lt;C26,"Exceed 10% Rule","")</f>
      </c>
      <c r="D27" s="397">
        <f>IF(D28*0.1&lt;D26,"Exceed 10% Rule","")</f>
      </c>
      <c r="E27" s="324">
        <f>IF(E28*0.1&lt;E26,"Exceed 10% Rule","")</f>
      </c>
      <c r="G27" s="653"/>
      <c r="H27" s="655"/>
      <c r="I27" s="655"/>
      <c r="J27" s="668"/>
      <c r="K27" s="621"/>
    </row>
    <row r="28" spans="2:11" ht="15.75">
      <c r="B28" s="98" t="s">
        <v>290</v>
      </c>
      <c r="C28" s="398">
        <f>SUM(C20:C26)</f>
        <v>2000</v>
      </c>
      <c r="D28" s="398">
        <f>SUM(D20:D26)</f>
        <v>3300</v>
      </c>
      <c r="E28" s="323">
        <f>SUM(E20:E26)</f>
        <v>5300</v>
      </c>
      <c r="G28" s="671">
        <f>D29</f>
        <v>35</v>
      </c>
      <c r="H28" s="672" t="str">
        <f>CONCATENATE("",E1-1," Ending Cash Balance (est.)")</f>
        <v>2013 Ending Cash Balance (est.)</v>
      </c>
      <c r="I28" s="673"/>
      <c r="J28" s="668"/>
      <c r="K28" s="621"/>
    </row>
    <row r="29" spans="2:11" ht="15.75">
      <c r="B29" s="80" t="s">
        <v>71</v>
      </c>
      <c r="C29" s="399">
        <f>C18-C28</f>
        <v>823</v>
      </c>
      <c r="D29" s="399">
        <f>D18-D28</f>
        <v>35</v>
      </c>
      <c r="E29" s="316" t="s">
        <v>259</v>
      </c>
      <c r="G29" s="671">
        <f>E17</f>
        <v>531</v>
      </c>
      <c r="H29" s="655" t="str">
        <f>CONCATENATE("",E1," Non-AV Receipts (est.)")</f>
        <v>2014 Non-AV Receipts (est.)</v>
      </c>
      <c r="I29" s="673"/>
      <c r="J29" s="668"/>
      <c r="K29" s="621"/>
    </row>
    <row r="30" spans="2:11" ht="15.75">
      <c r="B30" s="117" t="str">
        <f>CONCATENATE("",$E$1-2,"/",$E$1-1," Budget Authority Amount:")</f>
        <v>2012/2013 Budget Authority Amount:</v>
      </c>
      <c r="C30" s="339">
        <f>inputOth!$B89</f>
        <v>2200</v>
      </c>
      <c r="D30" s="83">
        <f>inputPrYr!$D26</f>
        <v>3300</v>
      </c>
      <c r="E30" s="316" t="s">
        <v>259</v>
      </c>
      <c r="F30" s="325"/>
      <c r="G30" s="680">
        <f>IF(E34&gt;0,E33,E35)</f>
        <v>4734</v>
      </c>
      <c r="H30" s="655" t="str">
        <f>CONCATENATE("",E1," Ad Valorem Tax (est.)")</f>
        <v>2014 Ad Valorem Tax (est.)</v>
      </c>
      <c r="I30" s="673"/>
      <c r="J30" s="668"/>
      <c r="K30" s="681">
        <f>IF(G30=E35,"","Note: Does not include Delinquent Taxes")</f>
      </c>
    </row>
    <row r="31" spans="2:11" ht="15.75">
      <c r="B31" s="117"/>
      <c r="C31" s="809" t="s">
        <v>731</v>
      </c>
      <c r="D31" s="810"/>
      <c r="E31" s="171"/>
      <c r="F31" s="740">
        <f>IF(E28/0.95-E28&lt;E31,"Exceeds 5%","")</f>
      </c>
      <c r="G31" s="671">
        <f>SUM(G28:G30)</f>
        <v>5300</v>
      </c>
      <c r="H31" s="655" t="str">
        <f>CONCATENATE("Total ",E1," Resources Available")</f>
        <v>Total 2014 Resources Available</v>
      </c>
      <c r="I31" s="673"/>
      <c r="J31" s="668"/>
      <c r="K31" s="621"/>
    </row>
    <row r="32" spans="2:11" ht="15.75">
      <c r="B32" s="504" t="str">
        <f>CONCATENATE(C73,"     ",D73)</f>
        <v>     </v>
      </c>
      <c r="C32" s="811" t="s">
        <v>732</v>
      </c>
      <c r="D32" s="812"/>
      <c r="E32" s="262">
        <f>E28+E31</f>
        <v>5300</v>
      </c>
      <c r="G32" s="684"/>
      <c r="H32" s="655"/>
      <c r="I32" s="655"/>
      <c r="J32" s="668"/>
      <c r="K32" s="621"/>
    </row>
    <row r="33" spans="2:11" ht="15.75">
      <c r="B33" s="504" t="str">
        <f>CONCATENATE(C74,"     ",D74)</f>
        <v>     </v>
      </c>
      <c r="C33" s="507"/>
      <c r="D33" s="506" t="s">
        <v>292</v>
      </c>
      <c r="E33" s="182">
        <f>IF(E32-E18&gt;0,E32-E18,0)</f>
        <v>4734</v>
      </c>
      <c r="G33" s="680">
        <f>C28*0.05+C28</f>
        <v>2100</v>
      </c>
      <c r="H33" s="655" t="str">
        <f>CONCATENATE("Less ",E1-2," Expenditures + 5%")</f>
        <v>Less 2012 Expenditures + 5%</v>
      </c>
      <c r="I33" s="655"/>
      <c r="J33" s="668"/>
      <c r="K33" s="621"/>
    </row>
    <row r="34" spans="2:11" ht="15.75">
      <c r="B34" s="211"/>
      <c r="C34" s="505" t="s">
        <v>733</v>
      </c>
      <c r="D34" s="724">
        <f>inputOth!$E$77</f>
        <v>0</v>
      </c>
      <c r="E34" s="262">
        <f>ROUND(IF(D34&gt;0,(E33*D34),0),0)</f>
        <v>0</v>
      </c>
      <c r="G34" s="688">
        <f>G31-G33</f>
        <v>3200</v>
      </c>
      <c r="H34" s="689" t="str">
        <f>CONCATENATE("Projected ",E1+1," carryover (est.)")</f>
        <v>Projected 2015 carryover (est.)</v>
      </c>
      <c r="I34" s="690"/>
      <c r="J34" s="691"/>
      <c r="K34" s="621"/>
    </row>
    <row r="35" spans="2:11" ht="15.75">
      <c r="B35" s="65"/>
      <c r="C35" s="813" t="str">
        <f>CONCATENATE("Amount of  ",$E$1-1," Ad Valorem Tax")</f>
        <v>Amount of  2013 Ad Valorem Tax</v>
      </c>
      <c r="D35" s="814"/>
      <c r="E35" s="182">
        <f>E33+E34</f>
        <v>4734</v>
      </c>
      <c r="G35" s="621"/>
      <c r="H35" s="621"/>
      <c r="I35" s="621"/>
      <c r="J35" s="621"/>
      <c r="K35" s="621"/>
    </row>
    <row r="36" spans="2:11" ht="15.75">
      <c r="B36" s="65"/>
      <c r="C36" s="566"/>
      <c r="D36" s="65"/>
      <c r="E36" s="65"/>
      <c r="G36" s="828" t="s">
        <v>868</v>
      </c>
      <c r="H36" s="829"/>
      <c r="I36" s="829"/>
      <c r="J36" s="830"/>
      <c r="K36" s="621"/>
    </row>
    <row r="37" spans="2:11" ht="15.75">
      <c r="B37" s="65"/>
      <c r="C37" s="566"/>
      <c r="D37" s="65"/>
      <c r="E37" s="65"/>
      <c r="G37" s="695"/>
      <c r="H37" s="672"/>
      <c r="I37" s="696"/>
      <c r="J37" s="697"/>
      <c r="K37" s="621"/>
    </row>
    <row r="38" spans="2:11" ht="15.75">
      <c r="B38" s="72" t="s">
        <v>274</v>
      </c>
      <c r="C38" s="70"/>
      <c r="D38" s="70"/>
      <c r="E38" s="70"/>
      <c r="G38" s="698">
        <f>summ!H20</f>
        <v>0.783</v>
      </c>
      <c r="H38" s="672" t="str">
        <f>CONCATENATE("",E1," Fund Mill Rate")</f>
        <v>2014 Fund Mill Rate</v>
      </c>
      <c r="I38" s="696"/>
      <c r="J38" s="697"/>
      <c r="K38" s="621"/>
    </row>
    <row r="39" spans="2:11" ht="15.75">
      <c r="B39" s="65"/>
      <c r="C39" s="393" t="s">
        <v>275</v>
      </c>
      <c r="D39" s="396" t="s">
        <v>276</v>
      </c>
      <c r="E39" s="74" t="s">
        <v>277</v>
      </c>
      <c r="G39" s="699">
        <f>summ!E20</f>
        <v>0.363</v>
      </c>
      <c r="H39" s="672" t="str">
        <f>CONCATENATE("",E1-1," Fund Mill Rate")</f>
        <v>2013 Fund Mill Rate</v>
      </c>
      <c r="I39" s="696"/>
      <c r="J39" s="697"/>
      <c r="K39" s="621"/>
    </row>
    <row r="40" spans="2:11" ht="15.75">
      <c r="B40" s="490">
        <f>inputPrYr!B27</f>
        <v>0</v>
      </c>
      <c r="C40" s="394" t="str">
        <f>C5</f>
        <v>Actual for 2012</v>
      </c>
      <c r="D40" s="394" t="str">
        <f>D5</f>
        <v>Estimate for 2013</v>
      </c>
      <c r="E40" s="79" t="str">
        <f>E5</f>
        <v>Year for 2014</v>
      </c>
      <c r="G40" s="701">
        <f>summ!H24</f>
        <v>12.978</v>
      </c>
      <c r="H40" s="672" t="str">
        <f>CONCATENATE("Total ",E1," Mill Rate")</f>
        <v>Total 2014 Mill Rate</v>
      </c>
      <c r="I40" s="696"/>
      <c r="J40" s="697"/>
      <c r="K40" s="621"/>
    </row>
    <row r="41" spans="2:11" ht="15.75">
      <c r="B41" s="80" t="s">
        <v>70</v>
      </c>
      <c r="C41" s="314"/>
      <c r="D41" s="395">
        <f>C62</f>
        <v>0</v>
      </c>
      <c r="E41" s="262">
        <f>D62</f>
        <v>0</v>
      </c>
      <c r="G41" s="699">
        <f>summ!E24</f>
        <v>14.169999999999998</v>
      </c>
      <c r="H41" s="702" t="str">
        <f>CONCATENATE("Total ",E1-1," Mill Rate")</f>
        <v>Total 2013 Mill Rate</v>
      </c>
      <c r="I41" s="703"/>
      <c r="J41" s="704"/>
      <c r="K41" s="621"/>
    </row>
    <row r="42" spans="2:11" ht="15.75">
      <c r="B42" s="80" t="s">
        <v>72</v>
      </c>
      <c r="C42" s="395"/>
      <c r="D42" s="395"/>
      <c r="E42" s="316"/>
      <c r="G42" s="621"/>
      <c r="H42" s="621"/>
      <c r="I42" s="621"/>
      <c r="J42" s="621"/>
      <c r="K42" s="621"/>
    </row>
    <row r="43" spans="2:11" ht="15.75">
      <c r="B43" s="80" t="s">
        <v>280</v>
      </c>
      <c r="C43" s="314"/>
      <c r="D43" s="395">
        <f>IF(inputPrYr!H19&gt;0,inputPrYr!G27,inputPrYr!E27)</f>
        <v>0</v>
      </c>
      <c r="E43" s="316" t="s">
        <v>259</v>
      </c>
      <c r="G43" s="621"/>
      <c r="H43" s="621"/>
      <c r="I43" s="621"/>
      <c r="J43" s="621"/>
      <c r="K43" s="621"/>
    </row>
    <row r="44" spans="2:11" ht="15.75">
      <c r="B44" s="80" t="s">
        <v>281</v>
      </c>
      <c r="C44" s="314"/>
      <c r="D44" s="314"/>
      <c r="E44" s="171"/>
      <c r="G44" s="621"/>
      <c r="H44" s="621"/>
      <c r="I44" s="621"/>
      <c r="J44" s="621"/>
      <c r="K44" s="621"/>
    </row>
    <row r="45" spans="2:11" ht="15.75">
      <c r="B45" s="80" t="s">
        <v>282</v>
      </c>
      <c r="C45" s="314"/>
      <c r="D45" s="314"/>
      <c r="E45" s="262">
        <f>mvalloc!G18</f>
        <v>0</v>
      </c>
      <c r="G45" s="621"/>
      <c r="H45" s="621"/>
      <c r="I45" s="621"/>
      <c r="J45" s="621"/>
      <c r="K45" s="621"/>
    </row>
    <row r="46" spans="2:11" ht="15.75">
      <c r="B46" s="80" t="s">
        <v>283</v>
      </c>
      <c r="C46" s="314"/>
      <c r="D46" s="314"/>
      <c r="E46" s="262">
        <f>mvalloc!I18</f>
        <v>0</v>
      </c>
      <c r="G46" s="621"/>
      <c r="H46" s="621"/>
      <c r="I46" s="621"/>
      <c r="J46" s="621"/>
      <c r="K46" s="621"/>
    </row>
    <row r="47" spans="2:11" ht="15.75">
      <c r="B47" s="80" t="s">
        <v>51</v>
      </c>
      <c r="C47" s="314"/>
      <c r="D47" s="314"/>
      <c r="E47" s="262">
        <f>mvalloc!J18</f>
        <v>0</v>
      </c>
      <c r="G47" s="621"/>
      <c r="H47" s="621"/>
      <c r="I47" s="621"/>
      <c r="J47" s="621"/>
      <c r="K47" s="621"/>
    </row>
    <row r="48" spans="2:11" ht="15.75">
      <c r="B48" s="319"/>
      <c r="C48" s="314"/>
      <c r="D48" s="314"/>
      <c r="E48" s="171"/>
      <c r="G48" s="621"/>
      <c r="H48" s="621"/>
      <c r="I48" s="621"/>
      <c r="J48" s="621"/>
      <c r="K48" s="621"/>
    </row>
    <row r="49" spans="2:11" ht="15.75">
      <c r="B49" s="319"/>
      <c r="C49" s="314"/>
      <c r="D49" s="314"/>
      <c r="E49" s="171"/>
      <c r="G49" s="621"/>
      <c r="H49" s="621"/>
      <c r="I49" s="621"/>
      <c r="J49" s="621"/>
      <c r="K49" s="621"/>
    </row>
    <row r="50" spans="2:11" ht="15.75">
      <c r="B50" s="319" t="s">
        <v>286</v>
      </c>
      <c r="C50" s="314"/>
      <c r="D50" s="314"/>
      <c r="E50" s="171"/>
      <c r="G50" s="621"/>
      <c r="H50" s="621"/>
      <c r="I50" s="621"/>
      <c r="J50" s="621"/>
      <c r="K50" s="621"/>
    </row>
    <row r="51" spans="2:11" ht="15.75">
      <c r="B51" s="320" t="s">
        <v>232</v>
      </c>
      <c r="C51" s="314"/>
      <c r="D51" s="314"/>
      <c r="E51" s="171"/>
      <c r="G51" s="621"/>
      <c r="H51" s="621"/>
      <c r="I51" s="621"/>
      <c r="J51" s="621"/>
      <c r="K51" s="621"/>
    </row>
    <row r="52" spans="2:11" ht="15.75">
      <c r="B52" s="320" t="s">
        <v>233</v>
      </c>
      <c r="C52" s="397">
        <f>IF(C53*0.1&lt;C51,"Exceed 10% Rule","")</f>
      </c>
      <c r="D52" s="397">
        <f>IF(D53*0.1&lt;D51,"Exceed 10% Rule","")</f>
      </c>
      <c r="E52" s="324">
        <f>IF(E53*0.1+E68&lt;E51,"Exceed 10% Rule","")</f>
      </c>
      <c r="G52" s="621"/>
      <c r="H52" s="621"/>
      <c r="I52" s="621"/>
      <c r="J52" s="621"/>
      <c r="K52" s="621"/>
    </row>
    <row r="53" spans="2:11" ht="15.75">
      <c r="B53" s="322" t="s">
        <v>287</v>
      </c>
      <c r="C53" s="398">
        <f>SUM(C43:C51)</f>
        <v>0</v>
      </c>
      <c r="D53" s="398">
        <f>SUM(D43:D51)</f>
        <v>0</v>
      </c>
      <c r="E53" s="323">
        <f>SUM(E43:E51)</f>
        <v>0</v>
      </c>
      <c r="G53" s="621"/>
      <c r="H53" s="621"/>
      <c r="I53" s="621"/>
      <c r="J53" s="621"/>
      <c r="K53" s="621"/>
    </row>
    <row r="54" spans="2:11" ht="15.75">
      <c r="B54" s="98" t="s">
        <v>288</v>
      </c>
      <c r="C54" s="398">
        <f>C53+C41</f>
        <v>0</v>
      </c>
      <c r="D54" s="398">
        <f>D53+D41</f>
        <v>0</v>
      </c>
      <c r="E54" s="323">
        <f>E53+E41</f>
        <v>0</v>
      </c>
      <c r="G54" s="621"/>
      <c r="H54" s="621"/>
      <c r="I54" s="621"/>
      <c r="J54" s="621"/>
      <c r="K54" s="621"/>
    </row>
    <row r="55" spans="2:11" ht="15.75">
      <c r="B55" s="80" t="s">
        <v>289</v>
      </c>
      <c r="C55" s="395"/>
      <c r="D55" s="395"/>
      <c r="E55" s="262"/>
      <c r="G55" s="621"/>
      <c r="H55" s="621"/>
      <c r="I55" s="621"/>
      <c r="J55" s="621"/>
      <c r="K55" s="621"/>
    </row>
    <row r="56" spans="2:11" ht="15.75">
      <c r="B56" s="319"/>
      <c r="C56" s="314"/>
      <c r="D56" s="314"/>
      <c r="E56" s="171"/>
      <c r="G56" s="621"/>
      <c r="H56" s="621"/>
      <c r="I56" s="621"/>
      <c r="J56" s="621"/>
      <c r="K56" s="621"/>
    </row>
    <row r="57" spans="2:11" ht="15.75">
      <c r="B57" s="319"/>
      <c r="C57" s="314"/>
      <c r="D57" s="314"/>
      <c r="E57" s="171"/>
      <c r="G57" s="664" t="s">
        <v>867</v>
      </c>
      <c r="H57" s="665"/>
      <c r="I57" s="665"/>
      <c r="J57" s="666" t="e">
        <f>IF(#REF!&gt;0,#REF!-E65,0)</f>
        <v>#REF!</v>
      </c>
      <c r="K57" s="621"/>
    </row>
    <row r="58" spans="2:11" ht="15.75">
      <c r="B58" s="317" t="s">
        <v>234</v>
      </c>
      <c r="C58" s="314"/>
      <c r="D58" s="314"/>
      <c r="E58" s="182">
        <f>nhood!E13</f>
      </c>
      <c r="G58" s="621"/>
      <c r="H58" s="621"/>
      <c r="I58" s="621"/>
      <c r="J58" s="621"/>
      <c r="K58" s="621"/>
    </row>
    <row r="59" spans="2:11" ht="15.75">
      <c r="B59" s="317" t="s">
        <v>232</v>
      </c>
      <c r="C59" s="314"/>
      <c r="D59" s="314"/>
      <c r="E59" s="171"/>
      <c r="G59" s="823" t="str">
        <f>CONCATENATE("Projected Carryover Into ",E1+1,"")</f>
        <v>Projected Carryover Into 2015</v>
      </c>
      <c r="H59" s="831"/>
      <c r="I59" s="831"/>
      <c r="J59" s="827"/>
      <c r="K59" s="621"/>
    </row>
    <row r="60" spans="2:11" ht="15.75">
      <c r="B60" s="317" t="s">
        <v>734</v>
      </c>
      <c r="C60" s="397">
        <f>IF(C61*0.1&lt;C59,"Exceed 10% Rule","")</f>
      </c>
      <c r="D60" s="397">
        <f>IF(D61*0.1&lt;D59,"Exceed 10% Rule","")</f>
      </c>
      <c r="E60" s="324">
        <f>IF(E61*0.1&lt;E59,"Exceed 10% Rule","")</f>
      </c>
      <c r="G60" s="707"/>
      <c r="H60" s="654"/>
      <c r="I60" s="654"/>
      <c r="J60" s="708"/>
      <c r="K60" s="621"/>
    </row>
    <row r="61" spans="2:11" ht="15.75">
      <c r="B61" s="98" t="s">
        <v>290</v>
      </c>
      <c r="C61" s="398">
        <f>SUM(C56:C59)</f>
        <v>0</v>
      </c>
      <c r="D61" s="398">
        <f>SUM(D56:D59)</f>
        <v>0</v>
      </c>
      <c r="E61" s="323">
        <f>SUM(E56:E59)</f>
        <v>0</v>
      </c>
      <c r="G61" s="671">
        <f>D62</f>
        <v>0</v>
      </c>
      <c r="H61" s="672" t="str">
        <f>CONCATENATE("",E1-1," Ending Cash Balance (est.)")</f>
        <v>2013 Ending Cash Balance (est.)</v>
      </c>
      <c r="I61" s="673"/>
      <c r="J61" s="708"/>
      <c r="K61" s="621"/>
    </row>
    <row r="62" spans="2:11" ht="15.75">
      <c r="B62" s="80" t="s">
        <v>71</v>
      </c>
      <c r="C62" s="399">
        <f>C54-C61</f>
        <v>0</v>
      </c>
      <c r="D62" s="399">
        <f>D54-D61</f>
        <v>0</v>
      </c>
      <c r="E62" s="316" t="s">
        <v>259</v>
      </c>
      <c r="G62" s="671">
        <f>E53</f>
        <v>0</v>
      </c>
      <c r="H62" s="655" t="str">
        <f>CONCATENATE("",E1," Non-AV Receipts (est.)")</f>
        <v>2014 Non-AV Receipts (est.)</v>
      </c>
      <c r="I62" s="673"/>
      <c r="J62" s="708"/>
      <c r="K62" s="621"/>
    </row>
    <row r="63" spans="2:11" ht="15.75">
      <c r="B63" s="117" t="str">
        <f>CONCATENATE("",$E$1-2,"/",$E$1-1," Budget Authority Amount:")</f>
        <v>2012/2013 Budget Authority Amount:</v>
      </c>
      <c r="C63" s="339">
        <f>inputOth!$B90</f>
        <v>0</v>
      </c>
      <c r="D63" s="83">
        <f>inputPrYr!$D27</f>
        <v>0</v>
      </c>
      <c r="E63" s="316" t="s">
        <v>259</v>
      </c>
      <c r="F63" s="325"/>
      <c r="G63" s="680">
        <f>IF(E67&gt;0,E66,E68)</f>
        <v>0</v>
      </c>
      <c r="H63" s="655" t="str">
        <f>CONCATENATE("",E1," Ad Valorem Tax (est.)")</f>
        <v>2014 Ad Valorem Tax (est.)</v>
      </c>
      <c r="I63" s="673"/>
      <c r="J63" s="708"/>
      <c r="K63" s="681">
        <f>IF(G63=E68,"","Note: Does not include Delinquent Taxes")</f>
      </c>
    </row>
    <row r="64" spans="2:11" ht="15.75">
      <c r="B64" s="117"/>
      <c r="C64" s="809" t="s">
        <v>731</v>
      </c>
      <c r="D64" s="810"/>
      <c r="E64" s="171"/>
      <c r="F64" s="740">
        <f>IF(E61/0.95-E61&lt;E64,"Exceeds 5%","")</f>
      </c>
      <c r="G64" s="671">
        <f>SUM(G61:G63)</f>
        <v>0</v>
      </c>
      <c r="H64" s="655" t="str">
        <f>CONCATENATE("Total ",E1," Resources Available")</f>
        <v>Total 2014 Resources Available</v>
      </c>
      <c r="I64" s="711"/>
      <c r="J64" s="708"/>
      <c r="K64" s="621"/>
    </row>
    <row r="65" spans="2:11" ht="15.75">
      <c r="B65" s="504" t="str">
        <f>CONCATENATE(C75,"     ",D75)</f>
        <v>     </v>
      </c>
      <c r="C65" s="811" t="s">
        <v>732</v>
      </c>
      <c r="D65" s="812"/>
      <c r="E65" s="262">
        <f>E61+E64</f>
        <v>0</v>
      </c>
      <c r="G65" s="712"/>
      <c r="H65" s="713"/>
      <c r="I65" s="654"/>
      <c r="J65" s="708"/>
      <c r="K65" s="621"/>
    </row>
    <row r="66" spans="2:11" ht="15.75">
      <c r="B66" s="504" t="str">
        <f>CONCATENATE(C76,"     ",D76)</f>
        <v>     </v>
      </c>
      <c r="C66" s="507"/>
      <c r="D66" s="506" t="s">
        <v>292</v>
      </c>
      <c r="E66" s="182">
        <f>IF(E65-E54&gt;0,E65-E54,0)</f>
        <v>0</v>
      </c>
      <c r="G66" s="680">
        <f>ROUND(C61*0.05+C61,0)</f>
        <v>0</v>
      </c>
      <c r="H66" s="655" t="str">
        <f>CONCATENATE("Less ",E1-2," Expenditures + 5%")</f>
        <v>Less 2012 Expenditures + 5%</v>
      </c>
      <c r="I66" s="711"/>
      <c r="J66" s="708"/>
      <c r="K66" s="621"/>
    </row>
    <row r="67" spans="2:11" ht="15.75">
      <c r="B67" s="211"/>
      <c r="C67" s="505" t="s">
        <v>733</v>
      </c>
      <c r="D67" s="724">
        <f>inputOth!$E$77</f>
        <v>0</v>
      </c>
      <c r="E67" s="262">
        <f>ROUND(IF(D67&gt;0,(E66*D67),0),0)</f>
        <v>0</v>
      </c>
      <c r="G67" s="688">
        <f>G64-G66</f>
        <v>0</v>
      </c>
      <c r="H67" s="689" t="str">
        <f>CONCATENATE("Projected ",E1+1," carryover (est.)")</f>
        <v>Projected 2015 carryover (est.)</v>
      </c>
      <c r="I67" s="714"/>
      <c r="J67" s="715"/>
      <c r="K67" s="621"/>
    </row>
    <row r="68" spans="2:11" ht="15.75">
      <c r="B68" s="65"/>
      <c r="C68" s="813" t="str">
        <f>CONCATENATE("Amount of  ",$E$1-1," Ad Valorem Tax")</f>
        <v>Amount of  2013 Ad Valorem Tax</v>
      </c>
      <c r="D68" s="814"/>
      <c r="E68" s="182">
        <f>E66+E67</f>
        <v>0</v>
      </c>
      <c r="G68" s="621"/>
      <c r="H68" s="621"/>
      <c r="I68" s="621"/>
      <c r="J68" s="621"/>
      <c r="K68" s="621"/>
    </row>
    <row r="69" spans="2:11" ht="15.75">
      <c r="B69" s="211" t="s">
        <v>273</v>
      </c>
      <c r="C69" s="329">
        <v>8</v>
      </c>
      <c r="D69" s="65"/>
      <c r="E69" s="65"/>
      <c r="G69" s="828" t="s">
        <v>868</v>
      </c>
      <c r="H69" s="829"/>
      <c r="I69" s="829"/>
      <c r="J69" s="830"/>
      <c r="K69" s="621"/>
    </row>
    <row r="70" spans="2:11" ht="15.75">
      <c r="B70" s="113"/>
      <c r="G70" s="695"/>
      <c r="H70" s="672"/>
      <c r="I70" s="696"/>
      <c r="J70" s="697"/>
      <c r="K70" s="621"/>
    </row>
    <row r="71" spans="7:11" ht="15.75">
      <c r="G71" s="698" t="e">
        <f>summ!#REF!</f>
        <v>#REF!</v>
      </c>
      <c r="H71" s="672" t="str">
        <f>CONCATENATE("",E1," Fund Mill Rate")</f>
        <v>2014 Fund Mill Rate</v>
      </c>
      <c r="I71" s="696"/>
      <c r="J71" s="697"/>
      <c r="K71" s="621"/>
    </row>
    <row r="72" spans="7:11" ht="15.75">
      <c r="G72" s="699" t="e">
        <f>summ!#REF!</f>
        <v>#REF!</v>
      </c>
      <c r="H72" s="672" t="str">
        <f>CONCATENATE("",E1-1," Fund Mill Rate")</f>
        <v>2013 Fund Mill Rate</v>
      </c>
      <c r="I72" s="696"/>
      <c r="J72" s="697"/>
      <c r="K72" s="621"/>
    </row>
    <row r="73" spans="3:11" ht="15.75" hidden="1">
      <c r="C73" s="156">
        <f>IF(C28&gt;C30,"See Tab A","")</f>
      </c>
      <c r="D73" s="156">
        <f>IF(D28&gt;D30,"See Tab C","")</f>
      </c>
      <c r="G73" s="701">
        <f>'[1]summ'!I36</f>
        <v>0</v>
      </c>
      <c r="H73" s="672" t="str">
        <f>CONCATENATE("Total ",E1," Mill Rate")</f>
        <v>Total 2014 Mill Rate</v>
      </c>
      <c r="I73" s="696"/>
      <c r="J73" s="697"/>
      <c r="K73" s="621"/>
    </row>
    <row r="74" spans="3:11" ht="15.75" hidden="1">
      <c r="C74" s="156">
        <f>IF(C29&lt;0,"See Tab B","")</f>
      </c>
      <c r="D74" s="156">
        <f>IF(D29&lt;0,"See Tab D","")</f>
      </c>
      <c r="G74" s="699">
        <f>'[1]summ'!F36</f>
        <v>0</v>
      </c>
      <c r="H74" s="702" t="str">
        <f>CONCATENATE("Total ",E1-1," Mill Rate")</f>
        <v>Total 2013 Mill Rate</v>
      </c>
      <c r="I74" s="703"/>
      <c r="J74" s="704"/>
      <c r="K74" s="621"/>
    </row>
    <row r="75" spans="3:4" ht="15.75" hidden="1">
      <c r="C75" s="156">
        <f>IF(C61&gt;C63,"See Tab A","")</f>
      </c>
      <c r="D75" s="156">
        <f>IF(D61&gt;D63,"See Tab C","")</f>
      </c>
    </row>
    <row r="76" spans="3:4" ht="15.75" hidden="1">
      <c r="C76" s="156">
        <f>IF(C62&lt;0,"See Tab B","")</f>
      </c>
      <c r="D76" s="156">
        <f>IF(D62&lt;0,"See Tab D","")</f>
      </c>
    </row>
    <row r="77" spans="7:10" ht="15.75">
      <c r="G77" s="701">
        <f>summ!H24</f>
        <v>12.978</v>
      </c>
      <c r="H77" s="672" t="str">
        <f>CONCATENATE("Total ",E1," Mill Rate")</f>
        <v>Total 2014 Mill Rate</v>
      </c>
      <c r="I77" s="696"/>
      <c r="J77" s="697"/>
    </row>
    <row r="78" spans="7:10" ht="15.75">
      <c r="G78" s="699">
        <f>summ!E24</f>
        <v>14.169999999999998</v>
      </c>
      <c r="H78" s="702" t="str">
        <f>CONCATENATE("Total ",E1-1," Mill Rate")</f>
        <v>Total 2013 Mill Rate</v>
      </c>
      <c r="I78" s="703"/>
      <c r="J78" s="704"/>
    </row>
  </sheetData>
  <sheetProtection/>
  <mergeCells count="11">
    <mergeCell ref="C35:D35"/>
    <mergeCell ref="G21:J21"/>
    <mergeCell ref="G26:J26"/>
    <mergeCell ref="G36:J36"/>
    <mergeCell ref="G59:J59"/>
    <mergeCell ref="G69:J69"/>
    <mergeCell ref="C31:D31"/>
    <mergeCell ref="C32:D32"/>
    <mergeCell ref="C64:D64"/>
    <mergeCell ref="C65:D65"/>
    <mergeCell ref="C68:D68"/>
  </mergeCells>
  <conditionalFormatting sqref="C59">
    <cfRule type="cellIs" priority="3" dxfId="173" operator="greaterThan" stopIfTrue="1">
      <formula>$C$701*0.1</formula>
    </cfRule>
  </conditionalFormatting>
  <conditionalFormatting sqref="D59">
    <cfRule type="cellIs" priority="4" dxfId="173" operator="greaterThan" stopIfTrue="1">
      <formula>$D$701*0.1</formula>
    </cfRule>
  </conditionalFormatting>
  <conditionalFormatting sqref="E59">
    <cfRule type="cellIs" priority="5" dxfId="173" operator="greaterThan" stopIfTrue="1">
      <formula>$E$61*0.1</formula>
    </cfRule>
  </conditionalFormatting>
  <conditionalFormatting sqref="C51">
    <cfRule type="cellIs" priority="6" dxfId="173" operator="greaterThan" stopIfTrue="1">
      <formula>$C$53*0.1</formula>
    </cfRule>
  </conditionalFormatting>
  <conditionalFormatting sqref="D51">
    <cfRule type="cellIs" priority="7" dxfId="173" operator="greaterThan" stopIfTrue="1">
      <formula>$D$53*0.1</formula>
    </cfRule>
  </conditionalFormatting>
  <conditionalFormatting sqref="E64">
    <cfRule type="cellIs" priority="8" dxfId="173" operator="greaterThan" stopIfTrue="1">
      <formula>$E$61/0.95-$E$61</formula>
    </cfRule>
  </conditionalFormatting>
  <conditionalFormatting sqref="C26">
    <cfRule type="cellIs" priority="9" dxfId="173" operator="greaterThan" stopIfTrue="1">
      <formula>$C$28*0.1</formula>
    </cfRule>
  </conditionalFormatting>
  <conditionalFormatting sqref="D26">
    <cfRule type="cellIs" priority="10" dxfId="173" operator="greaterThan" stopIfTrue="1">
      <formula>$D$28*0.1</formula>
    </cfRule>
  </conditionalFormatting>
  <conditionalFormatting sqref="E26">
    <cfRule type="cellIs" priority="11" dxfId="173" operator="greaterThan" stopIfTrue="1">
      <formula>$E$28*0.1</formula>
    </cfRule>
  </conditionalFormatting>
  <conditionalFormatting sqref="C15">
    <cfRule type="cellIs" priority="12" dxfId="173" operator="greaterThan" stopIfTrue="1">
      <formula>$C$17*0.1</formula>
    </cfRule>
  </conditionalFormatting>
  <conditionalFormatting sqref="D15">
    <cfRule type="cellIs" priority="13" dxfId="173" operator="greaterThan" stopIfTrue="1">
      <formula>$D$17*0.1</formula>
    </cfRule>
  </conditionalFormatting>
  <conditionalFormatting sqref="E31">
    <cfRule type="cellIs" priority="14" dxfId="173" operator="greaterThan" stopIfTrue="1">
      <formula>$E$28/0.95-$E$28</formula>
    </cfRule>
  </conditionalFormatting>
  <conditionalFormatting sqref="C62 C29">
    <cfRule type="cellIs" priority="15" dxfId="173" operator="lessThan" stopIfTrue="1">
      <formula>0</formula>
    </cfRule>
  </conditionalFormatting>
  <conditionalFormatting sqref="C61">
    <cfRule type="cellIs" priority="16" dxfId="1" operator="greaterThan" stopIfTrue="1">
      <formula>$C$63</formula>
    </cfRule>
  </conditionalFormatting>
  <conditionalFormatting sqref="D61">
    <cfRule type="cellIs" priority="17" dxfId="1" operator="greaterThan" stopIfTrue="1">
      <formula>$D$63</formula>
    </cfRule>
  </conditionalFormatting>
  <conditionalFormatting sqref="C28">
    <cfRule type="cellIs" priority="18" dxfId="1" operator="greaterThan" stopIfTrue="1">
      <formula>$C$30</formula>
    </cfRule>
  </conditionalFormatting>
  <conditionalFormatting sqref="D28">
    <cfRule type="cellIs" priority="19" dxfId="1" operator="greaterThan" stopIfTrue="1">
      <formula>$D$30</formula>
    </cfRule>
  </conditionalFormatting>
  <conditionalFormatting sqref="D62 D29">
    <cfRule type="cellIs" priority="2" dxfId="0" operator="lessThan" stopIfTrue="1">
      <formula>0</formula>
    </cfRule>
  </conditionalFormatting>
  <conditionalFormatting sqref="E15">
    <cfRule type="cellIs" priority="24" dxfId="173" operator="greaterThan" stopIfTrue="1">
      <formula>$E$17*0.1+$E$35</formula>
    </cfRule>
  </conditionalFormatting>
  <conditionalFormatting sqref="E51">
    <cfRule type="cellIs" priority="50" dxfId="173" operator="greaterThan" stopIfTrue="1">
      <formula>$E$53*0.1+$E$68</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B27" sqref="B27"/>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Padonia Township</v>
      </c>
      <c r="B1" s="119"/>
      <c r="C1" s="112"/>
      <c r="D1" s="112"/>
      <c r="E1" s="112"/>
      <c r="F1" s="120" t="s">
        <v>339</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340</v>
      </c>
      <c r="B3" s="112"/>
      <c r="C3" s="112"/>
      <c r="D3" s="112"/>
      <c r="E3" s="112"/>
      <c r="F3" s="119"/>
      <c r="G3" s="112"/>
      <c r="H3" s="112"/>
      <c r="I3" s="112"/>
      <c r="J3" s="112"/>
      <c r="K3" s="112"/>
    </row>
    <row r="4" spans="1:11" ht="15.75">
      <c r="A4" s="112" t="s">
        <v>341</v>
      </c>
      <c r="B4" s="112"/>
      <c r="C4" s="112" t="s">
        <v>342</v>
      </c>
      <c r="D4" s="112"/>
      <c r="E4" s="112" t="s">
        <v>343</v>
      </c>
      <c r="F4" s="119"/>
      <c r="G4" s="112" t="s">
        <v>344</v>
      </c>
      <c r="H4" s="112"/>
      <c r="I4" s="112" t="s">
        <v>345</v>
      </c>
      <c r="J4" s="112"/>
      <c r="K4" s="112"/>
    </row>
    <row r="5" spans="1:11" ht="15.75">
      <c r="A5" s="832" t="str">
        <f>inputPrYr!B41</f>
        <v>Special Road Fund</v>
      </c>
      <c r="B5" s="833"/>
      <c r="C5" s="832">
        <f>inputPrYr!B42</f>
        <v>0</v>
      </c>
      <c r="D5" s="833"/>
      <c r="E5" s="832">
        <f>inputPrYr!B43</f>
        <v>0</v>
      </c>
      <c r="F5" s="833"/>
      <c r="G5" s="834">
        <f>inputPrYr!B44</f>
        <v>0</v>
      </c>
      <c r="H5" s="833"/>
      <c r="I5" s="834">
        <f>inputPrYr!B45</f>
        <v>0</v>
      </c>
      <c r="J5" s="833"/>
      <c r="K5" s="124"/>
    </row>
    <row r="6" spans="1:11" ht="15.75">
      <c r="A6" s="125" t="s">
        <v>346</v>
      </c>
      <c r="B6" s="126"/>
      <c r="C6" s="127" t="s">
        <v>346</v>
      </c>
      <c r="D6" s="128"/>
      <c r="E6" s="127" t="s">
        <v>346</v>
      </c>
      <c r="F6" s="129"/>
      <c r="G6" s="127" t="s">
        <v>346</v>
      </c>
      <c r="H6" s="123"/>
      <c r="I6" s="127" t="s">
        <v>346</v>
      </c>
      <c r="J6" s="112"/>
      <c r="K6" s="130" t="s">
        <v>245</v>
      </c>
    </row>
    <row r="7" spans="1:11" ht="15.75">
      <c r="A7" s="131" t="s">
        <v>347</v>
      </c>
      <c r="B7" s="132">
        <v>95779</v>
      </c>
      <c r="C7" s="133" t="s">
        <v>347</v>
      </c>
      <c r="D7" s="132"/>
      <c r="E7" s="133" t="s">
        <v>347</v>
      </c>
      <c r="F7" s="132"/>
      <c r="G7" s="133" t="s">
        <v>347</v>
      </c>
      <c r="H7" s="132"/>
      <c r="I7" s="133" t="s">
        <v>347</v>
      </c>
      <c r="J7" s="132"/>
      <c r="K7" s="134">
        <f>SUM(B7+D7+F7+H7+J7)</f>
        <v>95779</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t="s">
        <v>960</v>
      </c>
      <c r="B10" s="132"/>
      <c r="C10" s="138"/>
      <c r="D10" s="132"/>
      <c r="E10" s="138"/>
      <c r="F10" s="132"/>
      <c r="G10" s="138"/>
      <c r="H10" s="132"/>
      <c r="I10" s="138"/>
      <c r="J10" s="132"/>
      <c r="K10" s="119"/>
    </row>
    <row r="11" spans="1:11" ht="15.75">
      <c r="A11" s="138" t="s">
        <v>961</v>
      </c>
      <c r="B11" s="132">
        <v>1406</v>
      </c>
      <c r="C11" s="139"/>
      <c r="D11" s="140"/>
      <c r="E11" s="139"/>
      <c r="F11" s="132"/>
      <c r="G11" s="139"/>
      <c r="H11" s="132"/>
      <c r="I11" s="141"/>
      <c r="J11" s="132"/>
      <c r="K11" s="119"/>
    </row>
    <row r="12" spans="1:11" ht="15.75">
      <c r="A12" s="138" t="s">
        <v>969</v>
      </c>
      <c r="B12" s="142">
        <v>1442</v>
      </c>
      <c r="C12" s="138"/>
      <c r="D12" s="143"/>
      <c r="E12" s="144"/>
      <c r="F12" s="132"/>
      <c r="G12" s="144"/>
      <c r="H12" s="132"/>
      <c r="I12" s="144"/>
      <c r="J12" s="132"/>
      <c r="K12" s="119"/>
    </row>
    <row r="13" spans="1:11" ht="15.75">
      <c r="A13" s="145" t="s">
        <v>970</v>
      </c>
      <c r="B13" s="146">
        <v>100</v>
      </c>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287</v>
      </c>
      <c r="B17" s="134">
        <f>SUM(B9:B16)</f>
        <v>2948</v>
      </c>
      <c r="C17" s="135" t="s">
        <v>287</v>
      </c>
      <c r="D17" s="134">
        <f>SUM(D9:D16)</f>
        <v>0</v>
      </c>
      <c r="E17" s="135" t="s">
        <v>287</v>
      </c>
      <c r="F17" s="148">
        <f>SUM(F9:F16)</f>
        <v>0</v>
      </c>
      <c r="G17" s="135" t="s">
        <v>287</v>
      </c>
      <c r="H17" s="134">
        <f>SUM(H9:H16)</f>
        <v>0</v>
      </c>
      <c r="I17" s="135" t="s">
        <v>287</v>
      </c>
      <c r="J17" s="134">
        <f>SUM(J9:J16)</f>
        <v>0</v>
      </c>
      <c r="K17" s="134">
        <f>SUM(B17+D17+F17+H17+J17)</f>
        <v>2948</v>
      </c>
    </row>
    <row r="18" spans="1:11" ht="15.75">
      <c r="A18" s="135" t="s">
        <v>288</v>
      </c>
      <c r="B18" s="134">
        <f>SUM(B7+B17)</f>
        <v>98727</v>
      </c>
      <c r="C18" s="135" t="s">
        <v>288</v>
      </c>
      <c r="D18" s="134">
        <f>SUM(D7+D17)</f>
        <v>0</v>
      </c>
      <c r="E18" s="135" t="s">
        <v>288</v>
      </c>
      <c r="F18" s="134">
        <f>SUM(F7+F17)</f>
        <v>0</v>
      </c>
      <c r="G18" s="135" t="s">
        <v>288</v>
      </c>
      <c r="H18" s="134">
        <f>SUM(H7+H17)</f>
        <v>0</v>
      </c>
      <c r="I18" s="135" t="s">
        <v>288</v>
      </c>
      <c r="J18" s="134">
        <f>SUM(J7+J17)</f>
        <v>0</v>
      </c>
      <c r="K18" s="134">
        <f>SUM(B18+D18+F18+H18+J18)</f>
        <v>98727</v>
      </c>
    </row>
    <row r="19" spans="1:11" ht="15.75">
      <c r="A19" s="135" t="s">
        <v>289</v>
      </c>
      <c r="B19" s="136"/>
      <c r="C19" s="135" t="s">
        <v>289</v>
      </c>
      <c r="D19" s="137"/>
      <c r="E19" s="135" t="s">
        <v>289</v>
      </c>
      <c r="F19" s="119"/>
      <c r="G19" s="135" t="s">
        <v>289</v>
      </c>
      <c r="H19" s="112"/>
      <c r="I19" s="135" t="s">
        <v>289</v>
      </c>
      <c r="J19" s="112"/>
      <c r="K19" s="119"/>
    </row>
    <row r="20" spans="1:11" ht="15.75">
      <c r="A20" s="138"/>
      <c r="B20" s="132"/>
      <c r="C20" s="144"/>
      <c r="D20" s="132"/>
      <c r="E20" s="144"/>
      <c r="F20" s="132"/>
      <c r="G20" s="144"/>
      <c r="H20" s="132"/>
      <c r="I20" s="144"/>
      <c r="J20" s="132"/>
      <c r="K20" s="119"/>
    </row>
    <row r="21" spans="1:11" ht="15.75">
      <c r="A21" s="138" t="s">
        <v>962</v>
      </c>
      <c r="B21" s="132">
        <v>1810</v>
      </c>
      <c r="C21" s="144"/>
      <c r="D21" s="132"/>
      <c r="E21" s="144"/>
      <c r="F21" s="132"/>
      <c r="G21" s="144"/>
      <c r="H21" s="132"/>
      <c r="I21" s="144"/>
      <c r="J21" s="132"/>
      <c r="K21" s="119"/>
    </row>
    <row r="22" spans="1:11" ht="15.75">
      <c r="A22" s="138" t="s">
        <v>964</v>
      </c>
      <c r="B22" s="132">
        <f>10042+2614</f>
        <v>12656</v>
      </c>
      <c r="C22" s="147"/>
      <c r="D22" s="132"/>
      <c r="E22" s="147"/>
      <c r="F22" s="132"/>
      <c r="G22" s="147"/>
      <c r="H22" s="132"/>
      <c r="I22" s="141"/>
      <c r="J22" s="132"/>
      <c r="K22" s="119"/>
    </row>
    <row r="23" spans="1:11" ht="15.75">
      <c r="A23" s="138" t="s">
        <v>963</v>
      </c>
      <c r="B23" s="132">
        <f>27344+8045</f>
        <v>35389</v>
      </c>
      <c r="C23" s="144"/>
      <c r="D23" s="132"/>
      <c r="E23" s="144"/>
      <c r="F23" s="132"/>
      <c r="G23" s="144"/>
      <c r="H23" s="132"/>
      <c r="I23" s="144"/>
      <c r="J23" s="132"/>
      <c r="K23" s="119"/>
    </row>
    <row r="24" spans="1:11" ht="15.75">
      <c r="A24" s="138" t="s">
        <v>55</v>
      </c>
      <c r="B24" s="132">
        <f>+7182+1632</f>
        <v>8814</v>
      </c>
      <c r="C24" s="147"/>
      <c r="D24" s="132"/>
      <c r="E24" s="147"/>
      <c r="F24" s="132"/>
      <c r="G24" s="147"/>
      <c r="H24" s="132"/>
      <c r="I24" s="141"/>
      <c r="J24" s="132"/>
      <c r="K24" s="119"/>
    </row>
    <row r="25" spans="1:11" ht="15.75">
      <c r="A25" s="138" t="s">
        <v>971</v>
      </c>
      <c r="B25" s="132">
        <v>18163</v>
      </c>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290</v>
      </c>
      <c r="B28" s="134">
        <f>SUM(B20:B27)</f>
        <v>76832</v>
      </c>
      <c r="C28" s="135" t="s">
        <v>290</v>
      </c>
      <c r="D28" s="134">
        <f>SUM(D20:D27)</f>
        <v>0</v>
      </c>
      <c r="E28" s="135" t="s">
        <v>290</v>
      </c>
      <c r="F28" s="148">
        <f>SUM(F20:F27)</f>
        <v>0</v>
      </c>
      <c r="G28" s="135" t="s">
        <v>290</v>
      </c>
      <c r="H28" s="148">
        <f>SUM(H20:H27)</f>
        <v>0</v>
      </c>
      <c r="I28" s="135" t="s">
        <v>290</v>
      </c>
      <c r="J28" s="134">
        <f>SUM(J20:J27)</f>
        <v>0</v>
      </c>
      <c r="K28" s="134">
        <f>SUM(B28+D28+F28+H28+J28)</f>
        <v>76832</v>
      </c>
    </row>
    <row r="29" spans="1:12" ht="15.75">
      <c r="A29" s="135" t="s">
        <v>348</v>
      </c>
      <c r="B29" s="134">
        <f>SUM(B18-B28)</f>
        <v>21895</v>
      </c>
      <c r="C29" s="135" t="s">
        <v>348</v>
      </c>
      <c r="D29" s="134">
        <f>SUM(D18-D28)</f>
        <v>0</v>
      </c>
      <c r="E29" s="135" t="s">
        <v>348</v>
      </c>
      <c r="F29" s="134">
        <f>SUM(F18-F28)</f>
        <v>0</v>
      </c>
      <c r="G29" s="135" t="s">
        <v>348</v>
      </c>
      <c r="H29" s="134">
        <f>SUM(H18-H28)</f>
        <v>0</v>
      </c>
      <c r="I29" s="135" t="s">
        <v>348</v>
      </c>
      <c r="J29" s="134">
        <f>SUM(J18-J28)</f>
        <v>0</v>
      </c>
      <c r="K29" s="149">
        <f>SUM(B29+D29+F29+H29+J29)</f>
        <v>21895</v>
      </c>
      <c r="L29" s="113" t="s">
        <v>349</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21895</v>
      </c>
      <c r="L30" s="113" t="s">
        <v>349</v>
      </c>
    </row>
    <row r="31" spans="1:11" ht="15.75">
      <c r="A31" s="112"/>
      <c r="B31" s="150"/>
      <c r="C31" s="112"/>
      <c r="D31" s="119"/>
      <c r="E31" s="112"/>
      <c r="F31" s="112"/>
      <c r="G31" s="151" t="s">
        <v>350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273</v>
      </c>
      <c r="F33" s="153">
        <v>9</v>
      </c>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100"/>
  <sheetViews>
    <sheetView zoomScale="70" zoomScaleNormal="70" zoomScalePageLayoutView="0" workbookViewId="0" topLeftCell="A5">
      <selection activeCell="B14" sqref="B14"/>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2014</v>
      </c>
    </row>
    <row r="2" spans="1:8" ht="15.75">
      <c r="A2" s="800" t="s">
        <v>23</v>
      </c>
      <c r="B2" s="782"/>
      <c r="C2" s="782"/>
      <c r="D2" s="782"/>
      <c r="E2" s="782"/>
      <c r="F2" s="782"/>
      <c r="G2" s="782"/>
      <c r="H2" s="782"/>
    </row>
    <row r="3" spans="1:8" ht="15.75">
      <c r="A3" s="367"/>
      <c r="B3" s="65"/>
      <c r="C3" s="65"/>
      <c r="D3" s="65"/>
      <c r="E3" s="65"/>
      <c r="F3" s="72" t="s">
        <v>301</v>
      </c>
      <c r="G3" s="72" t="s">
        <v>302</v>
      </c>
      <c r="H3" s="65"/>
    </row>
    <row r="4" spans="1:8" ht="15.75">
      <c r="A4" s="795" t="s">
        <v>303</v>
      </c>
      <c r="B4" s="795"/>
      <c r="C4" s="795"/>
      <c r="D4" s="795"/>
      <c r="E4" s="795"/>
      <c r="F4" s="795"/>
      <c r="G4" s="795"/>
      <c r="H4" s="795"/>
    </row>
    <row r="5" spans="1:8" ht="15.75">
      <c r="A5" s="798" t="str">
        <f>inputPrYr!D3</f>
        <v>Padonia Township</v>
      </c>
      <c r="B5" s="798"/>
      <c r="C5" s="798"/>
      <c r="D5" s="798"/>
      <c r="E5" s="798"/>
      <c r="F5" s="798"/>
      <c r="G5" s="798"/>
      <c r="H5" s="798"/>
    </row>
    <row r="6" spans="1:8" ht="15.75">
      <c r="A6" s="798" t="str">
        <f>inputPrYr!D4</f>
        <v>Brown County</v>
      </c>
      <c r="B6" s="798"/>
      <c r="C6" s="798"/>
      <c r="D6" s="798"/>
      <c r="E6" s="798"/>
      <c r="F6" s="798"/>
      <c r="G6" s="798"/>
      <c r="H6" s="798"/>
    </row>
    <row r="7" spans="1:8" ht="15.75">
      <c r="A7" s="847" t="str">
        <f>CONCATENATE("will meet on ",inputBudSum!B8," at ",inputBudSum!B10," at ",inputBudSum!B12," for the purpose of hearing and")</f>
        <v>will meet on August 22, 2013 at 8:00 PM at Jerry Reschke, 1515 320 Street, Hiawatha for the purpose of hearing and</v>
      </c>
      <c r="B7" s="847"/>
      <c r="C7" s="847"/>
      <c r="D7" s="847"/>
      <c r="E7" s="847"/>
      <c r="F7" s="847"/>
      <c r="G7" s="847"/>
      <c r="H7" s="847"/>
    </row>
    <row r="8" spans="1:8" ht="15.75">
      <c r="A8" s="795" t="s">
        <v>412</v>
      </c>
      <c r="B8" s="797"/>
      <c r="C8" s="797"/>
      <c r="D8" s="797"/>
      <c r="E8" s="797"/>
      <c r="F8" s="797"/>
      <c r="G8" s="797"/>
      <c r="H8" s="797"/>
    </row>
    <row r="9" spans="1:8" ht="15.75">
      <c r="A9" s="793" t="str">
        <f>CONCATENATE("Detailed budget information is available at ",inputBudSum!B15," and will be available at this hearing.")</f>
        <v>Detailed budget information is available at Brown County Clerk's office and will be available at this hearing.</v>
      </c>
      <c r="B9" s="782"/>
      <c r="C9" s="782"/>
      <c r="D9" s="782"/>
      <c r="E9" s="782"/>
      <c r="F9" s="782"/>
      <c r="G9" s="782"/>
      <c r="H9" s="782"/>
    </row>
    <row r="10" spans="1:8" ht="15.75">
      <c r="A10" s="800" t="s">
        <v>24</v>
      </c>
      <c r="B10" s="797"/>
      <c r="C10" s="797"/>
      <c r="D10" s="797"/>
      <c r="E10" s="797"/>
      <c r="F10" s="797"/>
      <c r="G10" s="797"/>
      <c r="H10" s="797"/>
    </row>
    <row r="11" spans="1:8" ht="15.75">
      <c r="A11" s="795" t="str">
        <f>CONCATENATE("Proposed Budget ",H1," Expenditures and Amount of ",H1-1," Ad Valorem Tax establish the maximum limits")</f>
        <v>Proposed Budget 2014 Expenditures and Amount of 2013 Ad Valorem Tax establish the maximum limits</v>
      </c>
      <c r="B11" s="797"/>
      <c r="C11" s="797"/>
      <c r="D11" s="797"/>
      <c r="E11" s="797"/>
      <c r="F11" s="797"/>
      <c r="G11" s="797"/>
      <c r="H11" s="797"/>
    </row>
    <row r="12" spans="1:8" ht="15.75">
      <c r="A12" s="795" t="str">
        <f>CONCATENATE("of the ",H1," budget.  Estimated Tax Rate is subject to change depending on the final assessed valuation.")</f>
        <v>of the 2014 budget.  Estimated Tax Rate is subject to change depending on the final assessed valuation.</v>
      </c>
      <c r="B12" s="797"/>
      <c r="C12" s="797"/>
      <c r="D12" s="797"/>
      <c r="E12" s="797"/>
      <c r="F12" s="797"/>
      <c r="G12" s="797"/>
      <c r="H12" s="797"/>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296</v>
      </c>
      <c r="D15" s="74"/>
      <c r="E15" s="74" t="s">
        <v>296</v>
      </c>
      <c r="F15" s="206"/>
      <c r="G15" s="787" t="str">
        <f>CONCATENATE("Amount of ",H1-1," Ad Valorem Tax")</f>
        <v>Amount of 2013 Ad Valorem Tax</v>
      </c>
      <c r="H15" s="74" t="s">
        <v>304</v>
      </c>
      <c r="I15" s="199"/>
    </row>
    <row r="16" spans="1:9" ht="15.75">
      <c r="A16" s="75"/>
      <c r="B16" s="76"/>
      <c r="C16" s="76" t="s">
        <v>305</v>
      </c>
      <c r="D16" s="76"/>
      <c r="E16" s="76" t="s">
        <v>305</v>
      </c>
      <c r="F16" s="500" t="s">
        <v>177</v>
      </c>
      <c r="G16" s="845"/>
      <c r="H16" s="76" t="s">
        <v>305</v>
      </c>
      <c r="I16" s="199"/>
    </row>
    <row r="17" spans="1:10" ht="15.75">
      <c r="A17" s="79" t="s">
        <v>255</v>
      </c>
      <c r="B17" s="79" t="s">
        <v>306</v>
      </c>
      <c r="C17" s="79" t="s">
        <v>307</v>
      </c>
      <c r="D17" s="79" t="s">
        <v>306</v>
      </c>
      <c r="E17" s="79" t="s">
        <v>307</v>
      </c>
      <c r="F17" s="499" t="s">
        <v>730</v>
      </c>
      <c r="G17" s="846"/>
      <c r="H17" s="79" t="s">
        <v>307</v>
      </c>
      <c r="I17" s="199"/>
      <c r="J17" s="527"/>
    </row>
    <row r="18" spans="1:10" ht="15.75">
      <c r="A18" s="90" t="str">
        <f>inputPrYr!B20</f>
        <v>General</v>
      </c>
      <c r="B18" s="90">
        <f>IF(gen!$C$42&lt;&gt;0,gen!$C$42,"  ")</f>
        <v>2865</v>
      </c>
      <c r="C18" s="93">
        <f>IF(inputPrYr!D49&gt;0,inputPrYr!D49,"  ")</f>
        <v>0.854</v>
      </c>
      <c r="D18" s="90">
        <f>IF(gen!$D$42&lt;&gt;0,gen!$D$42,"  ")</f>
        <v>5100</v>
      </c>
      <c r="E18" s="93">
        <f>IF(inputOth!D37&gt;0,inputOth!D37,"  ")</f>
        <v>1.069</v>
      </c>
      <c r="F18" s="90">
        <f>IF(gen!$E$42&lt;&gt;0,gen!$E$42,"  ")</f>
        <v>5290</v>
      </c>
      <c r="G18" s="90">
        <f>IF(gen!$E$49&lt;&gt;0,gen!$E$49,"")</f>
        <v>1719</v>
      </c>
      <c r="H18" s="93">
        <f>IF(gen!E49&gt;0,ROUND(G18/F28*1000,3)," ")</f>
        <v>0.281</v>
      </c>
      <c r="I18" s="199"/>
      <c r="J18" s="527"/>
    </row>
    <row r="19" spans="1:8" ht="15.75">
      <c r="A19" s="90" t="str">
        <f>IF(inputPrYr!$B23&gt;"  ",inputPrYr!$B23,"  ")</f>
        <v>Road</v>
      </c>
      <c r="B19" s="90">
        <f>IF(road!$C$41&lt;&gt;0,road!$C$41,"  ")</f>
        <v>75231</v>
      </c>
      <c r="C19" s="93">
        <f>IF(inputPrYr!D52&gt;0,inputPrYr!D52,"  ")</f>
        <v>14.131</v>
      </c>
      <c r="D19" s="90">
        <f>IF(road!$D$41&lt;&gt;0,road!$D$41,"  ")</f>
        <v>79350</v>
      </c>
      <c r="E19" s="93">
        <f>IF(inputOth!D40&gt;0,inputOth!D40,"  ")</f>
        <v>12.738</v>
      </c>
      <c r="F19" s="90">
        <f>IF(road!$E$41&lt;&gt;0,road!$E$41,"  ")</f>
        <v>83949</v>
      </c>
      <c r="G19" s="90">
        <f>IF(road!$E$48&lt;&gt;0,road!$E$48,"  ")</f>
        <v>72002</v>
      </c>
      <c r="H19" s="93">
        <f>IF(road!E48&gt;0,ROUND(G19/F29*1000,3)," ")</f>
        <v>11.914</v>
      </c>
    </row>
    <row r="20" spans="1:13" ht="15.75">
      <c r="A20" s="90" t="str">
        <f>IF(inputPrYr!$B26&gt;"  ",inputPrYr!$B26,"  ")</f>
        <v>Fire Protection</v>
      </c>
      <c r="B20" s="90">
        <f>IF(Fire!$C$28&lt;&gt;0,Fire!$C$28,"  ")</f>
        <v>2000</v>
      </c>
      <c r="C20" s="93">
        <f>IF(inputPrYr!D55&gt;0,inputPrYr!D55,"  ")</f>
        <v>0.579</v>
      </c>
      <c r="D20" s="90">
        <f>IF(Fire!$D$28&lt;&gt;0,Fire!$D$28,"  ")</f>
        <v>3300</v>
      </c>
      <c r="E20" s="93">
        <f>IF(inputOth!D43&gt;0,inputOth!D43,"  ")</f>
        <v>0.363</v>
      </c>
      <c r="F20" s="90">
        <f>IF(Fire!$E$28&lt;&gt;0,Fire!$E$28,"  ")</f>
        <v>5300</v>
      </c>
      <c r="G20" s="90">
        <f>IF(Fire!$E$35&lt;&gt;0,Fire!$E$35,"  ")</f>
        <v>4734</v>
      </c>
      <c r="H20" s="93">
        <f>IF(Fire!E35&gt;0,ROUND(G20/F29*1000,3)," ")</f>
        <v>0.783</v>
      </c>
      <c r="J20" s="837" t="str">
        <f>CONCATENATE("Estimated Value Of One Mill For ",H1,"")</f>
        <v>Estimated Value Of One Mill For 2014</v>
      </c>
      <c r="K20" s="842"/>
      <c r="L20" s="842"/>
      <c r="M20" s="843"/>
    </row>
    <row r="21" spans="1:13" ht="15.75">
      <c r="A21" s="90" t="str">
        <f>IF(inputPrYr!$B38&gt;"  ",inputPrYr!$B38,"  ")</f>
        <v>  </v>
      </c>
      <c r="B21" s="90" t="str">
        <f>IF(nolevypage14!$C$59&lt;&gt;0,nolevypage14!$C$59,"  ")</f>
        <v>  </v>
      </c>
      <c r="C21" s="93"/>
      <c r="D21" s="90" t="str">
        <f>IF(nolevypage14!$D$59&lt;&gt;0,nolevypage14!$D$59,"  ")</f>
        <v>  </v>
      </c>
      <c r="E21" s="93"/>
      <c r="F21" s="90" t="str">
        <f>IF(nolevypage14!$E$59&lt;&gt;0,nolevypage14!$E$59,"  ")</f>
        <v>  </v>
      </c>
      <c r="G21" s="90"/>
      <c r="H21" s="93"/>
      <c r="J21" s="543" t="s">
        <v>746</v>
      </c>
      <c r="K21" s="521"/>
      <c r="L21" s="521"/>
      <c r="M21" s="520" t="e">
        <f>#REF!*-1</f>
        <v>#REF!</v>
      </c>
    </row>
    <row r="22" spans="1:13" ht="15.75">
      <c r="A22" s="90" t="s">
        <v>965</v>
      </c>
      <c r="B22" s="741">
        <f>IF((Reserve!$K$28)&lt;&gt;0,(Reserve!$K$28),"  ")</f>
        <v>76832</v>
      </c>
      <c r="C22" s="339"/>
      <c r="D22" s="90"/>
      <c r="E22" s="93"/>
      <c r="F22" s="90"/>
      <c r="G22" s="90"/>
      <c r="H22" s="93"/>
      <c r="J22" s="519" t="s">
        <v>747</v>
      </c>
      <c r="K22" s="516"/>
      <c r="L22" s="516"/>
      <c r="M22" s="518" t="e">
        <f>M33*-1</f>
        <v>#REF!</v>
      </c>
    </row>
    <row r="23" spans="1:13" ht="16.5" thickBot="1">
      <c r="A23" s="105" t="s">
        <v>257</v>
      </c>
      <c r="B23" s="482">
        <f>IF(road!C62&lt;&gt;0,road!C62,"  ")</f>
        <v>18163</v>
      </c>
      <c r="C23" s="483"/>
      <c r="D23" s="483"/>
      <c r="E23" s="483"/>
      <c r="F23" s="483"/>
      <c r="G23" s="483"/>
      <c r="H23" s="483"/>
      <c r="J23" s="517"/>
      <c r="K23" s="517"/>
      <c r="L23" s="517"/>
      <c r="M23" s="517"/>
    </row>
    <row r="24" spans="1:13" ht="15.75">
      <c r="A24" s="105" t="s">
        <v>258</v>
      </c>
      <c r="B24" s="480">
        <f aca="true" t="shared" si="0" ref="B24:H24">SUM(B18:B23)</f>
        <v>175091</v>
      </c>
      <c r="C24" s="481">
        <f t="shared" si="0"/>
        <v>15.564</v>
      </c>
      <c r="D24" s="480">
        <f t="shared" si="0"/>
        <v>87750</v>
      </c>
      <c r="E24" s="481">
        <f t="shared" si="0"/>
        <v>14.169999999999998</v>
      </c>
      <c r="F24" s="480">
        <f t="shared" si="0"/>
        <v>94539</v>
      </c>
      <c r="G24" s="480">
        <f t="shared" si="0"/>
        <v>78455</v>
      </c>
      <c r="H24" s="481">
        <f t="shared" si="0"/>
        <v>12.978</v>
      </c>
      <c r="J24" s="837" t="str">
        <f>CONCATENATE("Impact On Keeping The Same Mill Rate As For ",H1-1,"")</f>
        <v>Impact On Keeping The Same Mill Rate As For 2013</v>
      </c>
      <c r="K24" s="838"/>
      <c r="L24" s="838"/>
      <c r="M24" s="839"/>
    </row>
    <row r="25" spans="1:13" ht="15.75">
      <c r="A25" s="105" t="s">
        <v>308</v>
      </c>
      <c r="B25" s="90">
        <f>transfer!C29</f>
        <v>0</v>
      </c>
      <c r="C25" s="65"/>
      <c r="D25" s="90">
        <f>transfer!D29</f>
        <v>0</v>
      </c>
      <c r="E25" s="208"/>
      <c r="F25" s="90">
        <f>transfer!E29</f>
        <v>0</v>
      </c>
      <c r="G25" s="65"/>
      <c r="H25" s="65"/>
      <c r="J25" s="524"/>
      <c r="K25" s="526"/>
      <c r="L25" s="526"/>
      <c r="M25" s="523"/>
    </row>
    <row r="26" spans="1:13" ht="16.5" thickBot="1">
      <c r="A26" s="105" t="s">
        <v>309</v>
      </c>
      <c r="B26" s="484">
        <f>B24-B25</f>
        <v>175091</v>
      </c>
      <c r="C26" s="65"/>
      <c r="D26" s="484">
        <f>D24-D25</f>
        <v>87750</v>
      </c>
      <c r="E26" s="65"/>
      <c r="F26" s="484">
        <f>F24-F25</f>
        <v>94539</v>
      </c>
      <c r="G26" s="65"/>
      <c r="H26" s="65"/>
      <c r="J26" s="524" t="str">
        <f>CONCATENATE("",H1," Ad Valorem Tax Rev(Township Only):")</f>
        <v>2014 Ad Valorem Tax Rev(Township Only):</v>
      </c>
      <c r="K26" s="526"/>
      <c r="L26" s="526"/>
      <c r="M26" s="525">
        <f>SUM(G19:G20)</f>
        <v>76736</v>
      </c>
    </row>
    <row r="27" spans="1:13" ht="16.5" thickTop="1">
      <c r="A27" s="105" t="s">
        <v>0</v>
      </c>
      <c r="B27" s="231">
        <f>inputPrYr!E63</f>
        <v>75387</v>
      </c>
      <c r="C27" s="208"/>
      <c r="D27" s="231">
        <f>inputPrYr!E32</f>
        <v>77696</v>
      </c>
      <c r="E27" s="65"/>
      <c r="F27" s="485" t="s">
        <v>259</v>
      </c>
      <c r="G27" s="65"/>
      <c r="H27" s="65"/>
      <c r="J27" s="524" t="str">
        <f>CONCATENATE("",H1," Ad Valorem Tax Rev(Township Tot):")</f>
        <v>2014 Ad Valorem Tax Rev(Township Tot):</v>
      </c>
      <c r="K27" s="526"/>
      <c r="L27" s="526"/>
      <c r="M27" s="538" t="e">
        <f>SUM(G18,#REF!,#REF!,#REF!,#REF!,#REF!,#REF!,#REF!)</f>
        <v>#REF!</v>
      </c>
    </row>
    <row r="28" spans="1:13" ht="15.75">
      <c r="A28" s="105" t="s">
        <v>184</v>
      </c>
      <c r="B28" s="90">
        <f>inputPrYr!E64</f>
        <v>4928973</v>
      </c>
      <c r="C28" s="208"/>
      <c r="D28" s="90">
        <f>inputOth!E55</f>
        <v>5566176</v>
      </c>
      <c r="E28" s="208"/>
      <c r="F28" s="90">
        <f>inputOth!E11</f>
        <v>6122569</v>
      </c>
      <c r="G28" s="65"/>
      <c r="H28" s="65"/>
      <c r="J28" s="524" t="str">
        <f>CONCATENATE("Total ",H1," Ad Valorem Tax Revenue:")</f>
        <v>Total 2014 Ad Valorem Tax Revenue:</v>
      </c>
      <c r="K28" s="511"/>
      <c r="L28" s="511"/>
      <c r="M28" s="539" t="e">
        <f>M26+M27</f>
        <v>#REF!</v>
      </c>
    </row>
    <row r="29" spans="1:14" ht="15.75">
      <c r="A29" s="80" t="s">
        <v>239</v>
      </c>
      <c r="B29" s="209"/>
      <c r="C29" s="65"/>
      <c r="D29" s="178"/>
      <c r="E29" s="65"/>
      <c r="F29" s="90">
        <f>inputOth!E8</f>
        <v>6043527</v>
      </c>
      <c r="G29" s="65"/>
      <c r="H29" s="65"/>
      <c r="J29" s="524" t="str">
        <f>CONCATENATE("",H1-1," Ad Valorem Tax Rev(Township Only):")</f>
        <v>2013 Ad Valorem Tax Rev(Township Only):</v>
      </c>
      <c r="K29" s="526"/>
      <c r="L29" s="526"/>
      <c r="M29" s="540">
        <f>ROUND(SUM(E19:E20)*F29/1000,0)</f>
        <v>79176</v>
      </c>
      <c r="N29" s="532"/>
    </row>
    <row r="30" spans="1:15" ht="15.75">
      <c r="A30" s="108"/>
      <c r="B30" s="178"/>
      <c r="C30" s="65"/>
      <c r="D30" s="178"/>
      <c r="E30" s="65"/>
      <c r="F30" s="178"/>
      <c r="G30" s="65"/>
      <c r="H30" s="65"/>
      <c r="J30" s="524" t="str">
        <f>CONCATENATE("",H1-1," Ad Valorem Tax Rev(Township Tot):")</f>
        <v>2013 Ad Valorem Tax Rev(Township Tot):</v>
      </c>
      <c r="K30" s="511"/>
      <c r="L30" s="511"/>
      <c r="M30" s="541" t="e">
        <f>ROUND(SUM(E18,#REF!,#REF!,(#REF!,#REF!,#REF!,#REF!,#REF!))*F28/1000,0)</f>
        <v>#REF!</v>
      </c>
      <c r="N30" s="532"/>
      <c r="O30" s="532"/>
    </row>
    <row r="31" spans="1:15" ht="15.75">
      <c r="A31" s="72" t="s">
        <v>1</v>
      </c>
      <c r="B31" s="65"/>
      <c r="C31" s="65"/>
      <c r="D31" s="65"/>
      <c r="E31" s="65"/>
      <c r="F31" s="65"/>
      <c r="G31" s="65"/>
      <c r="H31" s="65"/>
      <c r="J31" s="510" t="str">
        <f>CONCATENATE("Total ",H1-1," Ad Valorem Tax Revenue:")</f>
        <v>Total 2013 Ad Valorem Tax Revenue:</v>
      </c>
      <c r="K31" s="511"/>
      <c r="L31" s="511"/>
      <c r="M31" s="542" t="e">
        <f>M29+M30</f>
        <v>#REF!</v>
      </c>
      <c r="O31" s="532"/>
    </row>
    <row r="32" spans="1:13" ht="15.75">
      <c r="A32" s="72" t="s">
        <v>2</v>
      </c>
      <c r="B32" s="210">
        <f>H1-3</f>
        <v>2011</v>
      </c>
      <c r="C32" s="65"/>
      <c r="D32" s="210">
        <f>H1-2</f>
        <v>2012</v>
      </c>
      <c r="E32" s="65"/>
      <c r="F32" s="210">
        <f>H1-1</f>
        <v>2013</v>
      </c>
      <c r="G32" s="65"/>
      <c r="H32" s="65"/>
      <c r="J32" s="522" t="s">
        <v>740</v>
      </c>
      <c r="K32" s="521"/>
      <c r="L32" s="521"/>
      <c r="M32" s="520" t="e">
        <f>M28-M31</f>
        <v>#REF!</v>
      </c>
    </row>
    <row r="33" spans="1:13" ht="15.75">
      <c r="A33" s="72" t="s">
        <v>285</v>
      </c>
      <c r="B33" s="83">
        <f>inputPrYr!D68</f>
        <v>0</v>
      </c>
      <c r="C33" s="69"/>
      <c r="D33" s="83">
        <f>inputPrYr!E68</f>
        <v>0</v>
      </c>
      <c r="E33" s="69"/>
      <c r="F33" s="83">
        <f>debt!F15</f>
        <v>0</v>
      </c>
      <c r="G33" s="65"/>
      <c r="H33" s="367"/>
      <c r="J33" s="519" t="s">
        <v>742</v>
      </c>
      <c r="K33" s="516"/>
      <c r="L33" s="516"/>
      <c r="M33" s="518" t="e">
        <f>M27-M30</f>
        <v>#REF!</v>
      </c>
    </row>
    <row r="34" spans="1:8" ht="15.75">
      <c r="A34" s="72" t="s">
        <v>736</v>
      </c>
      <c r="B34" s="83">
        <f>inputPrYr!D69</f>
        <v>77500</v>
      </c>
      <c r="C34" s="69"/>
      <c r="D34" s="83">
        <f>inputPrYr!E69</f>
        <v>63000</v>
      </c>
      <c r="E34" s="69"/>
      <c r="F34" s="83">
        <f>debt!G36</f>
        <v>47167</v>
      </c>
      <c r="G34" s="65"/>
      <c r="H34" s="65"/>
    </row>
    <row r="35" spans="1:13" ht="16.5" thickBot="1">
      <c r="A35" s="72" t="s">
        <v>4</v>
      </c>
      <c r="B35" s="100">
        <f>SUM(B33:B34)</f>
        <v>77500</v>
      </c>
      <c r="C35" s="69"/>
      <c r="D35" s="100">
        <f>SUM(D33:D34)</f>
        <v>63000</v>
      </c>
      <c r="E35" s="69"/>
      <c r="F35" s="100">
        <f>SUM(F33:F34)</f>
        <v>47167</v>
      </c>
      <c r="G35" s="65"/>
      <c r="H35" s="65"/>
      <c r="J35" s="837" t="s">
        <v>741</v>
      </c>
      <c r="K35" s="840"/>
      <c r="L35" s="840"/>
      <c r="M35" s="841"/>
    </row>
    <row r="36" spans="1:13" ht="16.5" thickTop="1">
      <c r="A36" s="72" t="s">
        <v>5</v>
      </c>
      <c r="B36" s="65"/>
      <c r="C36" s="65"/>
      <c r="D36" s="65"/>
      <c r="E36" s="65"/>
      <c r="F36" s="65"/>
      <c r="G36" s="65"/>
      <c r="H36" s="65"/>
      <c r="J36" s="524"/>
      <c r="K36" s="526"/>
      <c r="L36" s="526"/>
      <c r="M36" s="523"/>
    </row>
    <row r="37" spans="1:13" ht="15.75">
      <c r="A37" s="65"/>
      <c r="B37" s="65"/>
      <c r="C37" s="65"/>
      <c r="D37" s="65"/>
      <c r="E37" s="65"/>
      <c r="F37" s="65"/>
      <c r="G37" s="65"/>
      <c r="H37" s="65"/>
      <c r="J37" s="529" t="str">
        <f>CONCATENATE("Enter Desired ",$H$1," Mill Rate:")</f>
        <v>Enter Desired 2014 Mill Rate:</v>
      </c>
      <c r="K37" s="530"/>
      <c r="L37" s="531"/>
      <c r="M37" s="528">
        <v>12</v>
      </c>
    </row>
    <row r="38" spans="1:13" ht="15.75">
      <c r="A38" s="844" t="str">
        <f>inputBudSum!B4</f>
        <v>Bradley Swearingen</v>
      </c>
      <c r="B38" s="844"/>
      <c r="C38" s="65"/>
      <c r="D38" s="65"/>
      <c r="E38" s="65"/>
      <c r="F38" s="65"/>
      <c r="G38" s="65"/>
      <c r="H38" s="65"/>
      <c r="J38" s="524" t="str">
        <f>CONCATENATE("Current ",$H$1," Estimated Mill Rate:")</f>
        <v>Current 2014 Estimated Mill Rate:</v>
      </c>
      <c r="K38" s="526"/>
      <c r="L38" s="526"/>
      <c r="M38" s="535">
        <f>IF(M37=0,0,$H$24)</f>
        <v>12.978</v>
      </c>
    </row>
    <row r="39" spans="1:13" ht="15.75">
      <c r="A39" s="835" t="str">
        <f>inputBudSum!B6</f>
        <v>Trustee</v>
      </c>
      <c r="B39" s="836"/>
      <c r="C39" s="65"/>
      <c r="D39" s="65"/>
      <c r="E39" s="65"/>
      <c r="F39" s="65"/>
      <c r="G39" s="65"/>
      <c r="H39" s="65"/>
      <c r="J39" s="524" t="s">
        <v>743</v>
      </c>
      <c r="K39" s="526"/>
      <c r="L39" s="526"/>
      <c r="M39" s="536">
        <f>M37-M38</f>
        <v>-0.9779999999999998</v>
      </c>
    </row>
    <row r="40" spans="1:13" ht="15.75">
      <c r="A40" s="65"/>
      <c r="B40" s="65"/>
      <c r="C40" s="65"/>
      <c r="D40" s="65"/>
      <c r="E40" s="65"/>
      <c r="F40" s="65"/>
      <c r="G40" s="65"/>
      <c r="H40" s="65"/>
      <c r="J40" s="510" t="s">
        <v>744</v>
      </c>
      <c r="K40" s="71"/>
      <c r="L40" s="71"/>
      <c r="M40" s="533">
        <f>IF(M37=0,0,ROUND(SUM(H19:H20)/M38,2))</f>
        <v>0.98</v>
      </c>
    </row>
    <row r="41" spans="1:13" ht="15.75">
      <c r="A41" s="65"/>
      <c r="B41" s="211" t="s">
        <v>273</v>
      </c>
      <c r="C41" s="212">
        <v>10</v>
      </c>
      <c r="D41" s="65"/>
      <c r="E41" s="65"/>
      <c r="F41" s="65"/>
      <c r="G41" s="65"/>
      <c r="H41" s="65"/>
      <c r="J41" s="510" t="s">
        <v>745</v>
      </c>
      <c r="K41" s="71"/>
      <c r="L41" s="71"/>
      <c r="M41" s="533" t="e">
        <f>IF(M37=0,0,ROUND(SUM(H18+#REF!+#REF!+#REF!+#REF!+#REF!+#REF!+#REF!)/M38,2))</f>
        <v>#REF!</v>
      </c>
    </row>
    <row r="42" spans="1:13" ht="15.75">
      <c r="A42" s="113"/>
      <c r="B42" s="113"/>
      <c r="C42" s="113"/>
      <c r="H42" s="534"/>
      <c r="J42" s="522" t="str">
        <f>CONCATENATE("",$H$1," Tax Levy Fund Total Exp. Changed By:")</f>
        <v>2014 Tax Levy Fund Total Exp. Changed By:</v>
      </c>
      <c r="K42" s="521"/>
      <c r="L42" s="521"/>
      <c r="M42" s="525"/>
    </row>
    <row r="43" spans="10:13" ht="15.75">
      <c r="J43" s="543" t="s">
        <v>746</v>
      </c>
      <c r="K43" s="544"/>
      <c r="L43" s="544"/>
      <c r="M43" s="539">
        <f>ROUND(F29*M39*M40/1000,0)</f>
        <v>-5792</v>
      </c>
    </row>
    <row r="44" spans="1:13" ht="15.75">
      <c r="A44" s="113"/>
      <c r="B44" s="113"/>
      <c r="C44" s="113"/>
      <c r="D44" s="113"/>
      <c r="E44" s="113"/>
      <c r="F44" s="113"/>
      <c r="G44" s="113"/>
      <c r="J44" s="519" t="s">
        <v>747</v>
      </c>
      <c r="K44" s="516"/>
      <c r="L44" s="516"/>
      <c r="M44" s="518" t="e">
        <f>ROUND(F28*M39*M41/1000,0)</f>
        <v>#REF!</v>
      </c>
    </row>
    <row r="45" spans="8:13" ht="15.75">
      <c r="H45" s="113"/>
      <c r="M45" s="537"/>
    </row>
    <row r="46" ht="15.75">
      <c r="M46" s="537"/>
    </row>
    <row r="66" spans="1:6" ht="15.75">
      <c r="A66" s="113"/>
      <c r="B66" s="113"/>
      <c r="C66" s="113"/>
      <c r="D66" s="113"/>
      <c r="E66" s="113"/>
      <c r="F66" s="113"/>
    </row>
    <row r="73" spans="1:7" ht="15.75">
      <c r="A73" s="113"/>
      <c r="B73" s="113"/>
      <c r="C73" s="113"/>
      <c r="D73" s="113"/>
      <c r="E73" s="113"/>
      <c r="F73" s="113"/>
      <c r="G73" s="113"/>
    </row>
    <row r="74" ht="15.75">
      <c r="H74" s="113"/>
    </row>
    <row r="79" spans="1:7" ht="15.75">
      <c r="A79" s="113"/>
      <c r="B79" s="113"/>
      <c r="C79" s="113"/>
      <c r="D79" s="113"/>
      <c r="E79" s="113"/>
      <c r="F79" s="113"/>
      <c r="G79" s="113"/>
    </row>
    <row r="80" ht="15.75">
      <c r="H80" s="113"/>
    </row>
    <row r="100" spans="1:7" ht="15.75">
      <c r="A100" s="113"/>
      <c r="B100" s="113"/>
      <c r="C100" s="113"/>
      <c r="D100" s="113"/>
      <c r="E100" s="113"/>
      <c r="F100" s="113"/>
      <c r="G100" s="113"/>
    </row>
  </sheetData>
  <sheetProtection/>
  <mergeCells count="16">
    <mergeCell ref="J24:M24"/>
    <mergeCell ref="J35:M35"/>
    <mergeCell ref="J20:M20"/>
    <mergeCell ref="A38:B38"/>
    <mergeCell ref="A4:H4"/>
    <mergeCell ref="G15:G17"/>
    <mergeCell ref="A7:H7"/>
    <mergeCell ref="A6:H6"/>
    <mergeCell ref="A5:H5"/>
    <mergeCell ref="A39:B39"/>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Padonia Township</v>
      </c>
      <c r="B1" s="65"/>
      <c r="C1" s="65"/>
      <c r="D1" s="65"/>
      <c r="E1" s="65"/>
      <c r="F1" s="65">
        <f>inputPrYr!D9</f>
        <v>2014</v>
      </c>
    </row>
    <row r="2" spans="1:6" ht="15.75">
      <c r="A2" s="65"/>
      <c r="B2" s="65"/>
      <c r="C2" s="65"/>
      <c r="D2" s="65"/>
      <c r="E2" s="65"/>
      <c r="F2" s="65"/>
    </row>
    <row r="3" spans="1:6" ht="15.75">
      <c r="A3" s="65"/>
      <c r="B3" s="786" t="str">
        <f>CONCATENATE("",F1," Neighborhood Revitalization Rebate")</f>
        <v>2014 Neighborhood Revitalization Rebate</v>
      </c>
      <c r="C3" s="794"/>
      <c r="D3" s="794"/>
      <c r="E3" s="794"/>
      <c r="F3" s="65"/>
    </row>
    <row r="4" spans="1:6" ht="15.75">
      <c r="A4" s="65"/>
      <c r="B4" s="65"/>
      <c r="C4" s="65"/>
      <c r="D4" s="65"/>
      <c r="E4" s="65"/>
      <c r="F4" s="65"/>
    </row>
    <row r="5" spans="1:6" ht="51" customHeight="1">
      <c r="A5" s="65"/>
      <c r="B5" s="340" t="str">
        <f>CONCATENATE("Budgeted Funds                            for ",F1,"")</f>
        <v>Budgeted Funds                            for 2014</v>
      </c>
      <c r="C5" s="340" t="str">
        <f>CONCATENATE("",F1-1," Ad Valorem before Rebate**")</f>
        <v>2013 Ad Valorem before Rebate**</v>
      </c>
      <c r="D5" s="341" t="str">
        <f>CONCATENATE("",F1-1," Mil Rate before Rebate")</f>
        <v>2013 Mil Rate before Rebate</v>
      </c>
      <c r="E5" s="342" t="str">
        <f>CONCATENATE("Estimate ",F1," NR Rebate")</f>
        <v>Estimate 2014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0" t="str">
        <f>CONCATENATE("",F1-1," July 1 Valuation:")</f>
        <v>2013 July 1 Valuation:</v>
      </c>
      <c r="B21" s="849"/>
      <c r="C21" s="850"/>
      <c r="D21" s="348">
        <f>inputOth!E11</f>
        <v>6122569</v>
      </c>
      <c r="E21" s="65"/>
      <c r="F21" s="192"/>
    </row>
    <row r="22" spans="1:6" ht="15.75">
      <c r="A22" s="65"/>
      <c r="B22" s="65"/>
      <c r="C22" s="65"/>
      <c r="D22" s="65"/>
      <c r="E22" s="65"/>
      <c r="F22" s="192"/>
    </row>
    <row r="23" spans="1:6" ht="15.75">
      <c r="A23" s="65"/>
      <c r="B23" s="850" t="s">
        <v>379</v>
      </c>
      <c r="C23" s="850"/>
      <c r="D23" s="349">
        <f>IF(D21&gt;0,(D21*0.001),"")</f>
        <v>6122.569</v>
      </c>
      <c r="E23" s="65"/>
      <c r="F23" s="192"/>
    </row>
    <row r="24" spans="1:6" ht="15.75">
      <c r="A24" s="65"/>
      <c r="B24" s="117"/>
      <c r="C24" s="117"/>
      <c r="D24" s="350"/>
      <c r="E24" s="65"/>
      <c r="F24" s="192"/>
    </row>
    <row r="25" spans="1:6" ht="15.75">
      <c r="A25" s="848" t="s">
        <v>380</v>
      </c>
      <c r="B25" s="782"/>
      <c r="C25" s="782"/>
      <c r="D25" s="351">
        <f>inputOth!E33</f>
        <v>125080</v>
      </c>
      <c r="E25" s="179"/>
      <c r="F25" s="179"/>
    </row>
    <row r="26" spans="1:6" ht="15.75">
      <c r="A26" s="179"/>
      <c r="B26" s="179"/>
      <c r="C26" s="179"/>
      <c r="D26" s="352"/>
      <c r="E26" s="179"/>
      <c r="F26" s="179"/>
    </row>
    <row r="27" spans="1:6" ht="15.75">
      <c r="A27" s="179"/>
      <c r="B27" s="848" t="s">
        <v>381</v>
      </c>
      <c r="C27" s="849"/>
      <c r="D27" s="353">
        <f>IF(D25&gt;0,(D25*0.001),"")</f>
        <v>125.08</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1" t="s">
        <v>81</v>
      </c>
      <c r="B1" s="851"/>
      <c r="C1" s="851"/>
      <c r="D1" s="851"/>
      <c r="E1" s="851"/>
      <c r="F1" s="851"/>
      <c r="G1" s="851"/>
    </row>
    <row r="2" ht="15.75">
      <c r="A2" s="21"/>
    </row>
    <row r="3" spans="1:7" ht="15.75">
      <c r="A3" s="852" t="s">
        <v>82</v>
      </c>
      <c r="B3" s="852"/>
      <c r="C3" s="852"/>
      <c r="D3" s="852"/>
      <c r="E3" s="852"/>
      <c r="F3" s="852"/>
      <c r="G3" s="852"/>
    </row>
    <row r="4" ht="15.75">
      <c r="A4" s="22"/>
    </row>
    <row r="5" ht="15.75">
      <c r="A5" s="22"/>
    </row>
    <row r="6" spans="1:9" ht="15.75">
      <c r="A6" s="28" t="str">
        <f>CONCATENATE("A resolution expressing the property taxation policy of the Board of ",(inputPrYr!D3)," ")</f>
        <v>A resolution expressing the property taxation policy of the Board of Padonia Township </v>
      </c>
      <c r="I6">
        <f>CONCATENATE(I7)</f>
      </c>
    </row>
    <row r="7" spans="1:7" ht="15.75">
      <c r="A7" s="853" t="str">
        <f>CONCATENATE("   with respect to financing the ",inputPrYr!D9," annual budget for ",(inputPrYr!D3)," , ",(inputPrYr!D4)," , Kansas.")</f>
        <v>   with respect to financing the 2014 annual budget for Padonia Township , Brown County , Kansas.</v>
      </c>
      <c r="B7" s="763"/>
      <c r="C7" s="763"/>
      <c r="D7" s="763"/>
      <c r="E7" s="763"/>
      <c r="F7" s="763"/>
      <c r="G7" s="763"/>
    </row>
    <row r="8" spans="1:7" ht="15.75">
      <c r="A8" s="763"/>
      <c r="B8" s="763"/>
      <c r="C8" s="763"/>
      <c r="D8" s="763"/>
      <c r="E8" s="763"/>
      <c r="F8" s="763"/>
      <c r="G8" s="763"/>
    </row>
    <row r="9" ht="15.75">
      <c r="A9" s="21"/>
    </row>
    <row r="10" ht="15.75">
      <c r="A10" s="29" t="s">
        <v>83</v>
      </c>
    </row>
    <row r="11" ht="15.75">
      <c r="A11" s="27" t="str">
        <f>CONCATENATE("to finance the ",inputPrYr!D9," ",(inputPrYr!D3)," budget exceed the amount levied to finance the ",inputPrYr!D9-1,"")</f>
        <v>to finance the 2014 Padonia Township budget exceed the amount levied to finance the 2013</v>
      </c>
    </row>
    <row r="12" spans="1:7" ht="15.75">
      <c r="A12" s="856" t="str">
        <f>CONCATENATE((inputPrYr!D3)," Township budget, except with regard to revenue produced and attributable to the taxation of 1) new improvements to real property; 2) increased personal property valuation, other than increased")</f>
        <v>Padonia Township Township budget, except with regard to revenue produced and attributable to the taxation of 1) new improvements to real property; 2) increased personal property valuation, other than increased</v>
      </c>
      <c r="B12" s="763"/>
      <c r="C12" s="763"/>
      <c r="D12" s="763"/>
      <c r="E12" s="763"/>
      <c r="F12" s="763"/>
      <c r="G12" s="763"/>
    </row>
    <row r="13" spans="1:7" ht="15.75">
      <c r="A13" s="763"/>
      <c r="B13" s="763"/>
      <c r="C13" s="763"/>
      <c r="D13" s="763"/>
      <c r="E13" s="763"/>
      <c r="F13" s="763"/>
      <c r="G13" s="763"/>
    </row>
    <row r="14" spans="1:7" ht="15.75">
      <c r="A14" s="856" t="s">
        <v>88</v>
      </c>
      <c r="B14" s="763"/>
      <c r="C14" s="763"/>
      <c r="D14" s="763"/>
      <c r="E14" s="763"/>
      <c r="F14" s="763"/>
      <c r="G14" s="763"/>
    </row>
    <row r="15" spans="1:7" ht="15.75">
      <c r="A15" s="763"/>
      <c r="B15" s="763"/>
      <c r="C15" s="763"/>
      <c r="D15" s="763"/>
      <c r="E15" s="763"/>
      <c r="F15" s="763"/>
      <c r="G15" s="763"/>
    </row>
    <row r="16" spans="1:7" ht="15.75">
      <c r="A16" s="857"/>
      <c r="B16" s="857"/>
      <c r="C16" s="857"/>
      <c r="D16" s="857"/>
      <c r="E16" s="857"/>
      <c r="F16" s="857"/>
      <c r="G16" s="857"/>
    </row>
    <row r="17" ht="15.75">
      <c r="A17" s="22"/>
    </row>
    <row r="18" spans="1:7" ht="15.75">
      <c r="A18" s="854" t="s">
        <v>84</v>
      </c>
      <c r="B18" s="763"/>
      <c r="C18" s="763"/>
      <c r="D18" s="763"/>
      <c r="E18" s="763"/>
      <c r="F18" s="763"/>
      <c r="G18" s="763"/>
    </row>
    <row r="19" spans="1:7" ht="15.75">
      <c r="A19" s="763"/>
      <c r="B19" s="763"/>
      <c r="C19" s="763"/>
      <c r="D19" s="763"/>
      <c r="E19" s="763"/>
      <c r="F19" s="763"/>
      <c r="G19" s="763"/>
    </row>
    <row r="20" ht="15.75">
      <c r="A20" s="22"/>
    </row>
    <row r="21" spans="1:7" ht="15.75">
      <c r="A21" s="854" t="str">
        <f>CONCATENATE("Whereas, ",(inputPrYr!D3)," provides essential services to protect the safety and well being of the citizens of the township; and")</f>
        <v>Whereas, Padonia Township provides essential services to protect the safety and well being of the citizens of the township; and</v>
      </c>
      <c r="B21" s="763"/>
      <c r="C21" s="763"/>
      <c r="D21" s="763"/>
      <c r="E21" s="763"/>
      <c r="F21" s="763"/>
      <c r="G21" s="763"/>
    </row>
    <row r="22" spans="1:7" ht="15.75">
      <c r="A22" s="763"/>
      <c r="B22" s="763"/>
      <c r="C22" s="763"/>
      <c r="D22" s="763"/>
      <c r="E22" s="763"/>
      <c r="F22" s="763"/>
      <c r="G22" s="763"/>
    </row>
    <row r="23" ht="15.75">
      <c r="A23" s="24"/>
    </row>
    <row r="24" ht="15.75">
      <c r="A24" s="23" t="s">
        <v>85</v>
      </c>
    </row>
    <row r="25" ht="15.75">
      <c r="A25" s="24"/>
    </row>
    <row r="26" spans="1:7" ht="15.75">
      <c r="A26" s="854" t="str">
        <f>CONCATENATE("NOW, THEREFORE, BE IT RESOLVED by the Board of ",(inputPrYr!D3)," of ",(inputPrYr!D4),", Kansas that is our desire to notify the public of increased property taxes to finance the ",inputPrYr!D9," ",(inputPrYr!D3),"  budget as defined above.")</f>
        <v>NOW, THEREFORE, BE IT RESOLVED by the Board of Padonia Township of Brown County, Kansas that is our desire to notify the public of increased property taxes to finance the 2014 Padonia Township  budget as defined above.</v>
      </c>
      <c r="B26" s="763"/>
      <c r="C26" s="763"/>
      <c r="D26" s="763"/>
      <c r="E26" s="763"/>
      <c r="F26" s="763"/>
      <c r="G26" s="763"/>
    </row>
    <row r="27" spans="1:7" ht="15.75">
      <c r="A27" s="763"/>
      <c r="B27" s="763"/>
      <c r="C27" s="763"/>
      <c r="D27" s="763"/>
      <c r="E27" s="763"/>
      <c r="F27" s="763"/>
      <c r="G27" s="763"/>
    </row>
    <row r="28" spans="1:7" ht="15.75">
      <c r="A28" s="763"/>
      <c r="B28" s="763"/>
      <c r="C28" s="763"/>
      <c r="D28" s="763"/>
      <c r="E28" s="763"/>
      <c r="F28" s="763"/>
      <c r="G28" s="763"/>
    </row>
    <row r="29" ht="15.75">
      <c r="A29" s="24"/>
    </row>
    <row r="30" spans="1:7" ht="15.75">
      <c r="A30" s="859" t="str">
        <f>CONCATENATE("Adopted this _________ day of ___________, ",inputPrYr!D9-1," by the ",(inputPrYr!D3)," Board, ",(inputPrYr!D4),", Kansas.")</f>
        <v>Adopted this _________ day of ___________, 2013 by the Padonia Township Board, Brown County, Kansas.</v>
      </c>
      <c r="B30" s="763"/>
      <c r="C30" s="763"/>
      <c r="D30" s="763"/>
      <c r="E30" s="763"/>
      <c r="F30" s="763"/>
      <c r="G30" s="763"/>
    </row>
    <row r="31" spans="1:7" ht="15.75">
      <c r="A31" s="763"/>
      <c r="B31" s="763"/>
      <c r="C31" s="763"/>
      <c r="D31" s="763"/>
      <c r="E31" s="763"/>
      <c r="F31" s="763"/>
      <c r="G31" s="763"/>
    </row>
    <row r="32" ht="15.75">
      <c r="A32" s="24"/>
    </row>
    <row r="33" spans="4:7" ht="15.75">
      <c r="D33" s="855" t="str">
        <f>CONCATENATE((inputPrYr!D3)," Board")</f>
        <v>Padonia Township Board</v>
      </c>
      <c r="E33" s="855"/>
      <c r="F33" s="855"/>
      <c r="G33" s="855"/>
    </row>
    <row r="35" spans="4:7" ht="15.75">
      <c r="D35" s="858" t="s">
        <v>86</v>
      </c>
      <c r="E35" s="858"/>
      <c r="F35" s="858"/>
      <c r="G35" s="858"/>
    </row>
    <row r="36" spans="1:7" ht="15.75">
      <c r="A36" s="25"/>
      <c r="D36" s="858" t="s">
        <v>90</v>
      </c>
      <c r="E36" s="858"/>
      <c r="F36" s="858"/>
      <c r="G36" s="858"/>
    </row>
    <row r="37" spans="4:7" ht="15.75">
      <c r="D37" s="858"/>
      <c r="E37" s="858"/>
      <c r="F37" s="858"/>
      <c r="G37" s="858"/>
    </row>
    <row r="38" spans="4:7" ht="15.75">
      <c r="D38" s="858" t="s">
        <v>86</v>
      </c>
      <c r="E38" s="858"/>
      <c r="F38" s="858"/>
      <c r="G38" s="858"/>
    </row>
    <row r="39" spans="1:7" ht="15.75">
      <c r="A39" s="24"/>
      <c r="D39" s="858" t="s">
        <v>91</v>
      </c>
      <c r="E39" s="858"/>
      <c r="F39" s="858"/>
      <c r="G39" s="858"/>
    </row>
    <row r="40" spans="4:7" ht="15.75">
      <c r="D40" s="858"/>
      <c r="E40" s="858"/>
      <c r="F40" s="858"/>
      <c r="G40" s="858"/>
    </row>
    <row r="41" spans="4:7" ht="15.75">
      <c r="D41" s="858" t="s">
        <v>89</v>
      </c>
      <c r="E41" s="858"/>
      <c r="F41" s="858"/>
      <c r="G41" s="858"/>
    </row>
    <row r="42" spans="1:7" ht="15.75">
      <c r="A42" s="24"/>
      <c r="D42" s="858" t="s">
        <v>92</v>
      </c>
      <c r="E42" s="858"/>
      <c r="F42" s="858"/>
      <c r="G42" s="858"/>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2012 'total expenditures' exceed your 2012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2014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2012 budget was amended, did you</v>
      </c>
    </row>
    <row r="26" ht="15.75">
      <c r="A26" s="380" t="s">
        <v>426</v>
      </c>
    </row>
    <row r="27" ht="15.75">
      <c r="A27" s="380"/>
    </row>
    <row r="28" ht="15.75">
      <c r="A28" s="380" t="str">
        <f>CONCATENATE("Next, look to see if any of your ",inputPrYr!D9-2," expenditures can be")</f>
        <v>Next, look to see if any of your 2012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2012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2012 financial records have been closed?</v>
      </c>
    </row>
    <row r="76" ht="15.75">
      <c r="A76" s="380" t="s">
        <v>463</v>
      </c>
    </row>
    <row r="77" ht="15.75">
      <c r="A77" s="380" t="str">
        <f>CONCATENATE("(i.e. an audit for ",inputPrYr!D9-2," has been completed, or the ",inputPrYr!D9)</f>
        <v>(i.e. an audit for 2012 has been completed, or the 2014</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2012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2012 are not closed</v>
      </c>
      <c r="B33" s="380"/>
      <c r="C33" s="380"/>
      <c r="D33" s="380"/>
      <c r="E33" s="380"/>
      <c r="F33" s="380"/>
      <c r="G33" s="380"/>
      <c r="H33" s="380"/>
    </row>
    <row r="34" spans="1:8" ht="15.75">
      <c r="A34" s="380" t="str">
        <f>CONCATENATE("(i.e. an audit has not been completed, or the ",inputPrYr!D9," adopted ")</f>
        <v>(i.e. an audit has not been completed, or the 2014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2013 'total expenditures' exceed your 2013</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2013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2013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2013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70" zoomScaleNormal="70" zoomScalePageLayoutView="0" workbookViewId="0" topLeftCell="B1">
      <selection activeCell="E8" sqref="E8"/>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149</v>
      </c>
      <c r="B1" s="65"/>
      <c r="C1" s="65"/>
      <c r="D1" s="65"/>
      <c r="E1" s="65"/>
    </row>
    <row r="2" spans="1:5" ht="15.75">
      <c r="A2" s="157" t="s">
        <v>229</v>
      </c>
      <c r="B2" s="65"/>
      <c r="C2" s="65"/>
      <c r="D2" s="65"/>
      <c r="E2" s="65"/>
    </row>
    <row r="3" spans="1:5" ht="15.75">
      <c r="A3" s="157" t="s">
        <v>227</v>
      </c>
      <c r="B3" s="65"/>
      <c r="C3" s="65"/>
      <c r="D3" s="118" t="s">
        <v>948</v>
      </c>
      <c r="E3" s="71"/>
    </row>
    <row r="4" spans="1:5" ht="15.75">
      <c r="A4" s="157" t="s">
        <v>228</v>
      </c>
      <c r="B4" s="65"/>
      <c r="C4" s="65"/>
      <c r="D4" s="158" t="s">
        <v>945</v>
      </c>
      <c r="E4" s="71"/>
    </row>
    <row r="5" spans="1:5" ht="15.75">
      <c r="A5" s="65"/>
      <c r="B5" s="65"/>
      <c r="C5" s="65"/>
      <c r="D5" s="65"/>
      <c r="E5" s="65"/>
    </row>
    <row r="6" spans="1:5" ht="15.75">
      <c r="A6" s="159" t="s">
        <v>150</v>
      </c>
      <c r="B6" s="65"/>
      <c r="C6" s="65"/>
      <c r="D6" s="368" t="s">
        <v>947</v>
      </c>
      <c r="E6" s="65"/>
    </row>
    <row r="7" spans="1:5" ht="15.75">
      <c r="A7" s="159" t="s">
        <v>151</v>
      </c>
      <c r="B7" s="65"/>
      <c r="C7" s="65"/>
      <c r="D7" s="111"/>
      <c r="E7" s="65"/>
    </row>
    <row r="8" spans="1:5" ht="15.75">
      <c r="A8" s="65"/>
      <c r="B8" s="65"/>
      <c r="C8" s="65"/>
      <c r="D8" s="65"/>
      <c r="E8" s="65"/>
    </row>
    <row r="9" spans="1:5" ht="15.75">
      <c r="A9" s="159" t="s">
        <v>98</v>
      </c>
      <c r="B9" s="65"/>
      <c r="C9" s="65"/>
      <c r="D9" s="160">
        <v>2014</v>
      </c>
      <c r="E9" s="65"/>
    </row>
    <row r="10" spans="1:5" ht="15.75">
      <c r="A10" s="65"/>
      <c r="B10" s="65"/>
      <c r="C10" s="65"/>
      <c r="D10" s="65"/>
      <c r="E10" s="65"/>
    </row>
    <row r="11" spans="1:8" ht="15.75">
      <c r="A11" s="161" t="s">
        <v>100</v>
      </c>
      <c r="B11" s="162"/>
      <c r="C11" s="162"/>
      <c r="D11" s="162"/>
      <c r="E11" s="162"/>
      <c r="F11" s="65"/>
      <c r="G11" s="755" t="s">
        <v>809</v>
      </c>
      <c r="H11" s="756"/>
    </row>
    <row r="12" spans="1:8" ht="15.75">
      <c r="A12" s="161" t="s">
        <v>167</v>
      </c>
      <c r="B12" s="162"/>
      <c r="C12" s="162"/>
      <c r="D12" s="162"/>
      <c r="E12" s="162"/>
      <c r="F12" s="65"/>
      <c r="G12" s="757"/>
      <c r="H12" s="756"/>
    </row>
    <row r="13" spans="1:8" ht="15.75">
      <c r="A13" s="65"/>
      <c r="B13" s="65"/>
      <c r="C13" s="65"/>
      <c r="D13" s="65"/>
      <c r="E13" s="65"/>
      <c r="F13" s="65"/>
      <c r="G13" s="757"/>
      <c r="H13" s="756"/>
    </row>
    <row r="14" spans="1:8" ht="15.75">
      <c r="A14" s="753" t="s">
        <v>110</v>
      </c>
      <c r="B14" s="754"/>
      <c r="C14" s="754"/>
      <c r="D14" s="754"/>
      <c r="E14" s="754"/>
      <c r="F14" s="65"/>
      <c r="G14" s="757"/>
      <c r="H14" s="756"/>
    </row>
    <row r="15" spans="1:8" ht="15.75">
      <c r="A15" s="157"/>
      <c r="B15" s="65"/>
      <c r="C15" s="65"/>
      <c r="D15" s="65"/>
      <c r="E15" s="65"/>
      <c r="F15" s="65"/>
      <c r="G15" s="757"/>
      <c r="H15" s="756"/>
    </row>
    <row r="16" spans="1:8" ht="15.75">
      <c r="A16" s="163" t="s">
        <v>99</v>
      </c>
      <c r="B16" s="164"/>
      <c r="C16" s="65"/>
      <c r="D16" s="68"/>
      <c r="E16" s="165"/>
      <c r="F16" s="65"/>
      <c r="G16" s="757"/>
      <c r="H16" s="756"/>
    </row>
    <row r="17" spans="1:8" ht="15.75">
      <c r="A17" s="166" t="str">
        <f>CONCATENATE("the ",D9-1," Budget, Certificate Page:")</f>
        <v>the 2013 Budget, Certificate Page:</v>
      </c>
      <c r="B17" s="167"/>
      <c r="C17" s="68"/>
      <c r="D17" s="65"/>
      <c r="E17" s="65"/>
      <c r="F17" s="65"/>
      <c r="G17" s="71"/>
      <c r="H17" s="591"/>
    </row>
    <row r="18" spans="1:8" ht="15.75">
      <c r="A18" s="166" t="s">
        <v>325</v>
      </c>
      <c r="B18" s="167"/>
      <c r="C18" s="68"/>
      <c r="D18" s="168">
        <f>D9-1</f>
        <v>2013</v>
      </c>
      <c r="E18" s="168">
        <f>D9-2</f>
        <v>2012</v>
      </c>
      <c r="G18" s="230" t="s">
        <v>810</v>
      </c>
      <c r="H18" s="88" t="s">
        <v>293</v>
      </c>
    </row>
    <row r="19" spans="1:8" ht="15.75">
      <c r="A19" s="72" t="s">
        <v>241</v>
      </c>
      <c r="B19" s="65"/>
      <c r="C19" s="169" t="s">
        <v>240</v>
      </c>
      <c r="D19" s="170" t="s">
        <v>356</v>
      </c>
      <c r="E19" s="170" t="s">
        <v>280</v>
      </c>
      <c r="G19" s="232" t="str">
        <f>CONCATENATE("",E18," Ad Valorem Tax")</f>
        <v>2012 Ad Valorem Tax</v>
      </c>
      <c r="H19" s="592">
        <v>0</v>
      </c>
    </row>
    <row r="20" spans="1:7" ht="15.75">
      <c r="A20" s="65"/>
      <c r="B20" s="105" t="s">
        <v>242</v>
      </c>
      <c r="C20" s="83" t="s">
        <v>243</v>
      </c>
      <c r="D20" s="171">
        <v>6290</v>
      </c>
      <c r="E20" s="171">
        <v>5952</v>
      </c>
      <c r="G20" s="262">
        <f>IF(H19&gt;0,ROUND(E20-(E20*H19),0),0)</f>
        <v>0</v>
      </c>
    </row>
    <row r="21" spans="1:7" ht="15.75">
      <c r="A21" s="65"/>
      <c r="B21" s="105" t="s">
        <v>314</v>
      </c>
      <c r="C21" s="83" t="s">
        <v>105</v>
      </c>
      <c r="D21" s="171"/>
      <c r="E21" s="171"/>
      <c r="G21" s="262">
        <f>IF(H19&gt;0,ROUND(E21-(E21*H19),0),0)</f>
        <v>0</v>
      </c>
    </row>
    <row r="22" spans="1:7" ht="15.75">
      <c r="A22" s="65"/>
      <c r="B22" s="105" t="s">
        <v>782</v>
      </c>
      <c r="C22" s="83" t="s">
        <v>783</v>
      </c>
      <c r="D22" s="171"/>
      <c r="E22" s="171"/>
      <c r="G22" s="262">
        <f>IF(H19&gt;0,ROUND(E22-(E22*H19),0),0)</f>
        <v>0</v>
      </c>
    </row>
    <row r="23" spans="1:7" ht="15.75">
      <c r="A23" s="65"/>
      <c r="B23" s="105" t="s">
        <v>244</v>
      </c>
      <c r="C23" s="172" t="s">
        <v>230</v>
      </c>
      <c r="D23" s="171">
        <v>79350</v>
      </c>
      <c r="E23" s="171">
        <v>69758</v>
      </c>
      <c r="G23" s="262">
        <f>IF(H19&gt;0,ROUND(E23-(E23*H19),0),0)</f>
        <v>0</v>
      </c>
    </row>
    <row r="24" spans="1:7" ht="15.75">
      <c r="A24" s="65"/>
      <c r="B24" s="105" t="s">
        <v>323</v>
      </c>
      <c r="C24" s="88" t="s">
        <v>324</v>
      </c>
      <c r="D24" s="171"/>
      <c r="E24" s="171"/>
      <c r="G24" s="262">
        <f>IF(H19&gt;0,ROUND(E24-(E24*H19),0),0)</f>
        <v>0</v>
      </c>
    </row>
    <row r="25" spans="1:7" ht="15.75">
      <c r="A25" s="65"/>
      <c r="B25" s="105" t="s">
        <v>182</v>
      </c>
      <c r="C25" s="88" t="s">
        <v>183</v>
      </c>
      <c r="D25" s="171"/>
      <c r="E25" s="171"/>
      <c r="G25" s="262">
        <f>IF(H19&gt;0,ROUND(E25-(E25*H19),0),0)</f>
        <v>0</v>
      </c>
    </row>
    <row r="26" spans="1:7" ht="15.75">
      <c r="A26" s="65"/>
      <c r="B26" s="207" t="s">
        <v>384</v>
      </c>
      <c r="C26" s="88" t="s">
        <v>385</v>
      </c>
      <c r="D26" s="171">
        <v>3300</v>
      </c>
      <c r="E26" s="171">
        <v>1986</v>
      </c>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3"/>
    </row>
    <row r="31" spans="1:8" ht="15.75">
      <c r="A31" s="65"/>
      <c r="B31" s="173"/>
      <c r="C31" s="488"/>
      <c r="D31" s="171"/>
      <c r="E31" s="171"/>
      <c r="G31" s="262">
        <f>IF(H19&gt;0,ROUND(E31-(E31*H19),0),0)</f>
        <v>0</v>
      </c>
      <c r="H31" s="593"/>
    </row>
    <row r="32" spans="1:5" ht="15.75">
      <c r="A32" s="174" t="str">
        <f>CONCATENATE("Total Ad Valorem Tax for ",D9-1,"")</f>
        <v>Total Ad Valorem Tax for 2013</v>
      </c>
      <c r="B32" s="78"/>
      <c r="C32" s="175"/>
      <c r="D32" s="176"/>
      <c r="E32" s="177">
        <f>SUM(E20:E31)</f>
        <v>77696</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88940</v>
      </c>
      <c r="E39" s="65"/>
    </row>
    <row r="40" spans="1:5" ht="15.75">
      <c r="A40" s="108" t="s">
        <v>351</v>
      </c>
      <c r="B40" s="71"/>
      <c r="C40" s="71"/>
      <c r="D40" s="65"/>
      <c r="E40" s="65"/>
    </row>
    <row r="41" spans="1:5" ht="15.75">
      <c r="A41" s="355">
        <v>1</v>
      </c>
      <c r="B41" s="180" t="s">
        <v>949</v>
      </c>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99</v>
      </c>
      <c r="B47" s="164"/>
      <c r="C47" s="65"/>
      <c r="D47" s="751" t="str">
        <f>CONCATENATE("",D9-3," Tax Rate         (",D9-2," Column)")</f>
        <v>2011 Tax Rate         (2012 Column)</v>
      </c>
      <c r="E47" s="65"/>
    </row>
    <row r="48" spans="1:5" ht="15.75">
      <c r="A48" s="166" t="str">
        <f>CONCATENATE("the ",D9-1," Budget, Budget Summary Page:")</f>
        <v>the 2013 Budget, Budget Summary Page:</v>
      </c>
      <c r="B48" s="183"/>
      <c r="C48" s="65"/>
      <c r="D48" s="752"/>
      <c r="E48" s="65"/>
    </row>
    <row r="49" spans="1:5" ht="15.75">
      <c r="A49" s="65"/>
      <c r="B49" s="90" t="str">
        <f>B20</f>
        <v>General</v>
      </c>
      <c r="C49" s="65"/>
      <c r="D49" s="184">
        <v>0.854</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14.131</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0.579</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15.564</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75387</v>
      </c>
    </row>
    <row r="64" spans="1:5" ht="15.75">
      <c r="A64" s="188" t="str">
        <f>CONCATENATE("Assessed Valuation (",D9-2," budget column):")</f>
        <v>Assessed Valuation (2012 budget column):</v>
      </c>
      <c r="B64" s="164"/>
      <c r="C64" s="65"/>
      <c r="D64" s="65"/>
      <c r="E64" s="189">
        <v>4928973</v>
      </c>
    </row>
    <row r="65" spans="1:5" ht="15.75">
      <c r="A65" s="65"/>
      <c r="B65" s="65"/>
      <c r="C65" s="65"/>
      <c r="D65" s="65"/>
      <c r="E65" s="190"/>
    </row>
    <row r="66" spans="1:5" ht="15.75">
      <c r="A66" s="191" t="s">
        <v>168</v>
      </c>
      <c r="B66" s="191"/>
      <c r="C66" s="192"/>
      <c r="D66" s="193">
        <f>D9-3</f>
        <v>2011</v>
      </c>
      <c r="E66" s="193">
        <f>D9-2</f>
        <v>2012</v>
      </c>
    </row>
    <row r="67" spans="1:5" ht="15.75">
      <c r="A67" s="191" t="s">
        <v>116</v>
      </c>
      <c r="B67" s="191"/>
      <c r="C67" s="194"/>
      <c r="D67" s="181"/>
      <c r="E67" s="181"/>
    </row>
    <row r="68" spans="1:5" ht="15.75">
      <c r="A68" s="195" t="s">
        <v>164</v>
      </c>
      <c r="B68" s="195"/>
      <c r="C68" s="196"/>
      <c r="D68" s="181"/>
      <c r="E68" s="181"/>
    </row>
    <row r="69" spans="1:5" ht="15.75">
      <c r="A69" s="195" t="s">
        <v>117</v>
      </c>
      <c r="B69" s="195"/>
      <c r="C69" s="196"/>
      <c r="D69" s="181">
        <v>77500</v>
      </c>
      <c r="E69" s="181">
        <v>63000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2014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2013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2013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2014 'total expenditures' exceed your 2014</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68" t="s">
        <v>661</v>
      </c>
      <c r="C6" s="879"/>
      <c r="D6" s="879"/>
      <c r="E6" s="879"/>
      <c r="F6" s="879"/>
      <c r="G6" s="879"/>
      <c r="H6" s="879"/>
      <c r="I6" s="879"/>
      <c r="J6" s="879"/>
      <c r="K6" s="879"/>
      <c r="L6" s="402"/>
    </row>
    <row r="7" spans="1:12" ht="40.5" customHeight="1">
      <c r="A7" s="400"/>
      <c r="B7" s="888" t="s">
        <v>662</v>
      </c>
      <c r="C7" s="889"/>
      <c r="D7" s="889"/>
      <c r="E7" s="889"/>
      <c r="F7" s="889"/>
      <c r="G7" s="889"/>
      <c r="H7" s="889"/>
      <c r="I7" s="889"/>
      <c r="J7" s="889"/>
      <c r="K7" s="889"/>
      <c r="L7" s="400"/>
    </row>
    <row r="8" spans="1:12" ht="14.25">
      <c r="A8" s="400"/>
      <c r="B8" s="881" t="s">
        <v>663</v>
      </c>
      <c r="C8" s="881"/>
      <c r="D8" s="881"/>
      <c r="E8" s="881"/>
      <c r="F8" s="881"/>
      <c r="G8" s="881"/>
      <c r="H8" s="881"/>
      <c r="I8" s="881"/>
      <c r="J8" s="881"/>
      <c r="K8" s="881"/>
      <c r="L8" s="400"/>
    </row>
    <row r="9" spans="1:12" ht="14.25">
      <c r="A9" s="400"/>
      <c r="L9" s="400"/>
    </row>
    <row r="10" spans="1:12" ht="14.25">
      <c r="A10" s="400"/>
      <c r="B10" s="881" t="s">
        <v>664</v>
      </c>
      <c r="C10" s="881"/>
      <c r="D10" s="881"/>
      <c r="E10" s="881"/>
      <c r="F10" s="881"/>
      <c r="G10" s="881"/>
      <c r="H10" s="881"/>
      <c r="I10" s="881"/>
      <c r="J10" s="881"/>
      <c r="K10" s="881"/>
      <c r="L10" s="400"/>
    </row>
    <row r="11" spans="1:12" ht="14.25">
      <c r="A11" s="400"/>
      <c r="B11" s="403"/>
      <c r="C11" s="403"/>
      <c r="D11" s="403"/>
      <c r="E11" s="403"/>
      <c r="F11" s="403"/>
      <c r="G11" s="403"/>
      <c r="H11" s="403"/>
      <c r="I11" s="403"/>
      <c r="J11" s="403"/>
      <c r="K11" s="403"/>
      <c r="L11" s="400"/>
    </row>
    <row r="12" spans="1:12" ht="32.25" customHeight="1">
      <c r="A12" s="400"/>
      <c r="B12" s="869" t="s">
        <v>665</v>
      </c>
      <c r="C12" s="869"/>
      <c r="D12" s="869"/>
      <c r="E12" s="869"/>
      <c r="F12" s="869"/>
      <c r="G12" s="869"/>
      <c r="H12" s="869"/>
      <c r="I12" s="869"/>
      <c r="J12" s="869"/>
      <c r="K12" s="869"/>
      <c r="L12" s="400"/>
    </row>
    <row r="13" spans="1:12" ht="14.25">
      <c r="A13" s="400"/>
      <c r="L13" s="400"/>
    </row>
    <row r="14" spans="1:12" ht="14.25">
      <c r="A14" s="400"/>
      <c r="B14" s="404" t="s">
        <v>666</v>
      </c>
      <c r="L14" s="400"/>
    </row>
    <row r="15" spans="1:12" ht="14.25">
      <c r="A15" s="400"/>
      <c r="L15" s="400"/>
    </row>
    <row r="16" spans="1:12" ht="14.25">
      <c r="A16" s="400"/>
      <c r="B16" s="401" t="s">
        <v>667</v>
      </c>
      <c r="L16" s="400"/>
    </row>
    <row r="17" spans="1:12" ht="14.25">
      <c r="A17" s="400"/>
      <c r="B17" s="401" t="s">
        <v>668</v>
      </c>
      <c r="L17" s="400"/>
    </row>
    <row r="18" spans="1:12" ht="14.25">
      <c r="A18" s="400"/>
      <c r="L18" s="400"/>
    </row>
    <row r="19" spans="1:12" ht="14.25">
      <c r="A19" s="400"/>
      <c r="B19" s="404" t="s">
        <v>669</v>
      </c>
      <c r="L19" s="400"/>
    </row>
    <row r="20" spans="1:12" ht="14.25">
      <c r="A20" s="400"/>
      <c r="B20" s="404"/>
      <c r="L20" s="400"/>
    </row>
    <row r="21" spans="1:12" ht="14.25">
      <c r="A21" s="400"/>
      <c r="B21" s="401" t="s">
        <v>670</v>
      </c>
      <c r="L21" s="400"/>
    </row>
    <row r="22" spans="1:12" ht="14.25">
      <c r="A22" s="400"/>
      <c r="L22" s="400"/>
    </row>
    <row r="23" spans="1:12" ht="14.25">
      <c r="A23" s="400"/>
      <c r="B23" s="401" t="s">
        <v>671</v>
      </c>
      <c r="E23" s="401" t="s">
        <v>672</v>
      </c>
      <c r="F23" s="871">
        <v>133685008</v>
      </c>
      <c r="G23" s="871"/>
      <c r="L23" s="400"/>
    </row>
    <row r="24" spans="1:12" ht="14.25">
      <c r="A24" s="400"/>
      <c r="L24" s="400"/>
    </row>
    <row r="25" spans="1:12" ht="14.25">
      <c r="A25" s="400"/>
      <c r="C25" s="882">
        <f>F23</f>
        <v>133685008</v>
      </c>
      <c r="D25" s="882"/>
      <c r="E25" s="401" t="s">
        <v>673</v>
      </c>
      <c r="F25" s="405">
        <v>1000</v>
      </c>
      <c r="G25" s="405" t="s">
        <v>672</v>
      </c>
      <c r="H25" s="406">
        <f>F23/F25</f>
        <v>133685.008</v>
      </c>
      <c r="L25" s="400"/>
    </row>
    <row r="26" spans="1:12" ht="15" thickBot="1">
      <c r="A26" s="400"/>
      <c r="L26" s="400"/>
    </row>
    <row r="27" spans="1:12" ht="14.25">
      <c r="A27" s="400"/>
      <c r="B27" s="407" t="s">
        <v>666</v>
      </c>
      <c r="C27" s="408"/>
      <c r="D27" s="408"/>
      <c r="E27" s="408"/>
      <c r="F27" s="408"/>
      <c r="G27" s="408"/>
      <c r="H27" s="408"/>
      <c r="I27" s="408"/>
      <c r="J27" s="408"/>
      <c r="K27" s="409"/>
      <c r="L27" s="400"/>
    </row>
    <row r="28" spans="1:12" ht="14.25">
      <c r="A28" s="400"/>
      <c r="B28" s="410">
        <f>F23</f>
        <v>133685008</v>
      </c>
      <c r="C28" s="411" t="s">
        <v>674</v>
      </c>
      <c r="D28" s="411"/>
      <c r="E28" s="411" t="s">
        <v>673</v>
      </c>
      <c r="F28" s="412">
        <v>1000</v>
      </c>
      <c r="G28" s="412" t="s">
        <v>672</v>
      </c>
      <c r="H28" s="413">
        <f>B28/F28</f>
        <v>133685.008</v>
      </c>
      <c r="I28" s="411" t="s">
        <v>675</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76" t="s">
        <v>662</v>
      </c>
      <c r="C30" s="876"/>
      <c r="D30" s="876"/>
      <c r="E30" s="876"/>
      <c r="F30" s="876"/>
      <c r="G30" s="876"/>
      <c r="H30" s="876"/>
      <c r="I30" s="876"/>
      <c r="J30" s="876"/>
      <c r="K30" s="876"/>
      <c r="L30" s="400"/>
    </row>
    <row r="31" spans="1:12" ht="14.25">
      <c r="A31" s="400"/>
      <c r="B31" s="881" t="s">
        <v>676</v>
      </c>
      <c r="C31" s="881"/>
      <c r="D31" s="881"/>
      <c r="E31" s="881"/>
      <c r="F31" s="881"/>
      <c r="G31" s="881"/>
      <c r="H31" s="881"/>
      <c r="I31" s="881"/>
      <c r="J31" s="881"/>
      <c r="K31" s="881"/>
      <c r="L31" s="400"/>
    </row>
    <row r="32" spans="1:12" ht="14.25">
      <c r="A32" s="400"/>
      <c r="L32" s="400"/>
    </row>
    <row r="33" spans="1:12" ht="14.25">
      <c r="A33" s="400"/>
      <c r="B33" s="881" t="s">
        <v>677</v>
      </c>
      <c r="C33" s="881"/>
      <c r="D33" s="881"/>
      <c r="E33" s="881"/>
      <c r="F33" s="881"/>
      <c r="G33" s="881"/>
      <c r="H33" s="881"/>
      <c r="I33" s="881"/>
      <c r="J33" s="881"/>
      <c r="K33" s="881"/>
      <c r="L33" s="400"/>
    </row>
    <row r="34" spans="1:12" ht="14.25">
      <c r="A34" s="400"/>
      <c r="L34" s="400"/>
    </row>
    <row r="35" spans="1:12" ht="89.25" customHeight="1">
      <c r="A35" s="400"/>
      <c r="B35" s="869" t="s">
        <v>678</v>
      </c>
      <c r="C35" s="874"/>
      <c r="D35" s="874"/>
      <c r="E35" s="874"/>
      <c r="F35" s="874"/>
      <c r="G35" s="874"/>
      <c r="H35" s="874"/>
      <c r="I35" s="874"/>
      <c r="J35" s="874"/>
      <c r="K35" s="874"/>
      <c r="L35" s="400"/>
    </row>
    <row r="36" spans="1:12" ht="14.25">
      <c r="A36" s="400"/>
      <c r="L36" s="400"/>
    </row>
    <row r="37" spans="1:12" ht="14.25">
      <c r="A37" s="400"/>
      <c r="B37" s="404" t="s">
        <v>679</v>
      </c>
      <c r="L37" s="400"/>
    </row>
    <row r="38" spans="1:12" ht="14.25">
      <c r="A38" s="400"/>
      <c r="L38" s="400"/>
    </row>
    <row r="39" spans="1:12" ht="14.25">
      <c r="A39" s="400"/>
      <c r="B39" s="401" t="s">
        <v>680</v>
      </c>
      <c r="L39" s="400"/>
    </row>
    <row r="40" spans="1:12" ht="14.25">
      <c r="A40" s="400"/>
      <c r="L40" s="400"/>
    </row>
    <row r="41" spans="1:12" ht="14.25">
      <c r="A41" s="400"/>
      <c r="C41" s="883">
        <v>3120000</v>
      </c>
      <c r="D41" s="883"/>
      <c r="E41" s="401" t="s">
        <v>673</v>
      </c>
      <c r="F41" s="405">
        <v>1000</v>
      </c>
      <c r="G41" s="405" t="s">
        <v>672</v>
      </c>
      <c r="H41" s="418">
        <f>C41/F41</f>
        <v>3120</v>
      </c>
      <c r="L41" s="400"/>
    </row>
    <row r="42" spans="1:12" ht="14.25">
      <c r="A42" s="400"/>
      <c r="L42" s="400"/>
    </row>
    <row r="43" spans="1:12" ht="14.25">
      <c r="A43" s="400"/>
      <c r="B43" s="401" t="s">
        <v>681</v>
      </c>
      <c r="L43" s="400"/>
    </row>
    <row r="44" spans="1:12" ht="14.25">
      <c r="A44" s="400"/>
      <c r="L44" s="400"/>
    </row>
    <row r="45" spans="1:12" ht="14.25">
      <c r="A45" s="400"/>
      <c r="B45" s="401" t="s">
        <v>682</v>
      </c>
      <c r="L45" s="400"/>
    </row>
    <row r="46" spans="1:12" ht="15" thickBot="1">
      <c r="A46" s="400"/>
      <c r="L46" s="400"/>
    </row>
    <row r="47" spans="1:12" ht="14.25">
      <c r="A47" s="400"/>
      <c r="B47" s="419" t="s">
        <v>666</v>
      </c>
      <c r="C47" s="408"/>
      <c r="D47" s="408"/>
      <c r="E47" s="408"/>
      <c r="F47" s="408"/>
      <c r="G47" s="408"/>
      <c r="H47" s="408"/>
      <c r="I47" s="408"/>
      <c r="J47" s="408"/>
      <c r="K47" s="409"/>
      <c r="L47" s="400"/>
    </row>
    <row r="48" spans="1:12" ht="14.25">
      <c r="A48" s="400"/>
      <c r="B48" s="871">
        <v>133685008</v>
      </c>
      <c r="C48" s="871"/>
      <c r="D48" s="411" t="s">
        <v>683</v>
      </c>
      <c r="E48" s="411" t="s">
        <v>673</v>
      </c>
      <c r="F48" s="412">
        <v>1000</v>
      </c>
      <c r="G48" s="412" t="s">
        <v>672</v>
      </c>
      <c r="H48" s="413">
        <f>B48/F48</f>
        <v>133685.008</v>
      </c>
      <c r="I48" s="411" t="s">
        <v>684</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685</v>
      </c>
      <c r="D50" s="411"/>
      <c r="E50" s="411" t="s">
        <v>673</v>
      </c>
      <c r="F50" s="413">
        <f>H48</f>
        <v>133685.008</v>
      </c>
      <c r="G50" s="884" t="s">
        <v>686</v>
      </c>
      <c r="H50" s="885"/>
      <c r="I50" s="412" t="s">
        <v>672</v>
      </c>
      <c r="J50" s="422">
        <f>B50/F50</f>
        <v>52.8690023342034</v>
      </c>
      <c r="K50" s="414"/>
      <c r="L50" s="400"/>
    </row>
    <row r="51" spans="1:15" ht="15" thickBot="1">
      <c r="A51" s="400"/>
      <c r="B51" s="415"/>
      <c r="C51" s="416"/>
      <c r="D51" s="416"/>
      <c r="E51" s="416"/>
      <c r="F51" s="416"/>
      <c r="G51" s="416"/>
      <c r="H51" s="416"/>
      <c r="I51" s="886" t="s">
        <v>687</v>
      </c>
      <c r="J51" s="886"/>
      <c r="K51" s="887"/>
      <c r="L51" s="400"/>
      <c r="O51" s="423"/>
    </row>
    <row r="52" spans="1:12" ht="40.5" customHeight="1">
      <c r="A52" s="400"/>
      <c r="B52" s="876" t="s">
        <v>662</v>
      </c>
      <c r="C52" s="876"/>
      <c r="D52" s="876"/>
      <c r="E52" s="876"/>
      <c r="F52" s="876"/>
      <c r="G52" s="876"/>
      <c r="H52" s="876"/>
      <c r="I52" s="876"/>
      <c r="J52" s="876"/>
      <c r="K52" s="876"/>
      <c r="L52" s="400"/>
    </row>
    <row r="53" spans="1:12" ht="14.25">
      <c r="A53" s="400"/>
      <c r="B53" s="881" t="s">
        <v>688</v>
      </c>
      <c r="C53" s="881"/>
      <c r="D53" s="881"/>
      <c r="E53" s="881"/>
      <c r="F53" s="881"/>
      <c r="G53" s="881"/>
      <c r="H53" s="881"/>
      <c r="I53" s="881"/>
      <c r="J53" s="881"/>
      <c r="K53" s="881"/>
      <c r="L53" s="400"/>
    </row>
    <row r="54" spans="1:12" ht="14.25">
      <c r="A54" s="400"/>
      <c r="B54" s="403"/>
      <c r="C54" s="403"/>
      <c r="D54" s="403"/>
      <c r="E54" s="403"/>
      <c r="F54" s="403"/>
      <c r="G54" s="403"/>
      <c r="H54" s="403"/>
      <c r="I54" s="403"/>
      <c r="J54" s="403"/>
      <c r="K54" s="403"/>
      <c r="L54" s="400"/>
    </row>
    <row r="55" spans="1:12" ht="14.25">
      <c r="A55" s="400"/>
      <c r="B55" s="868" t="s">
        <v>689</v>
      </c>
      <c r="C55" s="868"/>
      <c r="D55" s="868"/>
      <c r="E55" s="868"/>
      <c r="F55" s="868"/>
      <c r="G55" s="868"/>
      <c r="H55" s="868"/>
      <c r="I55" s="868"/>
      <c r="J55" s="868"/>
      <c r="K55" s="868"/>
      <c r="L55" s="400"/>
    </row>
    <row r="56" spans="1:12" ht="15" customHeight="1">
      <c r="A56" s="400"/>
      <c r="L56" s="400"/>
    </row>
    <row r="57" spans="1:24" ht="74.25" customHeight="1">
      <c r="A57" s="400"/>
      <c r="B57" s="869" t="s">
        <v>690</v>
      </c>
      <c r="C57" s="874"/>
      <c r="D57" s="874"/>
      <c r="E57" s="874"/>
      <c r="F57" s="874"/>
      <c r="G57" s="874"/>
      <c r="H57" s="874"/>
      <c r="I57" s="874"/>
      <c r="J57" s="874"/>
      <c r="K57" s="874"/>
      <c r="L57" s="400"/>
      <c r="M57" s="424"/>
      <c r="N57" s="425"/>
      <c r="O57" s="425"/>
      <c r="P57" s="425"/>
      <c r="Q57" s="425"/>
      <c r="R57" s="425"/>
      <c r="S57" s="425"/>
      <c r="T57" s="425"/>
      <c r="U57" s="425"/>
      <c r="V57" s="425"/>
      <c r="W57" s="425"/>
      <c r="X57" s="425"/>
    </row>
    <row r="58" spans="1:24" ht="15" customHeight="1">
      <c r="A58" s="400"/>
      <c r="B58" s="869"/>
      <c r="C58" s="874"/>
      <c r="D58" s="874"/>
      <c r="E58" s="874"/>
      <c r="F58" s="874"/>
      <c r="G58" s="874"/>
      <c r="H58" s="874"/>
      <c r="I58" s="874"/>
      <c r="J58" s="874"/>
      <c r="K58" s="874"/>
      <c r="L58" s="400"/>
      <c r="M58" s="424"/>
      <c r="N58" s="425"/>
      <c r="O58" s="425"/>
      <c r="P58" s="425"/>
      <c r="Q58" s="425"/>
      <c r="R58" s="425"/>
      <c r="S58" s="425"/>
      <c r="T58" s="425"/>
      <c r="U58" s="425"/>
      <c r="V58" s="425"/>
      <c r="W58" s="425"/>
      <c r="X58" s="425"/>
    </row>
    <row r="59" spans="1:24" ht="14.25">
      <c r="A59" s="400"/>
      <c r="B59" s="404" t="s">
        <v>679</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691</v>
      </c>
      <c r="L61" s="400"/>
      <c r="M61" s="425"/>
      <c r="N61" s="425"/>
      <c r="O61" s="425"/>
      <c r="P61" s="425"/>
      <c r="Q61" s="425"/>
      <c r="R61" s="425"/>
      <c r="S61" s="425"/>
      <c r="T61" s="425"/>
      <c r="U61" s="425"/>
      <c r="V61" s="425"/>
      <c r="W61" s="425"/>
      <c r="X61" s="425"/>
    </row>
    <row r="62" spans="1:24" ht="14.25">
      <c r="A62" s="400"/>
      <c r="B62" s="401" t="s">
        <v>692</v>
      </c>
      <c r="L62" s="400"/>
      <c r="M62" s="425"/>
      <c r="N62" s="425"/>
      <c r="O62" s="425"/>
      <c r="P62" s="425"/>
      <c r="Q62" s="425"/>
      <c r="R62" s="425"/>
      <c r="S62" s="425"/>
      <c r="T62" s="425"/>
      <c r="U62" s="425"/>
      <c r="V62" s="425"/>
      <c r="W62" s="425"/>
      <c r="X62" s="425"/>
    </row>
    <row r="63" spans="1:24" ht="14.25">
      <c r="A63" s="400"/>
      <c r="B63" s="401" t="s">
        <v>693</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694</v>
      </c>
      <c r="L65" s="400"/>
      <c r="M65" s="425"/>
      <c r="N65" s="425"/>
      <c r="O65" s="425"/>
      <c r="P65" s="425"/>
      <c r="Q65" s="425"/>
      <c r="R65" s="425"/>
      <c r="S65" s="425"/>
      <c r="T65" s="425"/>
      <c r="U65" s="425"/>
      <c r="V65" s="425"/>
      <c r="W65" s="425"/>
      <c r="X65" s="425"/>
    </row>
    <row r="66" spans="1:24" ht="14.25">
      <c r="A66" s="400"/>
      <c r="B66" s="401" t="s">
        <v>695</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696</v>
      </c>
      <c r="L68" s="400"/>
      <c r="M68" s="426"/>
      <c r="N68" s="427"/>
      <c r="O68" s="427"/>
      <c r="P68" s="427"/>
      <c r="Q68" s="427"/>
      <c r="R68" s="427"/>
      <c r="S68" s="427"/>
      <c r="T68" s="427"/>
      <c r="U68" s="427"/>
      <c r="V68" s="427"/>
      <c r="W68" s="427"/>
      <c r="X68" s="425"/>
    </row>
    <row r="69" spans="1:24" ht="14.25">
      <c r="A69" s="400"/>
      <c r="B69" s="401" t="s">
        <v>697</v>
      </c>
      <c r="L69" s="400"/>
      <c r="M69" s="425"/>
      <c r="N69" s="425"/>
      <c r="O69" s="425"/>
      <c r="P69" s="425"/>
      <c r="Q69" s="425"/>
      <c r="R69" s="425"/>
      <c r="S69" s="425"/>
      <c r="T69" s="425"/>
      <c r="U69" s="425"/>
      <c r="V69" s="425"/>
      <c r="W69" s="425"/>
      <c r="X69" s="425"/>
    </row>
    <row r="70" spans="1:24" ht="14.25">
      <c r="A70" s="400"/>
      <c r="B70" s="401" t="s">
        <v>698</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666</v>
      </c>
      <c r="C72" s="408"/>
      <c r="D72" s="408"/>
      <c r="E72" s="408"/>
      <c r="F72" s="408"/>
      <c r="G72" s="408"/>
      <c r="H72" s="408"/>
      <c r="I72" s="408"/>
      <c r="J72" s="408"/>
      <c r="K72" s="409"/>
      <c r="L72" s="428"/>
    </row>
    <row r="73" spans="1:12" ht="14.25">
      <c r="A73" s="400"/>
      <c r="B73" s="420"/>
      <c r="C73" s="411" t="s">
        <v>674</v>
      </c>
      <c r="D73" s="411"/>
      <c r="E73" s="411"/>
      <c r="F73" s="411"/>
      <c r="G73" s="411"/>
      <c r="H73" s="411"/>
      <c r="I73" s="411"/>
      <c r="J73" s="411"/>
      <c r="K73" s="414"/>
      <c r="L73" s="428"/>
    </row>
    <row r="74" spans="1:12" ht="14.25">
      <c r="A74" s="400"/>
      <c r="B74" s="420" t="s">
        <v>699</v>
      </c>
      <c r="C74" s="871">
        <v>133685008</v>
      </c>
      <c r="D74" s="871"/>
      <c r="E74" s="412" t="s">
        <v>673</v>
      </c>
      <c r="F74" s="412">
        <v>1000</v>
      </c>
      <c r="G74" s="412" t="s">
        <v>672</v>
      </c>
      <c r="H74" s="429">
        <f>C74/F74</f>
        <v>133685.008</v>
      </c>
      <c r="I74" s="411" t="s">
        <v>700</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701</v>
      </c>
      <c r="D76" s="411"/>
      <c r="E76" s="412"/>
      <c r="F76" s="411" t="s">
        <v>700</v>
      </c>
      <c r="G76" s="411"/>
      <c r="H76" s="411"/>
      <c r="I76" s="411"/>
      <c r="J76" s="411"/>
      <c r="K76" s="414"/>
      <c r="L76" s="428"/>
    </row>
    <row r="77" spans="1:12" ht="14.25">
      <c r="A77" s="400"/>
      <c r="B77" s="420" t="s">
        <v>702</v>
      </c>
      <c r="C77" s="871">
        <v>5000</v>
      </c>
      <c r="D77" s="871"/>
      <c r="E77" s="412" t="s">
        <v>673</v>
      </c>
      <c r="F77" s="429">
        <f>H74</f>
        <v>133685.008</v>
      </c>
      <c r="G77" s="412" t="s">
        <v>672</v>
      </c>
      <c r="H77" s="422">
        <f>C77/F77</f>
        <v>0.03740135169083432</v>
      </c>
      <c r="I77" s="411" t="s">
        <v>703</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704</v>
      </c>
      <c r="D79" s="431"/>
      <c r="E79" s="432"/>
      <c r="F79" s="431"/>
      <c r="G79" s="431"/>
      <c r="H79" s="431"/>
      <c r="I79" s="431"/>
      <c r="J79" s="431"/>
      <c r="K79" s="433"/>
      <c r="L79" s="428"/>
    </row>
    <row r="80" spans="1:12" ht="14.25">
      <c r="A80" s="400"/>
      <c r="B80" s="420" t="s">
        <v>705</v>
      </c>
      <c r="C80" s="871">
        <v>100000</v>
      </c>
      <c r="D80" s="871"/>
      <c r="E80" s="412" t="s">
        <v>259</v>
      </c>
      <c r="F80" s="412">
        <v>0.115</v>
      </c>
      <c r="G80" s="412" t="s">
        <v>672</v>
      </c>
      <c r="H80" s="429">
        <f>C80*F80</f>
        <v>11500</v>
      </c>
      <c r="I80" s="411" t="s">
        <v>706</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707</v>
      </c>
      <c r="D82" s="431"/>
      <c r="E82" s="432"/>
      <c r="F82" s="431" t="s">
        <v>703</v>
      </c>
      <c r="G82" s="431"/>
      <c r="H82" s="431"/>
      <c r="I82" s="431"/>
      <c r="J82" s="431" t="s">
        <v>708</v>
      </c>
      <c r="K82" s="433"/>
      <c r="L82" s="428"/>
    </row>
    <row r="83" spans="1:12" ht="14.25">
      <c r="A83" s="400"/>
      <c r="B83" s="420" t="s">
        <v>709</v>
      </c>
      <c r="C83" s="875">
        <f>H80</f>
        <v>11500</v>
      </c>
      <c r="D83" s="875"/>
      <c r="E83" s="412" t="s">
        <v>259</v>
      </c>
      <c r="F83" s="422">
        <f>H77</f>
        <v>0.03740135169083432</v>
      </c>
      <c r="G83" s="412" t="s">
        <v>673</v>
      </c>
      <c r="H83" s="412">
        <v>1000</v>
      </c>
      <c r="I83" s="412" t="s">
        <v>672</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76" t="s">
        <v>662</v>
      </c>
      <c r="C85" s="876"/>
      <c r="D85" s="876"/>
      <c r="E85" s="876"/>
      <c r="F85" s="876"/>
      <c r="G85" s="876"/>
      <c r="H85" s="876"/>
      <c r="I85" s="876"/>
      <c r="J85" s="876"/>
      <c r="K85" s="876"/>
      <c r="L85" s="400"/>
    </row>
    <row r="86" spans="1:12" ht="14.25">
      <c r="A86" s="400"/>
      <c r="B86" s="868" t="s">
        <v>710</v>
      </c>
      <c r="C86" s="868"/>
      <c r="D86" s="868"/>
      <c r="E86" s="868"/>
      <c r="F86" s="868"/>
      <c r="G86" s="868"/>
      <c r="H86" s="868"/>
      <c r="I86" s="868"/>
      <c r="J86" s="868"/>
      <c r="K86" s="868"/>
      <c r="L86" s="400"/>
    </row>
    <row r="87" spans="1:12" ht="14.25">
      <c r="A87" s="400"/>
      <c r="B87" s="439"/>
      <c r="C87" s="439"/>
      <c r="D87" s="439"/>
      <c r="E87" s="439"/>
      <c r="F87" s="439"/>
      <c r="G87" s="439"/>
      <c r="H87" s="439"/>
      <c r="I87" s="439"/>
      <c r="J87" s="439"/>
      <c r="K87" s="439"/>
      <c r="L87" s="400"/>
    </row>
    <row r="88" spans="1:12" ht="14.25">
      <c r="A88" s="400"/>
      <c r="B88" s="868" t="s">
        <v>711</v>
      </c>
      <c r="C88" s="868"/>
      <c r="D88" s="868"/>
      <c r="E88" s="868"/>
      <c r="F88" s="868"/>
      <c r="G88" s="868"/>
      <c r="H88" s="868"/>
      <c r="I88" s="868"/>
      <c r="J88" s="868"/>
      <c r="K88" s="868"/>
      <c r="L88" s="400"/>
    </row>
    <row r="89" spans="1:12" ht="14.25">
      <c r="A89" s="400"/>
      <c r="B89" s="440"/>
      <c r="C89" s="440"/>
      <c r="D89" s="440"/>
      <c r="E89" s="440"/>
      <c r="F89" s="440"/>
      <c r="G89" s="440"/>
      <c r="H89" s="440"/>
      <c r="I89" s="440"/>
      <c r="J89" s="440"/>
      <c r="K89" s="440"/>
      <c r="L89" s="400"/>
    </row>
    <row r="90" spans="1:12" ht="45" customHeight="1">
      <c r="A90" s="400"/>
      <c r="B90" s="869" t="s">
        <v>712</v>
      </c>
      <c r="C90" s="869"/>
      <c r="D90" s="869"/>
      <c r="E90" s="869"/>
      <c r="F90" s="869"/>
      <c r="G90" s="869"/>
      <c r="H90" s="869"/>
      <c r="I90" s="869"/>
      <c r="J90" s="869"/>
      <c r="K90" s="869"/>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71">
        <v>133685008</v>
      </c>
      <c r="D94" s="871"/>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71">
        <v>50000</v>
      </c>
      <c r="D97" s="871"/>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71">
        <v>2500000</v>
      </c>
      <c r="D100" s="871"/>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75">
        <f>H100</f>
        <v>750000</v>
      </c>
      <c r="D103" s="875"/>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6" t="s">
        <v>662</v>
      </c>
      <c r="C105" s="877"/>
      <c r="D105" s="877"/>
      <c r="E105" s="877"/>
      <c r="F105" s="877"/>
      <c r="G105" s="877"/>
      <c r="H105" s="877"/>
      <c r="I105" s="877"/>
      <c r="J105" s="877"/>
      <c r="K105" s="877"/>
      <c r="L105" s="400"/>
    </row>
    <row r="106" spans="1:12" ht="15" customHeight="1">
      <c r="A106" s="400"/>
      <c r="B106" s="878" t="s">
        <v>714</v>
      </c>
      <c r="C106" s="879"/>
      <c r="D106" s="879"/>
      <c r="E106" s="879"/>
      <c r="F106" s="879"/>
      <c r="G106" s="879"/>
      <c r="H106" s="879"/>
      <c r="I106" s="879"/>
      <c r="J106" s="879"/>
      <c r="K106" s="879"/>
      <c r="L106" s="400"/>
    </row>
    <row r="107" spans="1:12" ht="15" customHeight="1">
      <c r="A107" s="400"/>
      <c r="B107" s="445"/>
      <c r="C107" s="453"/>
      <c r="D107" s="453"/>
      <c r="E107" s="412"/>
      <c r="F107" s="422"/>
      <c r="G107" s="412"/>
      <c r="H107" s="412"/>
      <c r="I107" s="412"/>
      <c r="J107" s="434"/>
      <c r="K107" s="445"/>
      <c r="L107" s="400"/>
    </row>
    <row r="108" spans="1:12" ht="15" customHeight="1">
      <c r="A108" s="400"/>
      <c r="B108" s="878" t="s">
        <v>715</v>
      </c>
      <c r="C108" s="880"/>
      <c r="D108" s="880"/>
      <c r="E108" s="880"/>
      <c r="F108" s="880"/>
      <c r="G108" s="880"/>
      <c r="H108" s="880"/>
      <c r="I108" s="880"/>
      <c r="J108" s="880"/>
      <c r="K108" s="880"/>
      <c r="L108" s="400"/>
    </row>
    <row r="109" spans="1:12" ht="15" customHeight="1">
      <c r="A109" s="400"/>
      <c r="B109" s="445"/>
      <c r="C109" s="453"/>
      <c r="D109" s="453"/>
      <c r="E109" s="412"/>
      <c r="F109" s="422"/>
      <c r="G109" s="412"/>
      <c r="H109" s="412"/>
      <c r="I109" s="412"/>
      <c r="J109" s="434"/>
      <c r="K109" s="445"/>
      <c r="L109" s="400"/>
    </row>
    <row r="110" spans="1:12" ht="59.25" customHeight="1">
      <c r="A110" s="400"/>
      <c r="B110" s="873" t="s">
        <v>716</v>
      </c>
      <c r="C110" s="874"/>
      <c r="D110" s="874"/>
      <c r="E110" s="874"/>
      <c r="F110" s="874"/>
      <c r="G110" s="874"/>
      <c r="H110" s="874"/>
      <c r="I110" s="874"/>
      <c r="J110" s="874"/>
      <c r="K110" s="874"/>
      <c r="L110" s="400"/>
    </row>
    <row r="111" spans="1:12" ht="15" thickBot="1">
      <c r="A111" s="400"/>
      <c r="B111" s="403"/>
      <c r="C111" s="403"/>
      <c r="D111" s="403"/>
      <c r="E111" s="403"/>
      <c r="F111" s="403"/>
      <c r="G111" s="403"/>
      <c r="H111" s="403"/>
      <c r="I111" s="403"/>
      <c r="J111" s="403"/>
      <c r="K111" s="403"/>
      <c r="L111" s="454"/>
    </row>
    <row r="112" spans="1:12" ht="14.25">
      <c r="A112" s="400"/>
      <c r="B112" s="407" t="s">
        <v>666</v>
      </c>
      <c r="C112" s="408"/>
      <c r="D112" s="408"/>
      <c r="E112" s="408"/>
      <c r="F112" s="408"/>
      <c r="G112" s="408"/>
      <c r="H112" s="408"/>
      <c r="I112" s="408"/>
      <c r="J112" s="408"/>
      <c r="K112" s="409"/>
      <c r="L112" s="400"/>
    </row>
    <row r="113" spans="1:12" ht="14.25">
      <c r="A113" s="400"/>
      <c r="B113" s="420"/>
      <c r="C113" s="411" t="s">
        <v>674</v>
      </c>
      <c r="D113" s="411"/>
      <c r="E113" s="411"/>
      <c r="F113" s="411"/>
      <c r="G113" s="411"/>
      <c r="H113" s="411"/>
      <c r="I113" s="411"/>
      <c r="J113" s="411"/>
      <c r="K113" s="414"/>
      <c r="L113" s="400"/>
    </row>
    <row r="114" spans="1:12" ht="14.25">
      <c r="A114" s="400"/>
      <c r="B114" s="420" t="s">
        <v>699</v>
      </c>
      <c r="C114" s="871">
        <v>133685008</v>
      </c>
      <c r="D114" s="871"/>
      <c r="E114" s="412" t="s">
        <v>673</v>
      </c>
      <c r="F114" s="412">
        <v>1000</v>
      </c>
      <c r="G114" s="412" t="s">
        <v>672</v>
      </c>
      <c r="H114" s="429">
        <f>C114/F114</f>
        <v>133685.008</v>
      </c>
      <c r="I114" s="411" t="s">
        <v>700</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701</v>
      </c>
      <c r="D116" s="411"/>
      <c r="E116" s="412"/>
      <c r="F116" s="411" t="s">
        <v>700</v>
      </c>
      <c r="G116" s="411"/>
      <c r="H116" s="411"/>
      <c r="I116" s="411"/>
      <c r="J116" s="411"/>
      <c r="K116" s="414"/>
      <c r="L116" s="400"/>
    </row>
    <row r="117" spans="1:12" ht="14.25">
      <c r="A117" s="400"/>
      <c r="B117" s="420" t="s">
        <v>702</v>
      </c>
      <c r="C117" s="871">
        <v>50000</v>
      </c>
      <c r="D117" s="871"/>
      <c r="E117" s="412" t="s">
        <v>673</v>
      </c>
      <c r="F117" s="429">
        <f>H114</f>
        <v>133685.008</v>
      </c>
      <c r="G117" s="412" t="s">
        <v>672</v>
      </c>
      <c r="H117" s="422">
        <f>C117/F117</f>
        <v>0.3740135169083432</v>
      </c>
      <c r="I117" s="411" t="s">
        <v>703</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713</v>
      </c>
      <c r="D119" s="431"/>
      <c r="E119" s="432"/>
      <c r="F119" s="431"/>
      <c r="G119" s="431"/>
      <c r="H119" s="431"/>
      <c r="I119" s="431"/>
      <c r="J119" s="431"/>
      <c r="K119" s="433"/>
      <c r="L119" s="400"/>
    </row>
    <row r="120" spans="1:12" ht="14.25">
      <c r="A120" s="400"/>
      <c r="B120" s="420" t="s">
        <v>705</v>
      </c>
      <c r="C120" s="871">
        <v>2500000</v>
      </c>
      <c r="D120" s="871"/>
      <c r="E120" s="412" t="s">
        <v>259</v>
      </c>
      <c r="F120" s="450">
        <v>0.25</v>
      </c>
      <c r="G120" s="412" t="s">
        <v>672</v>
      </c>
      <c r="H120" s="429">
        <f>C120*F120</f>
        <v>625000</v>
      </c>
      <c r="I120" s="411" t="s">
        <v>706</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707</v>
      </c>
      <c r="D122" s="431"/>
      <c r="E122" s="432"/>
      <c r="F122" s="431" t="s">
        <v>703</v>
      </c>
      <c r="G122" s="431"/>
      <c r="H122" s="431"/>
      <c r="I122" s="431"/>
      <c r="J122" s="431" t="s">
        <v>708</v>
      </c>
      <c r="K122" s="433"/>
      <c r="L122" s="400"/>
    </row>
    <row r="123" spans="1:12" ht="14.25">
      <c r="A123" s="400"/>
      <c r="B123" s="420" t="s">
        <v>709</v>
      </c>
      <c r="C123" s="875">
        <f>H120</f>
        <v>625000</v>
      </c>
      <c r="D123" s="875"/>
      <c r="E123" s="412" t="s">
        <v>259</v>
      </c>
      <c r="F123" s="422">
        <f>H117</f>
        <v>0.3740135169083432</v>
      </c>
      <c r="G123" s="412" t="s">
        <v>673</v>
      </c>
      <c r="H123" s="412">
        <v>1000</v>
      </c>
      <c r="I123" s="412" t="s">
        <v>672</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76" t="s">
        <v>662</v>
      </c>
      <c r="C125" s="876"/>
      <c r="D125" s="876"/>
      <c r="E125" s="876"/>
      <c r="F125" s="876"/>
      <c r="G125" s="876"/>
      <c r="H125" s="876"/>
      <c r="I125" s="876"/>
      <c r="J125" s="876"/>
      <c r="K125" s="876"/>
      <c r="L125" s="454"/>
    </row>
    <row r="126" spans="1:12" ht="14.25">
      <c r="A126" s="400"/>
      <c r="B126" s="868" t="s">
        <v>717</v>
      </c>
      <c r="C126" s="868"/>
      <c r="D126" s="868"/>
      <c r="E126" s="868"/>
      <c r="F126" s="868"/>
      <c r="G126" s="868"/>
      <c r="H126" s="868"/>
      <c r="I126" s="868"/>
      <c r="J126" s="868"/>
      <c r="K126" s="868"/>
      <c r="L126" s="454"/>
    </row>
    <row r="127" spans="1:12" ht="14.25">
      <c r="A127" s="400"/>
      <c r="B127" s="403"/>
      <c r="C127" s="403"/>
      <c r="D127" s="403"/>
      <c r="E127" s="403"/>
      <c r="F127" s="403"/>
      <c r="G127" s="403"/>
      <c r="H127" s="403"/>
      <c r="I127" s="403"/>
      <c r="J127" s="403"/>
      <c r="K127" s="403"/>
      <c r="L127" s="454"/>
    </row>
    <row r="128" spans="1:12" ht="14.25">
      <c r="A128" s="400"/>
      <c r="B128" s="868" t="s">
        <v>718</v>
      </c>
      <c r="C128" s="868"/>
      <c r="D128" s="868"/>
      <c r="E128" s="868"/>
      <c r="F128" s="868"/>
      <c r="G128" s="868"/>
      <c r="H128" s="868"/>
      <c r="I128" s="868"/>
      <c r="J128" s="868"/>
      <c r="K128" s="868"/>
      <c r="L128" s="454"/>
    </row>
    <row r="129" spans="1:12" ht="14.25">
      <c r="A129" s="400"/>
      <c r="B129" s="440"/>
      <c r="C129" s="440"/>
      <c r="D129" s="440"/>
      <c r="E129" s="440"/>
      <c r="F129" s="440"/>
      <c r="G129" s="440"/>
      <c r="H129" s="440"/>
      <c r="I129" s="440"/>
      <c r="J129" s="440"/>
      <c r="K129" s="440"/>
      <c r="L129" s="454"/>
    </row>
    <row r="130" spans="1:12" ht="74.25" customHeight="1">
      <c r="A130" s="400"/>
      <c r="B130" s="869" t="s">
        <v>719</v>
      </c>
      <c r="C130" s="869"/>
      <c r="D130" s="869"/>
      <c r="E130" s="869"/>
      <c r="F130" s="869"/>
      <c r="G130" s="869"/>
      <c r="H130" s="869"/>
      <c r="I130" s="869"/>
      <c r="J130" s="869"/>
      <c r="K130" s="869"/>
      <c r="L130" s="454"/>
    </row>
    <row r="131" spans="1:12" ht="15" thickBot="1">
      <c r="A131" s="400"/>
      <c r="L131" s="400"/>
    </row>
    <row r="132" spans="1:12" ht="14.25">
      <c r="A132" s="400"/>
      <c r="B132" s="407" t="s">
        <v>666</v>
      </c>
      <c r="C132" s="408"/>
      <c r="D132" s="408"/>
      <c r="E132" s="408"/>
      <c r="F132" s="408"/>
      <c r="G132" s="408"/>
      <c r="H132" s="408"/>
      <c r="I132" s="408"/>
      <c r="J132" s="408"/>
      <c r="K132" s="409"/>
      <c r="L132" s="400"/>
    </row>
    <row r="133" spans="1:12" ht="14.25">
      <c r="A133" s="400"/>
      <c r="B133" s="420"/>
      <c r="C133" s="870" t="s">
        <v>720</v>
      </c>
      <c r="D133" s="870"/>
      <c r="E133" s="411"/>
      <c r="F133" s="412" t="s">
        <v>721</v>
      </c>
      <c r="G133" s="411"/>
      <c r="H133" s="870" t="s">
        <v>706</v>
      </c>
      <c r="I133" s="870"/>
      <c r="J133" s="411"/>
      <c r="K133" s="414"/>
      <c r="L133" s="400"/>
    </row>
    <row r="134" spans="1:12" ht="14.25">
      <c r="A134" s="400"/>
      <c r="B134" s="420" t="s">
        <v>699</v>
      </c>
      <c r="C134" s="871">
        <v>100000</v>
      </c>
      <c r="D134" s="871"/>
      <c r="E134" s="412" t="s">
        <v>259</v>
      </c>
      <c r="F134" s="412">
        <v>0.115</v>
      </c>
      <c r="G134" s="412" t="s">
        <v>672</v>
      </c>
      <c r="H134" s="863">
        <f>C134*F134</f>
        <v>11500</v>
      </c>
      <c r="I134" s="863"/>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72" t="s">
        <v>706</v>
      </c>
      <c r="D136" s="872"/>
      <c r="E136" s="431"/>
      <c r="F136" s="432" t="s">
        <v>722</v>
      </c>
      <c r="G136" s="432"/>
      <c r="H136" s="431"/>
      <c r="I136" s="431"/>
      <c r="J136" s="431" t="s">
        <v>723</v>
      </c>
      <c r="K136" s="433"/>
      <c r="L136" s="400"/>
    </row>
    <row r="137" spans="1:12" ht="14.25">
      <c r="A137" s="400"/>
      <c r="B137" s="420" t="s">
        <v>702</v>
      </c>
      <c r="C137" s="863">
        <f>H134</f>
        <v>11500</v>
      </c>
      <c r="D137" s="863"/>
      <c r="E137" s="412" t="s">
        <v>259</v>
      </c>
      <c r="F137" s="455">
        <v>52.869</v>
      </c>
      <c r="G137" s="412" t="s">
        <v>673</v>
      </c>
      <c r="H137" s="412">
        <v>1000</v>
      </c>
      <c r="I137" s="412" t="s">
        <v>672</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4.25">
      <c r="A140" s="400"/>
      <c r="B140" s="466" t="s">
        <v>724</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725</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60" t="s">
        <v>726</v>
      </c>
      <c r="C144" s="861"/>
      <c r="D144" s="861"/>
      <c r="E144" s="861"/>
      <c r="F144" s="861"/>
      <c r="G144" s="861"/>
      <c r="H144" s="861"/>
      <c r="I144" s="861"/>
      <c r="J144" s="861"/>
      <c r="K144" s="862"/>
      <c r="L144" s="400"/>
    </row>
    <row r="145" spans="1:12" ht="15" thickBot="1">
      <c r="A145" s="400"/>
      <c r="B145" s="420"/>
      <c r="C145" s="429"/>
      <c r="D145" s="429"/>
      <c r="E145" s="412"/>
      <c r="F145" s="472"/>
      <c r="G145" s="412"/>
      <c r="H145" s="412"/>
      <c r="I145" s="412"/>
      <c r="J145" s="456"/>
      <c r="K145" s="414"/>
      <c r="L145" s="400"/>
    </row>
    <row r="146" spans="1:12" ht="14.25">
      <c r="A146" s="400"/>
      <c r="B146" s="407" t="s">
        <v>666</v>
      </c>
      <c r="C146" s="473"/>
      <c r="D146" s="473"/>
      <c r="E146" s="474"/>
      <c r="F146" s="475"/>
      <c r="G146" s="474"/>
      <c r="H146" s="474"/>
      <c r="I146" s="474"/>
      <c r="J146" s="476"/>
      <c r="K146" s="409"/>
      <c r="L146" s="400"/>
    </row>
    <row r="147" spans="1:12" ht="14.25">
      <c r="A147" s="400"/>
      <c r="B147" s="420"/>
      <c r="C147" s="863" t="s">
        <v>727</v>
      </c>
      <c r="D147" s="863"/>
      <c r="E147" s="412"/>
      <c r="F147" s="472" t="s">
        <v>728</v>
      </c>
      <c r="G147" s="412"/>
      <c r="H147" s="412"/>
      <c r="I147" s="412"/>
      <c r="J147" s="864" t="s">
        <v>729</v>
      </c>
      <c r="K147" s="865"/>
      <c r="L147" s="400"/>
    </row>
    <row r="148" spans="1:12" ht="14.25">
      <c r="A148" s="400"/>
      <c r="B148" s="420"/>
      <c r="C148" s="866">
        <v>52.869</v>
      </c>
      <c r="D148" s="866"/>
      <c r="E148" s="412" t="s">
        <v>259</v>
      </c>
      <c r="F148" s="477">
        <v>133685008</v>
      </c>
      <c r="G148" s="478" t="s">
        <v>673</v>
      </c>
      <c r="H148" s="412">
        <v>1000</v>
      </c>
      <c r="I148" s="412" t="s">
        <v>672</v>
      </c>
      <c r="J148" s="863">
        <f>C148*(F148/1000)</f>
        <v>7067792.687952</v>
      </c>
      <c r="K148" s="867"/>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Padonia Township</v>
      </c>
      <c r="C1" s="65"/>
      <c r="D1" s="65"/>
      <c r="E1" s="226">
        <f>inputPrYr!D9</f>
        <v>2014</v>
      </c>
    </row>
    <row r="2" spans="2:5" ht="15.75">
      <c r="B2" s="547" t="s">
        <v>771</v>
      </c>
      <c r="C2" s="65"/>
      <c r="D2" s="208"/>
      <c r="E2" s="67"/>
    </row>
    <row r="3" spans="2:5" ht="15.75">
      <c r="B3" s="65"/>
      <c r="C3" s="70"/>
      <c r="D3" s="70"/>
      <c r="E3" s="70"/>
    </row>
    <row r="4" spans="2:5" ht="15.75">
      <c r="B4" s="72" t="s">
        <v>274</v>
      </c>
      <c r="C4" s="393" t="s">
        <v>275</v>
      </c>
      <c r="D4" s="396" t="s">
        <v>276</v>
      </c>
      <c r="E4" s="74" t="s">
        <v>277</v>
      </c>
    </row>
    <row r="5" spans="2:5" ht="15.75">
      <c r="B5" s="489">
        <f>inputPrYr!B28</f>
        <v>0</v>
      </c>
      <c r="C5" s="394" t="str">
        <f>gen!C5</f>
        <v>Actual for 2012</v>
      </c>
      <c r="D5" s="394" t="str">
        <f>gen!D5</f>
        <v>Estimate for 2013</v>
      </c>
      <c r="E5" s="79" t="str">
        <f>gen!E5</f>
        <v>Year for 2014</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IF(inputPrYr!H19&gt;0,inputPrYr!G28,inputPrYr!E28)</f>
        <v>0</v>
      </c>
      <c r="E8" s="316" t="s">
        <v>259</v>
      </c>
    </row>
    <row r="9" spans="2:5" ht="15.75">
      <c r="B9" s="80" t="s">
        <v>281</v>
      </c>
      <c r="C9" s="314"/>
      <c r="D9" s="314"/>
      <c r="E9" s="171"/>
    </row>
    <row r="10" spans="2:5" ht="15.75">
      <c r="B10" s="80" t="s">
        <v>282</v>
      </c>
      <c r="C10" s="314"/>
      <c r="D10" s="314"/>
      <c r="E10" s="262">
        <f>mvalloc!G19</f>
        <v>0</v>
      </c>
    </row>
    <row r="11" spans="2:5" ht="15.75">
      <c r="B11" s="80" t="s">
        <v>283</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23" t="str">
        <f>CONCATENATE("Desired Carryover Into ",E1+1,"")</f>
        <v>Desired Carryover Into 2015</v>
      </c>
      <c r="H24" s="824"/>
      <c r="I24" s="824"/>
      <c r="J24" s="825"/>
      <c r="K24" s="621"/>
    </row>
    <row r="25" spans="2:11" ht="15.75">
      <c r="B25" s="319"/>
      <c r="C25" s="314"/>
      <c r="D25" s="314"/>
      <c r="E25" s="171"/>
      <c r="G25" s="653"/>
      <c r="H25" s="654"/>
      <c r="I25" s="655"/>
      <c r="J25" s="656"/>
      <c r="K25" s="621"/>
    </row>
    <row r="26" spans="2:11" ht="15.75">
      <c r="B26" s="319"/>
      <c r="C26" s="314"/>
      <c r="D26" s="314"/>
      <c r="E26" s="171"/>
      <c r="G26" s="657" t="s">
        <v>737</v>
      </c>
      <c r="H26" s="655"/>
      <c r="I26" s="655"/>
      <c r="J26" s="658">
        <v>0</v>
      </c>
      <c r="K26" s="621"/>
    </row>
    <row r="27" spans="2:11" ht="15.75">
      <c r="B27" s="314"/>
      <c r="C27" s="314"/>
      <c r="D27" s="314"/>
      <c r="E27" s="171"/>
      <c r="G27" s="653" t="s">
        <v>738</v>
      </c>
      <c r="H27" s="654"/>
      <c r="I27" s="654"/>
      <c r="J27" s="659">
        <f>IF(J26=0,"",ROUND((J26+E40-G39)/inputOth!E11*1000,3)-G44)</f>
      </c>
      <c r="K27" s="621"/>
    </row>
    <row r="28" spans="2:11" ht="15.75">
      <c r="B28" s="319"/>
      <c r="C28" s="314"/>
      <c r="D28" s="314"/>
      <c r="E28" s="171"/>
      <c r="G28" s="660" t="str">
        <f>CONCATENATE("",E1," Tot Exp/Non-Appr Must Be:")</f>
        <v>2014 Tot Exp/Non-Appr Must Be:</v>
      </c>
      <c r="H28" s="661"/>
      <c r="I28" s="662"/>
      <c r="J28" s="663">
        <f>IF(J26&gt;0,IF(E37&lt;E21,IF(J26=G39,E37,((J26-G39)*(1-D39))+E21),E37+(J26-G39)),0)</f>
        <v>0</v>
      </c>
      <c r="K28" s="621"/>
    </row>
    <row r="29" spans="2:11" ht="15.75">
      <c r="B29" s="319"/>
      <c r="C29" s="314"/>
      <c r="D29" s="314"/>
      <c r="E29" s="171"/>
      <c r="G29" s="664" t="s">
        <v>867</v>
      </c>
      <c r="H29" s="665"/>
      <c r="I29" s="665"/>
      <c r="J29" s="666">
        <f>IF(J26&gt;0,J28-E37,0)</f>
        <v>0</v>
      </c>
      <c r="K29" s="621"/>
    </row>
    <row r="30" spans="2:11" ht="15.75">
      <c r="B30" s="317" t="s">
        <v>234</v>
      </c>
      <c r="C30" s="314"/>
      <c r="D30" s="314"/>
      <c r="E30" s="182">
        <f>nhood!E14</f>
      </c>
      <c r="G30" s="621"/>
      <c r="H30" s="621"/>
      <c r="I30" s="621"/>
      <c r="J30" s="621"/>
      <c r="K30" s="621"/>
    </row>
    <row r="31" spans="2:11" ht="15.75">
      <c r="B31" s="317" t="s">
        <v>232</v>
      </c>
      <c r="C31" s="314"/>
      <c r="D31" s="314"/>
      <c r="E31" s="171"/>
      <c r="G31" s="823" t="str">
        <f>CONCATENATE("Projected Carryover Into ",E1+1,"")</f>
        <v>Projected Carryover Into 2015</v>
      </c>
      <c r="H31" s="826"/>
      <c r="I31" s="826"/>
      <c r="J31" s="827"/>
      <c r="K31" s="621"/>
    </row>
    <row r="32" spans="2:11" ht="15.75">
      <c r="B32" s="317" t="s">
        <v>734</v>
      </c>
      <c r="C32" s="397">
        <f>IF(C33*0.1&lt;C31,"Exceed 10% Rule","")</f>
      </c>
      <c r="D32" s="397">
        <f>IF(D33*0.1&lt;D31,"Exceed 10% Rule","")</f>
      </c>
      <c r="E32" s="324">
        <f>IF(E33*0.1&lt;E31,"Exceed 10% Rule","")</f>
      </c>
      <c r="G32" s="653"/>
      <c r="H32" s="655"/>
      <c r="I32" s="655"/>
      <c r="J32" s="668"/>
      <c r="K32" s="621"/>
    </row>
    <row r="33" spans="2:11" ht="15.75">
      <c r="B33" s="98" t="s">
        <v>290</v>
      </c>
      <c r="C33" s="398">
        <f>SUM(C23:C31)</f>
        <v>0</v>
      </c>
      <c r="D33" s="398">
        <f>SUM(D23:D31)</f>
        <v>0</v>
      </c>
      <c r="E33" s="323">
        <f>SUM(E23:E31)</f>
        <v>0</v>
      </c>
      <c r="G33" s="671">
        <f>D34</f>
        <v>0</v>
      </c>
      <c r="H33" s="672" t="str">
        <f>CONCATENATE("",E1-1," Ending Cash Balance (est.)")</f>
        <v>2013 Ending Cash Balance (est.)</v>
      </c>
      <c r="I33" s="673"/>
      <c r="J33" s="668"/>
      <c r="K33" s="621"/>
    </row>
    <row r="34" spans="2:11" ht="15.75">
      <c r="B34" s="80" t="s">
        <v>71</v>
      </c>
      <c r="C34" s="399">
        <f>C21-C33</f>
        <v>0</v>
      </c>
      <c r="D34" s="399">
        <f>D21-D33</f>
        <v>0</v>
      </c>
      <c r="E34" s="316" t="s">
        <v>259</v>
      </c>
      <c r="G34" s="671">
        <f>E20</f>
        <v>0</v>
      </c>
      <c r="H34" s="655" t="str">
        <f>CONCATENATE("",E1," Non-AV Receipts (est.)")</f>
        <v>2014 Non-AV Receipts (est.)</v>
      </c>
      <c r="I34" s="673"/>
      <c r="J34" s="668"/>
      <c r="K34" s="621"/>
    </row>
    <row r="35" spans="2:11" ht="15.75">
      <c r="B35" s="117" t="str">
        <f>CONCATENATE("",$E$1-2,"/",$E$1-1," Budget Authority Amount:")</f>
        <v>2012/2013 Budget Authority Amount:</v>
      </c>
      <c r="C35" s="339">
        <f>inputOth!$B91</f>
        <v>0</v>
      </c>
      <c r="D35" s="83">
        <f>inputPrYr!$D28</f>
        <v>0</v>
      </c>
      <c r="E35" s="316" t="s">
        <v>259</v>
      </c>
      <c r="F35" s="325"/>
      <c r="G35" s="680">
        <f>IF(E39&gt;0,E38,E40)</f>
        <v>0</v>
      </c>
      <c r="H35" s="655" t="str">
        <f>CONCATENATE("",E1," Ad Valorem Tax (est.)")</f>
        <v>2014 Ad Valorem Tax (est.)</v>
      </c>
      <c r="I35" s="673"/>
      <c r="J35" s="668"/>
      <c r="K35" s="681">
        <f>IF(G35=E40,"","Note: Does not include Delinquent Taxes")</f>
      </c>
    </row>
    <row r="36" spans="2:11" ht="15.75">
      <c r="B36" s="117"/>
      <c r="C36" s="809" t="s">
        <v>731</v>
      </c>
      <c r="D36" s="810"/>
      <c r="E36" s="171"/>
      <c r="F36" s="740">
        <f>IF(E33/0.95-E33&lt;E36,"Exceeds 5%","")</f>
      </c>
      <c r="G36" s="671">
        <f>SUM(G33:G35)</f>
        <v>0</v>
      </c>
      <c r="H36" s="655" t="str">
        <f>CONCATENATE("Total ",E1," Resources Available")</f>
        <v>Total 2014 Resources Available</v>
      </c>
      <c r="I36" s="673"/>
      <c r="J36" s="668"/>
      <c r="K36" s="621"/>
    </row>
    <row r="37" spans="2:11" ht="15.75">
      <c r="B37" s="504" t="str">
        <f>CONCATENATE(C85,"     ",D85)</f>
        <v>     </v>
      </c>
      <c r="C37" s="811" t="s">
        <v>732</v>
      </c>
      <c r="D37" s="812"/>
      <c r="E37" s="262">
        <f>E33+E36</f>
        <v>0</v>
      </c>
      <c r="G37" s="684"/>
      <c r="H37" s="655"/>
      <c r="I37" s="655"/>
      <c r="J37" s="668"/>
      <c r="K37" s="621"/>
    </row>
    <row r="38" spans="2:11" ht="15.75">
      <c r="B38" s="504" t="str">
        <f>CONCATENATE(C86,"     ",D86)</f>
        <v>     </v>
      </c>
      <c r="C38" s="507"/>
      <c r="D38" s="506" t="s">
        <v>292</v>
      </c>
      <c r="E38" s="182">
        <f>IF(E37-E21&gt;0,E37-E21,0)</f>
        <v>0</v>
      </c>
      <c r="G38" s="680">
        <f>C33*0.05+C33</f>
        <v>0</v>
      </c>
      <c r="H38" s="655" t="str">
        <f>CONCATENATE("Less ",E1-2," Expenditures + 5%")</f>
        <v>Less 2012 Expenditures + 5%</v>
      </c>
      <c r="I38" s="655"/>
      <c r="J38" s="668"/>
      <c r="K38" s="621"/>
    </row>
    <row r="39" spans="2:11" ht="15.75">
      <c r="B39" s="211"/>
      <c r="C39" s="505" t="s">
        <v>733</v>
      </c>
      <c r="D39" s="724">
        <f>inputOth!$E$77</f>
        <v>0</v>
      </c>
      <c r="E39" s="262">
        <f>ROUND(IF(D39&gt;0,(E38*D39),0),0)</f>
        <v>0</v>
      </c>
      <c r="G39" s="688">
        <f>G36-G38</f>
        <v>0</v>
      </c>
      <c r="H39" s="689" t="str">
        <f>CONCATENATE("Projected ",E1+1," carryover (est.)")</f>
        <v>Projected 2015 carryover (est.)</v>
      </c>
      <c r="I39" s="690"/>
      <c r="J39" s="691"/>
      <c r="K39" s="621"/>
    </row>
    <row r="40" spans="2:11" ht="15.75">
      <c r="B40" s="65"/>
      <c r="C40" s="813" t="str">
        <f>CONCATENATE("Amount of  ",$E$1-1," Ad Valorem Tax")</f>
        <v>Amount of  2013 Ad Valorem Tax</v>
      </c>
      <c r="D40" s="814"/>
      <c r="E40" s="182">
        <f>E38+E39</f>
        <v>0</v>
      </c>
      <c r="G40" s="621"/>
      <c r="H40" s="621"/>
      <c r="I40" s="621"/>
      <c r="J40" s="621"/>
      <c r="K40" s="621"/>
    </row>
    <row r="41" spans="2:11" ht="15.75">
      <c r="B41" s="65"/>
      <c r="C41" s="566"/>
      <c r="D41" s="65"/>
      <c r="E41" s="65"/>
      <c r="G41" s="828" t="s">
        <v>868</v>
      </c>
      <c r="H41" s="829"/>
      <c r="I41" s="829"/>
      <c r="J41" s="830"/>
      <c r="K41" s="621"/>
    </row>
    <row r="42" spans="2:11" ht="15.75">
      <c r="B42" s="65"/>
      <c r="C42" s="566"/>
      <c r="D42" s="65"/>
      <c r="E42" s="65"/>
      <c r="G42" s="695"/>
      <c r="H42" s="672"/>
      <c r="I42" s="696"/>
      <c r="J42" s="697"/>
      <c r="K42" s="621"/>
    </row>
    <row r="43" spans="2:11" ht="15.75">
      <c r="B43" s="72" t="s">
        <v>274</v>
      </c>
      <c r="C43" s="70"/>
      <c r="D43" s="70"/>
      <c r="E43" s="70"/>
      <c r="G43" s="698" t="e">
        <f>summ!#REF!</f>
        <v>#REF!</v>
      </c>
      <c r="H43" s="672" t="str">
        <f>CONCATENATE("",E1," Fund Mill Rate")</f>
        <v>2014 Fund Mill Rate</v>
      </c>
      <c r="I43" s="696"/>
      <c r="J43" s="697"/>
      <c r="K43" s="621"/>
    </row>
    <row r="44" spans="2:11" ht="15.75">
      <c r="B44" s="65"/>
      <c r="C44" s="393" t="s">
        <v>275</v>
      </c>
      <c r="D44" s="396" t="s">
        <v>276</v>
      </c>
      <c r="E44" s="74" t="s">
        <v>277</v>
      </c>
      <c r="G44" s="699" t="e">
        <f>summ!#REF!</f>
        <v>#REF!</v>
      </c>
      <c r="H44" s="672" t="str">
        <f>CONCATENATE("",E1-1," Fund Mill Rate")</f>
        <v>2013 Fund Mill Rate</v>
      </c>
      <c r="I44" s="696"/>
      <c r="J44" s="697"/>
      <c r="K44" s="621"/>
    </row>
    <row r="45" spans="2:11" ht="15.75">
      <c r="B45" s="490">
        <f>inputPrYr!B29</f>
        <v>0</v>
      </c>
      <c r="C45" s="394" t="str">
        <f>C5</f>
        <v>Actual for 2012</v>
      </c>
      <c r="D45" s="394" t="str">
        <f>D5</f>
        <v>Estimate for 2013</v>
      </c>
      <c r="E45" s="79" t="str">
        <f>E5</f>
        <v>Year for 2014</v>
      </c>
      <c r="G45" s="701">
        <f>summ!H24</f>
        <v>12.978</v>
      </c>
      <c r="H45" s="672" t="str">
        <f>CONCATENATE("Total ",E1," Mill Rate")</f>
        <v>Total 2014 Mill Rate</v>
      </c>
      <c r="I45" s="696"/>
      <c r="J45" s="697"/>
      <c r="K45" s="621"/>
    </row>
    <row r="46" spans="2:11" ht="15.75">
      <c r="B46" s="80" t="s">
        <v>70</v>
      </c>
      <c r="C46" s="314"/>
      <c r="D46" s="395">
        <f>C74</f>
        <v>0</v>
      </c>
      <c r="E46" s="262">
        <f>D74</f>
        <v>0</v>
      </c>
      <c r="G46" s="699">
        <f>summ!E24</f>
        <v>14.169999999999998</v>
      </c>
      <c r="H46" s="702" t="str">
        <f>CONCATENATE("Total ",E1-1," Mill Rate")</f>
        <v>Total 2013 Mill Rate</v>
      </c>
      <c r="I46" s="703"/>
      <c r="J46" s="704"/>
      <c r="K46" s="621"/>
    </row>
    <row r="47" spans="2:11" ht="15.75">
      <c r="B47" s="80" t="s">
        <v>72</v>
      </c>
      <c r="C47" s="395"/>
      <c r="D47" s="395"/>
      <c r="E47" s="316"/>
      <c r="G47" s="621"/>
      <c r="H47" s="621"/>
      <c r="I47" s="621"/>
      <c r="J47" s="621"/>
      <c r="K47" s="621"/>
    </row>
    <row r="48" spans="2:11" ht="15.75">
      <c r="B48" s="80" t="s">
        <v>280</v>
      </c>
      <c r="C48" s="314"/>
      <c r="D48" s="395">
        <f>IF(inputPrYr!H19&gt;0,inputPrYr!G29,inputPrYr!E29)</f>
        <v>0</v>
      </c>
      <c r="E48" s="316" t="s">
        <v>259</v>
      </c>
      <c r="G48" s="621"/>
      <c r="H48" s="621"/>
      <c r="I48" s="621"/>
      <c r="J48" s="621"/>
      <c r="K48" s="621"/>
    </row>
    <row r="49" spans="2:11" ht="15.75">
      <c r="B49" s="80" t="s">
        <v>281</v>
      </c>
      <c r="C49" s="314"/>
      <c r="D49" s="314"/>
      <c r="E49" s="171"/>
      <c r="G49" s="621"/>
      <c r="H49" s="621"/>
      <c r="I49" s="621"/>
      <c r="J49" s="621"/>
      <c r="K49" s="621"/>
    </row>
    <row r="50" spans="2:11" ht="15.75">
      <c r="B50" s="80" t="s">
        <v>282</v>
      </c>
      <c r="C50" s="314"/>
      <c r="D50" s="314"/>
      <c r="E50" s="262">
        <f>mvalloc!G20</f>
        <v>0</v>
      </c>
      <c r="G50" s="621"/>
      <c r="H50" s="621"/>
      <c r="I50" s="621"/>
      <c r="J50" s="621"/>
      <c r="K50" s="621"/>
    </row>
    <row r="51" spans="2:11" ht="15.75">
      <c r="B51" s="80" t="s">
        <v>283</v>
      </c>
      <c r="C51" s="314"/>
      <c r="D51" s="314"/>
      <c r="E51" s="262">
        <f>mvalloc!I20</f>
        <v>0</v>
      </c>
      <c r="G51" s="621"/>
      <c r="H51" s="621"/>
      <c r="I51" s="621"/>
      <c r="J51" s="621"/>
      <c r="K51" s="621"/>
    </row>
    <row r="52" spans="2:11" ht="15.75">
      <c r="B52" s="80" t="s">
        <v>51</v>
      </c>
      <c r="C52" s="314"/>
      <c r="D52" s="314"/>
      <c r="E52" s="262">
        <f>mvalloc!J20</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286</v>
      </c>
      <c r="C57" s="314"/>
      <c r="D57" s="314"/>
      <c r="E57" s="171"/>
      <c r="G57" s="621"/>
      <c r="H57" s="621"/>
      <c r="I57" s="621"/>
      <c r="J57" s="621"/>
      <c r="K57" s="621"/>
    </row>
    <row r="58" spans="2:11" ht="15.75">
      <c r="B58" s="320" t="s">
        <v>232</v>
      </c>
      <c r="C58" s="314"/>
      <c r="D58" s="314"/>
      <c r="E58" s="171"/>
      <c r="G58" s="621"/>
      <c r="H58" s="621"/>
      <c r="I58" s="621"/>
      <c r="J58" s="621"/>
      <c r="K58" s="621"/>
    </row>
    <row r="59" spans="2:11" ht="15.75">
      <c r="B59" s="320" t="s">
        <v>233</v>
      </c>
      <c r="C59" s="397">
        <f>IF(C60*0.1&lt;C58,"Exceed 10% Rule","")</f>
      </c>
      <c r="D59" s="397">
        <f>IF(D60*0.1&lt;D58,"Exceed 10% Rule","")</f>
      </c>
      <c r="E59" s="324">
        <f>IF(E60*0.1+E80&lt;E58,"Exceed 10% Rule","")</f>
      </c>
      <c r="G59" s="621"/>
      <c r="H59" s="621"/>
      <c r="I59" s="621"/>
      <c r="J59" s="621"/>
      <c r="K59" s="621"/>
    </row>
    <row r="60" spans="2:11" ht="15.75">
      <c r="B60" s="322" t="s">
        <v>287</v>
      </c>
      <c r="C60" s="398">
        <f>SUM(C48:C58)</f>
        <v>0</v>
      </c>
      <c r="D60" s="398">
        <f>SUM(D48:D58)</f>
        <v>0</v>
      </c>
      <c r="E60" s="323">
        <f>SUM(E48:E58)</f>
        <v>0</v>
      </c>
      <c r="G60" s="621"/>
      <c r="H60" s="621"/>
      <c r="I60" s="621"/>
      <c r="J60" s="621"/>
      <c r="K60" s="621"/>
    </row>
    <row r="61" spans="2:11" ht="15.75">
      <c r="B61" s="98" t="s">
        <v>288</v>
      </c>
      <c r="C61" s="398">
        <f>C60+C46</f>
        <v>0</v>
      </c>
      <c r="D61" s="398">
        <f>D60+D46</f>
        <v>0</v>
      </c>
      <c r="E61" s="323">
        <f>E60+E46</f>
        <v>0</v>
      </c>
      <c r="G61" s="621"/>
      <c r="H61" s="621"/>
      <c r="I61" s="621"/>
      <c r="J61" s="621"/>
      <c r="K61" s="621"/>
    </row>
    <row r="62" spans="2:11" ht="15.75">
      <c r="B62" s="80" t="s">
        <v>289</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3" t="str">
        <f>CONCATENATE("Desired Carryover Into ",E1+1,"")</f>
        <v>Desired Carryover Into 2015</v>
      </c>
      <c r="H64" s="824"/>
      <c r="I64" s="824"/>
      <c r="J64" s="825"/>
      <c r="K64" s="621"/>
    </row>
    <row r="65" spans="2:11" ht="15.75">
      <c r="B65" s="319"/>
      <c r="C65" s="314"/>
      <c r="D65" s="314"/>
      <c r="E65" s="171"/>
      <c r="G65" s="653"/>
      <c r="H65" s="654"/>
      <c r="I65" s="655"/>
      <c r="J65" s="656"/>
      <c r="K65" s="621"/>
    </row>
    <row r="66" spans="2:11" ht="15.75">
      <c r="B66" s="319"/>
      <c r="C66" s="314"/>
      <c r="D66" s="314"/>
      <c r="E66" s="171"/>
      <c r="G66" s="657" t="s">
        <v>737</v>
      </c>
      <c r="H66" s="655"/>
      <c r="I66" s="655"/>
      <c r="J66" s="658">
        <v>0</v>
      </c>
      <c r="K66" s="621"/>
    </row>
    <row r="67" spans="2:11" ht="15.75">
      <c r="B67" s="319"/>
      <c r="C67" s="314"/>
      <c r="D67" s="314"/>
      <c r="E67" s="171"/>
      <c r="G67" s="653" t="s">
        <v>738</v>
      </c>
      <c r="H67" s="654"/>
      <c r="I67" s="654"/>
      <c r="J67" s="659">
        <f>IF(J66=0,"",ROUND((J66+E80-G79)/inputOth!E11*1000,3)-G84)</f>
      </c>
      <c r="K67" s="621"/>
    </row>
    <row r="68" spans="2:11" ht="15.75">
      <c r="B68" s="319"/>
      <c r="C68" s="314"/>
      <c r="D68" s="314"/>
      <c r="E68" s="171"/>
      <c r="G68" s="660" t="str">
        <f>CONCATENATE("",E1," Tot Exp/Non-Appr Must Be:")</f>
        <v>2014 Tot Exp/Non-Appr Must Be:</v>
      </c>
      <c r="H68" s="661"/>
      <c r="I68" s="662"/>
      <c r="J68" s="663">
        <f>IF(J66&gt;0,IF(E77&lt;E61,IF(J66=G79,E77,((J66-G79)*(1-D79))+E61),E77+(J66-G79)),0)</f>
        <v>0</v>
      </c>
      <c r="K68" s="621"/>
    </row>
    <row r="69" spans="2:11" ht="15.75">
      <c r="B69" s="319"/>
      <c r="C69" s="314"/>
      <c r="D69" s="314"/>
      <c r="E69" s="171"/>
      <c r="G69" s="664" t="s">
        <v>867</v>
      </c>
      <c r="H69" s="665"/>
      <c r="I69" s="665"/>
      <c r="J69" s="666">
        <f>IF(J66&gt;0,J68-E77,0)</f>
        <v>0</v>
      </c>
      <c r="K69" s="621"/>
    </row>
    <row r="70" spans="2:11" ht="15.75">
      <c r="B70" s="317" t="s">
        <v>234</v>
      </c>
      <c r="C70" s="314"/>
      <c r="D70" s="314"/>
      <c r="E70" s="182">
        <f>nhood!E15</f>
      </c>
      <c r="G70" s="621"/>
      <c r="H70" s="621"/>
      <c r="I70" s="621"/>
      <c r="J70" s="621"/>
      <c r="K70" s="621"/>
    </row>
    <row r="71" spans="2:11" ht="15.75">
      <c r="B71" s="317" t="s">
        <v>232</v>
      </c>
      <c r="C71" s="314"/>
      <c r="D71" s="314"/>
      <c r="E71" s="171"/>
      <c r="G71" s="823" t="str">
        <f>CONCATENATE("Projected Carryover Into ",E1+1,"")</f>
        <v>Projected Carryover Into 2015</v>
      </c>
      <c r="H71" s="831"/>
      <c r="I71" s="831"/>
      <c r="J71" s="827"/>
      <c r="K71" s="621"/>
    </row>
    <row r="72" spans="2:11" ht="15.75">
      <c r="B72" s="317" t="s">
        <v>734</v>
      </c>
      <c r="C72" s="397">
        <f>IF(C73*0.1&lt;C71,"Exceed 10% Rule","")</f>
      </c>
      <c r="D72" s="397">
        <f>IF(D73*0.1&lt;D71,"Exceed 10% Rule","")</f>
      </c>
      <c r="E72" s="324">
        <f>IF(E73*0.1&lt;E71,"Exceed 10% Rule","")</f>
      </c>
      <c r="G72" s="707"/>
      <c r="H72" s="654"/>
      <c r="I72" s="654"/>
      <c r="J72" s="708"/>
      <c r="K72" s="621"/>
    </row>
    <row r="73" spans="2:11" ht="15.75">
      <c r="B73" s="98" t="s">
        <v>290</v>
      </c>
      <c r="C73" s="398">
        <f>SUM(C63:C71)</f>
        <v>0</v>
      </c>
      <c r="D73" s="398">
        <f>SUM(D63:D71)</f>
        <v>0</v>
      </c>
      <c r="E73" s="323">
        <f>SUM(E63:E71)</f>
        <v>0</v>
      </c>
      <c r="G73" s="671">
        <f>D74</f>
        <v>0</v>
      </c>
      <c r="H73" s="672" t="str">
        <f>CONCATENATE("",E1-1," Ending Cash Balance (est.)")</f>
        <v>2013 Ending Cash Balance (est.)</v>
      </c>
      <c r="I73" s="673"/>
      <c r="J73" s="708"/>
      <c r="K73" s="621"/>
    </row>
    <row r="74" spans="2:11" ht="15.75">
      <c r="B74" s="80" t="s">
        <v>71</v>
      </c>
      <c r="C74" s="399">
        <f>C61-C73</f>
        <v>0</v>
      </c>
      <c r="D74" s="399">
        <f>D61-D73</f>
        <v>0</v>
      </c>
      <c r="E74" s="316" t="s">
        <v>259</v>
      </c>
      <c r="G74" s="671">
        <f>E60</f>
        <v>0</v>
      </c>
      <c r="H74" s="655" t="str">
        <f>CONCATENATE("",E1," Non-AV Receipts (est.)")</f>
        <v>2014 Non-AV Receipts (est.)</v>
      </c>
      <c r="I74" s="673"/>
      <c r="J74" s="708"/>
      <c r="K74" s="621"/>
    </row>
    <row r="75" spans="2:11" ht="15.75">
      <c r="B75" s="117" t="str">
        <f>CONCATENATE("",$E$1-2,"/",$E$1-1," Budget Authority Amount:")</f>
        <v>2012/2013 Budget Authority Amount:</v>
      </c>
      <c r="C75" s="339">
        <f>inputOth!$B92</f>
        <v>0</v>
      </c>
      <c r="D75" s="83">
        <f>inputPrYr!$D29</f>
        <v>0</v>
      </c>
      <c r="E75" s="316" t="s">
        <v>259</v>
      </c>
      <c r="F75" s="325"/>
      <c r="G75" s="680">
        <f>IF(E79&gt;0,E78,E80)</f>
        <v>0</v>
      </c>
      <c r="H75" s="655" t="str">
        <f>CONCATENATE("",E1," Ad Valorem Tax (est.)")</f>
        <v>2014 Ad Valorem Tax (est.)</v>
      </c>
      <c r="I75" s="673"/>
      <c r="J75" s="708"/>
      <c r="K75" s="681">
        <f>IF(G75=E80,"","Note: Does not include Delinquent Taxes")</f>
      </c>
    </row>
    <row r="76" spans="2:11" ht="15.75">
      <c r="B76" s="117"/>
      <c r="C76" s="809" t="s">
        <v>731</v>
      </c>
      <c r="D76" s="810"/>
      <c r="E76" s="171"/>
      <c r="F76" s="740">
        <f>IF(E73/0.95-E73&lt;E76,"Exceeds 5%","")</f>
      </c>
      <c r="G76" s="710">
        <f>SUM(G73:G75)</f>
        <v>0</v>
      </c>
      <c r="H76" s="655" t="str">
        <f>CONCATENATE("Total ",E1," Resources Available")</f>
        <v>Total 2014 Resources Available</v>
      </c>
      <c r="I76" s="711"/>
      <c r="J76" s="708"/>
      <c r="K76" s="621"/>
    </row>
    <row r="77" spans="2:11" ht="15.75">
      <c r="B77" s="504" t="str">
        <f>CONCATENATE(C87,"     ",D87)</f>
        <v>     </v>
      </c>
      <c r="C77" s="811" t="s">
        <v>732</v>
      </c>
      <c r="D77" s="812"/>
      <c r="E77" s="262">
        <f>E73+E76</f>
        <v>0</v>
      </c>
      <c r="G77" s="712"/>
      <c r="H77" s="713"/>
      <c r="I77" s="654"/>
      <c r="J77" s="708"/>
      <c r="K77" s="621"/>
    </row>
    <row r="78" spans="2:11" ht="15.75">
      <c r="B78" s="504" t="str">
        <f>CONCATENATE(C88,"     ",D88)</f>
        <v>     </v>
      </c>
      <c r="C78" s="507"/>
      <c r="D78" s="506" t="s">
        <v>292</v>
      </c>
      <c r="E78" s="182">
        <f>IF(E77-E61&gt;0,E77-E61,0)</f>
        <v>0</v>
      </c>
      <c r="G78" s="680">
        <f>ROUND(C73*0.05+C73,0)</f>
        <v>0</v>
      </c>
      <c r="H78" s="655" t="str">
        <f>CONCATENATE("Less ",E1-2," Expenditures + 5%")</f>
        <v>Less 2012 Expenditures + 5%</v>
      </c>
      <c r="I78" s="711"/>
      <c r="J78" s="708"/>
      <c r="K78" s="621"/>
    </row>
    <row r="79" spans="2:11" ht="15.75">
      <c r="B79" s="211"/>
      <c r="C79" s="505" t="s">
        <v>733</v>
      </c>
      <c r="D79" s="724">
        <f>inputOth!$E$77</f>
        <v>0</v>
      </c>
      <c r="E79" s="262">
        <f>ROUND(IF(D79&gt;0,(E78*D79),0),0)</f>
        <v>0</v>
      </c>
      <c r="G79" s="688">
        <f>G76-G78</f>
        <v>0</v>
      </c>
      <c r="H79" s="689" t="str">
        <f>CONCATENATE("Projected ",E1+1," carryover (est.)")</f>
        <v>Projected 2015 carryover (est.)</v>
      </c>
      <c r="I79" s="714"/>
      <c r="J79" s="715"/>
      <c r="K79" s="621"/>
    </row>
    <row r="80" spans="2:11" ht="15.75">
      <c r="B80" s="65"/>
      <c r="C80" s="813" t="str">
        <f>CONCATENATE("Amount of  ",$E$1-1," Ad Valorem Tax")</f>
        <v>Amount of  2013 Ad Valorem Tax</v>
      </c>
      <c r="D80" s="814"/>
      <c r="E80" s="182">
        <f>E78+E79</f>
        <v>0</v>
      </c>
      <c r="G80" s="621"/>
      <c r="H80" s="621"/>
      <c r="I80" s="621"/>
      <c r="J80" s="621"/>
      <c r="K80" s="621"/>
    </row>
    <row r="81" spans="2:11" ht="15.75">
      <c r="B81" s="211" t="s">
        <v>273</v>
      </c>
      <c r="C81" s="212"/>
      <c r="D81" s="65"/>
      <c r="E81" s="65"/>
      <c r="G81" s="828" t="s">
        <v>868</v>
      </c>
      <c r="H81" s="829"/>
      <c r="I81" s="829"/>
      <c r="J81" s="830"/>
      <c r="K81" s="621"/>
    </row>
    <row r="82" spans="2:11" ht="15.75">
      <c r="B82" s="113"/>
      <c r="G82" s="695"/>
      <c r="H82" s="672"/>
      <c r="I82" s="696"/>
      <c r="J82" s="697"/>
      <c r="K82" s="621"/>
    </row>
    <row r="83" spans="7:11" ht="15.75">
      <c r="G83" s="698" t="e">
        <f>summ!#REF!</f>
        <v>#REF!</v>
      </c>
      <c r="H83" s="672" t="str">
        <f>CONCATENATE("",E1," Fund Mill Rate")</f>
        <v>2014 Fund Mill Rate</v>
      </c>
      <c r="I83" s="696"/>
      <c r="J83" s="697"/>
      <c r="K83" s="621"/>
    </row>
    <row r="84" spans="7:11" ht="15.75">
      <c r="G84" s="699" t="e">
        <f>summ!#REF!</f>
        <v>#REF!</v>
      </c>
      <c r="H84" s="672" t="str">
        <f>CONCATENATE("",E1-1," Fund Mill Rate")</f>
        <v>2013 Fund Mill Rate</v>
      </c>
      <c r="I84" s="696"/>
      <c r="J84" s="697"/>
      <c r="K84" s="621"/>
    </row>
    <row r="85" spans="3:11" ht="15.75" hidden="1">
      <c r="C85" s="156">
        <f>IF(C33&gt;C35,"See Tab A","")</f>
      </c>
      <c r="D85" s="156">
        <f>IF(D33&gt;D35,"See Tab C","")</f>
      </c>
      <c r="G85" s="701">
        <f>'[1]summ'!I36</f>
        <v>0</v>
      </c>
      <c r="H85" s="672" t="str">
        <f>CONCATENATE("Total ",E1," Mill Rate")</f>
        <v>Total 2014 Mill Rate</v>
      </c>
      <c r="I85" s="696"/>
      <c r="J85" s="697"/>
      <c r="K85" s="621"/>
    </row>
    <row r="86" spans="3:11" ht="15.75" hidden="1">
      <c r="C86" s="156">
        <f>IF(C34&lt;0,"See Tab B","")</f>
      </c>
      <c r="D86" s="156">
        <f>IF(D34&lt;0,"See Tab D","")</f>
      </c>
      <c r="G86" s="699">
        <f>'[1]summ'!F36</f>
        <v>0</v>
      </c>
      <c r="H86" s="702" t="str">
        <f>CONCATENATE("Total ",E1-1," Mill Rate")</f>
        <v>Total 2013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summ!H24</f>
        <v>12.978</v>
      </c>
      <c r="H89" s="672" t="str">
        <f>CONCATENATE("Total ",E1," Mill Rate")</f>
        <v>Total 2014 Mill Rate</v>
      </c>
      <c r="I89" s="696"/>
      <c r="J89" s="697"/>
    </row>
    <row r="90" spans="7:10" ht="15.75">
      <c r="G90" s="699">
        <f>summ!E24</f>
        <v>14.169999999999998</v>
      </c>
      <c r="H90" s="702" t="str">
        <f>CONCATENATE("Total ",E1-1," Mill Rate")</f>
        <v>Total 2013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Padonia Township</v>
      </c>
      <c r="C1" s="65"/>
      <c r="D1" s="65"/>
      <c r="E1" s="226">
        <f>inputPrYr!D9</f>
        <v>2014</v>
      </c>
    </row>
    <row r="2" spans="2:5" ht="15.75">
      <c r="B2" s="547" t="s">
        <v>771</v>
      </c>
      <c r="C2" s="65"/>
      <c r="D2" s="208"/>
      <c r="E2" s="67"/>
    </row>
    <row r="3" spans="2:5" ht="15.75">
      <c r="B3" s="65"/>
      <c r="C3" s="70"/>
      <c r="D3" s="70"/>
      <c r="E3" s="70"/>
    </row>
    <row r="4" spans="2:5" ht="15.75">
      <c r="B4" s="72" t="s">
        <v>274</v>
      </c>
      <c r="C4" s="393" t="s">
        <v>275</v>
      </c>
      <c r="D4" s="396" t="s">
        <v>276</v>
      </c>
      <c r="E4" s="74" t="s">
        <v>277</v>
      </c>
    </row>
    <row r="5" spans="2:5" ht="15.75">
      <c r="B5" s="489">
        <f>inputPrYr!B30</f>
        <v>0</v>
      </c>
      <c r="C5" s="394" t="str">
        <f>gen!C5</f>
        <v>Actual for 2012</v>
      </c>
      <c r="D5" s="394" t="str">
        <f>gen!D5</f>
        <v>Estimate for 2013</v>
      </c>
      <c r="E5" s="79" t="str">
        <f>gen!E5</f>
        <v>Year for 2014</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IF(inputPrYr!H19&gt;0,inputPrYr!G30,inputPrYr!E30)</f>
        <v>0</v>
      </c>
      <c r="E8" s="316" t="s">
        <v>259</v>
      </c>
    </row>
    <row r="9" spans="2:5" ht="15.75">
      <c r="B9" s="80" t="s">
        <v>281</v>
      </c>
      <c r="C9" s="314"/>
      <c r="D9" s="314"/>
      <c r="E9" s="171"/>
    </row>
    <row r="10" spans="2:5" ht="15.75">
      <c r="B10" s="80" t="s">
        <v>282</v>
      </c>
      <c r="C10" s="314"/>
      <c r="D10" s="314"/>
      <c r="E10" s="262">
        <f>mvalloc!G21</f>
        <v>0</v>
      </c>
    </row>
    <row r="11" spans="2:5" ht="15.75">
      <c r="B11" s="80" t="s">
        <v>283</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23" t="str">
        <f>CONCATENATE("Desired Carryover Into ",E1+1,"")</f>
        <v>Desired Carryover Into 2015</v>
      </c>
      <c r="H24" s="824"/>
      <c r="I24" s="824"/>
      <c r="J24" s="825"/>
      <c r="K24" s="621"/>
    </row>
    <row r="25" spans="2:11" ht="15.75">
      <c r="B25" s="319"/>
      <c r="C25" s="314"/>
      <c r="D25" s="314"/>
      <c r="E25" s="171"/>
      <c r="G25" s="653"/>
      <c r="H25" s="654"/>
      <c r="I25" s="655"/>
      <c r="J25" s="656"/>
      <c r="K25" s="621"/>
    </row>
    <row r="26" spans="2:11" ht="15.75">
      <c r="B26" s="319"/>
      <c r="C26" s="314"/>
      <c r="D26" s="314"/>
      <c r="E26" s="171"/>
      <c r="G26" s="657" t="s">
        <v>737</v>
      </c>
      <c r="H26" s="655"/>
      <c r="I26" s="655"/>
      <c r="J26" s="658">
        <v>0</v>
      </c>
      <c r="K26" s="621"/>
    </row>
    <row r="27" spans="2:11" ht="15.75">
      <c r="B27" s="314"/>
      <c r="C27" s="314"/>
      <c r="D27" s="314"/>
      <c r="E27" s="171"/>
      <c r="G27" s="653" t="s">
        <v>738</v>
      </c>
      <c r="H27" s="654"/>
      <c r="I27" s="654"/>
      <c r="J27" s="659">
        <f>IF(J26=0,"",ROUND((J26+E40-G39)/inputOth!E11*1000,3)-G44)</f>
      </c>
      <c r="K27" s="621"/>
    </row>
    <row r="28" spans="2:11" ht="15.75">
      <c r="B28" s="319"/>
      <c r="C28" s="314"/>
      <c r="D28" s="314"/>
      <c r="E28" s="171"/>
      <c r="G28" s="660" t="str">
        <f>CONCATENATE("",E1," Tot Exp/Non-Appr Must Be:")</f>
        <v>2014 Tot Exp/Non-Appr Must Be:</v>
      </c>
      <c r="H28" s="661"/>
      <c r="I28" s="662"/>
      <c r="J28" s="663">
        <f>IF(J26&gt;0,IF(E37&lt;E21,IF(J26=G39,E37,((J26-G39)*(1-D39))+E21),E37+(J26-G39)),0)</f>
        <v>0</v>
      </c>
      <c r="K28" s="621"/>
    </row>
    <row r="29" spans="2:11" ht="15.75">
      <c r="B29" s="319"/>
      <c r="C29" s="314"/>
      <c r="D29" s="314"/>
      <c r="E29" s="171"/>
      <c r="G29" s="664" t="s">
        <v>867</v>
      </c>
      <c r="H29" s="665"/>
      <c r="I29" s="665"/>
      <c r="J29" s="666">
        <f>IF(J26&gt;0,J28-E37,0)</f>
        <v>0</v>
      </c>
      <c r="K29" s="621"/>
    </row>
    <row r="30" spans="2:11" ht="15.75">
      <c r="B30" s="317" t="s">
        <v>234</v>
      </c>
      <c r="C30" s="314"/>
      <c r="D30" s="314"/>
      <c r="E30" s="182">
        <f>nhood!E16</f>
      </c>
      <c r="G30" s="621"/>
      <c r="H30" s="621"/>
      <c r="I30" s="621"/>
      <c r="J30" s="621"/>
      <c r="K30" s="621"/>
    </row>
    <row r="31" spans="2:11" ht="15.75">
      <c r="B31" s="317" t="s">
        <v>232</v>
      </c>
      <c r="C31" s="314"/>
      <c r="D31" s="314"/>
      <c r="E31" s="171"/>
      <c r="G31" s="823" t="str">
        <f>CONCATENATE("Projected Carryover Into ",E1+1,"")</f>
        <v>Projected Carryover Into 2015</v>
      </c>
      <c r="H31" s="826"/>
      <c r="I31" s="826"/>
      <c r="J31" s="827"/>
      <c r="K31" s="621"/>
    </row>
    <row r="32" spans="2:11" ht="15.75">
      <c r="B32" s="317" t="s">
        <v>734</v>
      </c>
      <c r="C32" s="397">
        <f>IF(C33*0.1&lt;C31,"Exceed 10% Rule","")</f>
      </c>
      <c r="D32" s="397">
        <f>IF(D33*0.1&lt;D31,"Exceed 10% Rule","")</f>
      </c>
      <c r="E32" s="324">
        <f>IF(E33*0.1&lt;E31,"Exceed 10% Rule","")</f>
      </c>
      <c r="G32" s="653"/>
      <c r="H32" s="655"/>
      <c r="I32" s="655"/>
      <c r="J32" s="668"/>
      <c r="K32" s="621"/>
    </row>
    <row r="33" spans="2:11" ht="15.75">
      <c r="B33" s="98" t="s">
        <v>290</v>
      </c>
      <c r="C33" s="398">
        <f>SUM(C23:C31)</f>
        <v>0</v>
      </c>
      <c r="D33" s="398">
        <f>SUM(D23:D31)</f>
        <v>0</v>
      </c>
      <c r="E33" s="323">
        <f>SUM(E23:E31)</f>
        <v>0</v>
      </c>
      <c r="G33" s="671">
        <f>D34</f>
        <v>0</v>
      </c>
      <c r="H33" s="672" t="str">
        <f>CONCATENATE("",E1-1," Ending Cash Balance (est.)")</f>
        <v>2013 Ending Cash Balance (est.)</v>
      </c>
      <c r="I33" s="673"/>
      <c r="J33" s="668"/>
      <c r="K33" s="621"/>
    </row>
    <row r="34" spans="2:11" ht="15.75">
      <c r="B34" s="80" t="s">
        <v>71</v>
      </c>
      <c r="C34" s="399">
        <f>C21-C33</f>
        <v>0</v>
      </c>
      <c r="D34" s="399">
        <f>D21-D33</f>
        <v>0</v>
      </c>
      <c r="E34" s="316" t="s">
        <v>259</v>
      </c>
      <c r="G34" s="671">
        <f>E20</f>
        <v>0</v>
      </c>
      <c r="H34" s="655" t="str">
        <f>CONCATENATE("",E1," Non-AV Receipts (est.)")</f>
        <v>2014 Non-AV Receipts (est.)</v>
      </c>
      <c r="I34" s="673"/>
      <c r="J34" s="668"/>
      <c r="K34" s="621"/>
    </row>
    <row r="35" spans="2:11" ht="15.75">
      <c r="B35" s="117" t="str">
        <f>CONCATENATE("",$E$1-2,"/",$E$1-1," Budget Authority Amount:")</f>
        <v>2012/2013 Budget Authority Amount:</v>
      </c>
      <c r="C35" s="339">
        <f>inputOth!$B93</f>
        <v>0</v>
      </c>
      <c r="D35" s="83">
        <f>inputPrYr!$D30</f>
        <v>0</v>
      </c>
      <c r="E35" s="316" t="s">
        <v>259</v>
      </c>
      <c r="F35" s="325"/>
      <c r="G35" s="680">
        <f>IF(E39&gt;0,E38,E40)</f>
        <v>0</v>
      </c>
      <c r="H35" s="655" t="str">
        <f>CONCATENATE("",E1," Ad Valorem Tax (est.)")</f>
        <v>2014 Ad Valorem Tax (est.)</v>
      </c>
      <c r="I35" s="673"/>
      <c r="J35" s="668"/>
      <c r="K35" s="681">
        <f>IF(G35=E40,"","Note: Does not include Delinquent Taxes")</f>
      </c>
    </row>
    <row r="36" spans="2:11" ht="15.75">
      <c r="B36" s="117"/>
      <c r="C36" s="809" t="s">
        <v>731</v>
      </c>
      <c r="D36" s="810"/>
      <c r="E36" s="171"/>
      <c r="F36" s="740">
        <f>IF(E33/0.95-E33&lt;E36,"Exceeds 5%","")</f>
      </c>
      <c r="G36" s="671">
        <f>SUM(G33:G35)</f>
        <v>0</v>
      </c>
      <c r="H36" s="655" t="str">
        <f>CONCATENATE("Total ",E1," Resources Available")</f>
        <v>Total 2014 Resources Available</v>
      </c>
      <c r="I36" s="673"/>
      <c r="J36" s="668"/>
      <c r="K36" s="621"/>
    </row>
    <row r="37" spans="2:11" ht="15.75">
      <c r="B37" s="504" t="str">
        <f>CONCATENATE(C85,"     ",D85)</f>
        <v>     </v>
      </c>
      <c r="C37" s="811" t="s">
        <v>732</v>
      </c>
      <c r="D37" s="812"/>
      <c r="E37" s="262">
        <f>E33+E36</f>
        <v>0</v>
      </c>
      <c r="G37" s="684"/>
      <c r="H37" s="655"/>
      <c r="I37" s="655"/>
      <c r="J37" s="668"/>
      <c r="K37" s="621"/>
    </row>
    <row r="38" spans="2:11" ht="15.75">
      <c r="B38" s="504" t="str">
        <f>CONCATENATE(C86,"     ",D86)</f>
        <v>     </v>
      </c>
      <c r="C38" s="507"/>
      <c r="D38" s="506" t="s">
        <v>292</v>
      </c>
      <c r="E38" s="182">
        <f>IF(E37-E21&gt;0,E37-E21,0)</f>
        <v>0</v>
      </c>
      <c r="G38" s="680">
        <f>ROUND(C33*0.05+C33,0)</f>
        <v>0</v>
      </c>
      <c r="H38" s="655" t="str">
        <f>CONCATENATE("Less ",E1-2," Expenditures + 5%")</f>
        <v>Less 2012 Expenditures + 5%</v>
      </c>
      <c r="I38" s="655"/>
      <c r="J38" s="668"/>
      <c r="K38" s="621"/>
    </row>
    <row r="39" spans="2:11" ht="15.75">
      <c r="B39" s="211"/>
      <c r="C39" s="505" t="s">
        <v>733</v>
      </c>
      <c r="D39" s="724">
        <f>inputOth!$E$77</f>
        <v>0</v>
      </c>
      <c r="E39" s="262">
        <f>ROUND(IF(D39&gt;0,(E38*D39),0),0)</f>
        <v>0</v>
      </c>
      <c r="G39" s="688">
        <f>G36-G38</f>
        <v>0</v>
      </c>
      <c r="H39" s="689" t="str">
        <f>CONCATENATE("Projected ",E1+1," carryover (est.)")</f>
        <v>Projected 2015 carryover (est.)</v>
      </c>
      <c r="I39" s="690"/>
      <c r="J39" s="691"/>
      <c r="K39" s="621"/>
    </row>
    <row r="40" spans="2:11" ht="15.75">
      <c r="B40" s="65"/>
      <c r="C40" s="813" t="str">
        <f>CONCATENATE("Amount of  ",$E$1-1," Ad Valorem Tax")</f>
        <v>Amount of  2013 Ad Valorem Tax</v>
      </c>
      <c r="D40" s="814"/>
      <c r="E40" s="182">
        <f>E38+E39</f>
        <v>0</v>
      </c>
      <c r="G40" s="621"/>
      <c r="H40" s="621"/>
      <c r="I40" s="621"/>
      <c r="J40" s="621"/>
      <c r="K40" s="621"/>
    </row>
    <row r="41" spans="2:11" ht="15.75">
      <c r="B41" s="65"/>
      <c r="C41" s="566"/>
      <c r="D41" s="65"/>
      <c r="E41" s="65"/>
      <c r="G41" s="828" t="s">
        <v>868</v>
      </c>
      <c r="H41" s="829"/>
      <c r="I41" s="829"/>
      <c r="J41" s="830"/>
      <c r="K41" s="621"/>
    </row>
    <row r="42" spans="2:11" ht="15.75">
      <c r="B42" s="65"/>
      <c r="C42" s="566"/>
      <c r="D42" s="65"/>
      <c r="E42" s="65"/>
      <c r="G42" s="695"/>
      <c r="H42" s="672"/>
      <c r="I42" s="696"/>
      <c r="J42" s="697"/>
      <c r="K42" s="621"/>
    </row>
    <row r="43" spans="2:11" ht="15.75">
      <c r="B43" s="72" t="s">
        <v>274</v>
      </c>
      <c r="C43" s="70"/>
      <c r="D43" s="70"/>
      <c r="E43" s="70"/>
      <c r="G43" s="698" t="e">
        <f>summ!#REF!</f>
        <v>#REF!</v>
      </c>
      <c r="H43" s="672" t="str">
        <f>CONCATENATE("",E1," Fund Mill Rate")</f>
        <v>2014 Fund Mill Rate</v>
      </c>
      <c r="I43" s="696"/>
      <c r="J43" s="697"/>
      <c r="K43" s="621"/>
    </row>
    <row r="44" spans="2:11" ht="15.75">
      <c r="B44" s="65"/>
      <c r="C44" s="393" t="s">
        <v>275</v>
      </c>
      <c r="D44" s="396" t="s">
        <v>276</v>
      </c>
      <c r="E44" s="74" t="s">
        <v>277</v>
      </c>
      <c r="G44" s="699" t="e">
        <f>summ!#REF!</f>
        <v>#REF!</v>
      </c>
      <c r="H44" s="672" t="str">
        <f>CONCATENATE("",E1-1," Fund Mill Rate")</f>
        <v>2013 Fund Mill Rate</v>
      </c>
      <c r="I44" s="696"/>
      <c r="J44" s="697"/>
      <c r="K44" s="621"/>
    </row>
    <row r="45" spans="2:11" ht="15.75">
      <c r="B45" s="490">
        <f>inputPrYr!B31</f>
        <v>0</v>
      </c>
      <c r="C45" s="394" t="str">
        <f>C5</f>
        <v>Actual for 2012</v>
      </c>
      <c r="D45" s="394" t="str">
        <f>D5</f>
        <v>Estimate for 2013</v>
      </c>
      <c r="E45" s="79" t="str">
        <f>E5</f>
        <v>Year for 2014</v>
      </c>
      <c r="G45" s="701">
        <f>summ!H24</f>
        <v>12.978</v>
      </c>
      <c r="H45" s="672" t="str">
        <f>CONCATENATE("Total ",E1," Mill Rate")</f>
        <v>Total 2014 Mill Rate</v>
      </c>
      <c r="I45" s="696"/>
      <c r="J45" s="697"/>
      <c r="K45" s="621"/>
    </row>
    <row r="46" spans="2:11" ht="15.75">
      <c r="B46" s="80" t="s">
        <v>70</v>
      </c>
      <c r="C46" s="314"/>
      <c r="D46" s="395">
        <f>C74</f>
        <v>0</v>
      </c>
      <c r="E46" s="262">
        <f>D74</f>
        <v>0</v>
      </c>
      <c r="G46" s="699">
        <f>summ!E24</f>
        <v>14.169999999999998</v>
      </c>
      <c r="H46" s="702" t="str">
        <f>CONCATENATE("Total ",E1-1," Mill Rate")</f>
        <v>Total 2013 Mill Rate</v>
      </c>
      <c r="I46" s="703"/>
      <c r="J46" s="704"/>
      <c r="K46" s="621"/>
    </row>
    <row r="47" spans="2:11" ht="15.75">
      <c r="B47" s="80" t="s">
        <v>72</v>
      </c>
      <c r="C47" s="395"/>
      <c r="D47" s="395"/>
      <c r="E47" s="316"/>
      <c r="G47" s="621"/>
      <c r="H47" s="621"/>
      <c r="I47" s="621"/>
      <c r="J47" s="621"/>
      <c r="K47" s="621"/>
    </row>
    <row r="48" spans="2:11" ht="15.75">
      <c r="B48" s="80" t="s">
        <v>280</v>
      </c>
      <c r="C48" s="314"/>
      <c r="D48" s="395">
        <f>IF(inputPrYr!H19&gt;0,inputPrYr!G31,inputPrYr!E31)</f>
        <v>0</v>
      </c>
      <c r="E48" s="316" t="s">
        <v>259</v>
      </c>
      <c r="G48" s="621"/>
      <c r="H48" s="621"/>
      <c r="I48" s="621"/>
      <c r="J48" s="621"/>
      <c r="K48" s="621"/>
    </row>
    <row r="49" spans="2:11" ht="15.75">
      <c r="B49" s="80" t="s">
        <v>281</v>
      </c>
      <c r="C49" s="314"/>
      <c r="D49" s="314"/>
      <c r="E49" s="171"/>
      <c r="G49" s="621"/>
      <c r="H49" s="621"/>
      <c r="I49" s="621"/>
      <c r="J49" s="621"/>
      <c r="K49" s="621"/>
    </row>
    <row r="50" spans="2:11" ht="15.75">
      <c r="B50" s="80" t="s">
        <v>282</v>
      </c>
      <c r="C50" s="314"/>
      <c r="D50" s="314"/>
      <c r="E50" s="262">
        <f>mvalloc!G22</f>
        <v>0</v>
      </c>
      <c r="G50" s="621"/>
      <c r="H50" s="621"/>
      <c r="I50" s="621"/>
      <c r="J50" s="621"/>
      <c r="K50" s="621"/>
    </row>
    <row r="51" spans="2:11" ht="15.75">
      <c r="B51" s="80" t="s">
        <v>283</v>
      </c>
      <c r="C51" s="314"/>
      <c r="D51" s="314"/>
      <c r="E51" s="262">
        <f>mvalloc!I22</f>
        <v>0</v>
      </c>
      <c r="G51" s="621"/>
      <c r="H51" s="621"/>
      <c r="I51" s="621"/>
      <c r="J51" s="621"/>
      <c r="K51" s="621"/>
    </row>
    <row r="52" spans="2:11" ht="15.75">
      <c r="B52" s="80" t="s">
        <v>51</v>
      </c>
      <c r="C52" s="314"/>
      <c r="D52" s="314"/>
      <c r="E52" s="262">
        <f>mvalloc!J22</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286</v>
      </c>
      <c r="C57" s="314"/>
      <c r="D57" s="314"/>
      <c r="E57" s="171"/>
      <c r="G57" s="621"/>
      <c r="H57" s="621"/>
      <c r="I57" s="621"/>
      <c r="J57" s="621"/>
      <c r="K57" s="621"/>
    </row>
    <row r="58" spans="2:11" ht="15.75">
      <c r="B58" s="320" t="s">
        <v>232</v>
      </c>
      <c r="C58" s="314"/>
      <c r="D58" s="314"/>
      <c r="E58" s="171"/>
      <c r="G58" s="621"/>
      <c r="H58" s="621"/>
      <c r="I58" s="621"/>
      <c r="J58" s="621"/>
      <c r="K58" s="621"/>
    </row>
    <row r="59" spans="2:11" ht="15.75">
      <c r="B59" s="320" t="s">
        <v>233</v>
      </c>
      <c r="C59" s="397">
        <f>IF(C60*0.1&lt;C58,"Exceed 10% Rule","")</f>
      </c>
      <c r="D59" s="397">
        <f>IF(D60*0.1&lt;D58,"Exceed 10% Rule","")</f>
      </c>
      <c r="E59" s="324">
        <f>IF(E60*0.1+E80&lt;E58,"Exceed 10% Rule","")</f>
      </c>
      <c r="G59" s="621"/>
      <c r="H59" s="621"/>
      <c r="I59" s="621"/>
      <c r="J59" s="621"/>
      <c r="K59" s="621"/>
    </row>
    <row r="60" spans="2:11" ht="15.75">
      <c r="B60" s="322" t="s">
        <v>287</v>
      </c>
      <c r="C60" s="398">
        <f>SUM(C48:C58)</f>
        <v>0</v>
      </c>
      <c r="D60" s="398">
        <f>SUM(D48:D58)</f>
        <v>0</v>
      </c>
      <c r="E60" s="323">
        <f>SUM(E48:E58)</f>
        <v>0</v>
      </c>
      <c r="G60" s="621"/>
      <c r="H60" s="621"/>
      <c r="I60" s="621"/>
      <c r="J60" s="621"/>
      <c r="K60" s="621"/>
    </row>
    <row r="61" spans="2:11" ht="15.75">
      <c r="B61" s="98" t="s">
        <v>288</v>
      </c>
      <c r="C61" s="398">
        <f>C60+C46</f>
        <v>0</v>
      </c>
      <c r="D61" s="398">
        <f>D60+D46</f>
        <v>0</v>
      </c>
      <c r="E61" s="323">
        <f>E60+E46</f>
        <v>0</v>
      </c>
      <c r="G61" s="621"/>
      <c r="H61" s="621"/>
      <c r="I61" s="621"/>
      <c r="J61" s="621"/>
      <c r="K61" s="621"/>
    </row>
    <row r="62" spans="2:11" ht="15.75">
      <c r="B62" s="80" t="s">
        <v>289</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3" t="str">
        <f>CONCATENATE("Desired Carryover Into ",E1+1,"")</f>
        <v>Desired Carryover Into 2015</v>
      </c>
      <c r="H64" s="824"/>
      <c r="I64" s="824"/>
      <c r="J64" s="825"/>
      <c r="K64" s="621"/>
    </row>
    <row r="65" spans="2:11" ht="15.75">
      <c r="B65" s="319"/>
      <c r="C65" s="314"/>
      <c r="D65" s="314"/>
      <c r="E65" s="171"/>
      <c r="G65" s="653"/>
      <c r="H65" s="654"/>
      <c r="I65" s="655"/>
      <c r="J65" s="656"/>
      <c r="K65" s="621"/>
    </row>
    <row r="66" spans="2:11" ht="15.75">
      <c r="B66" s="319"/>
      <c r="C66" s="314"/>
      <c r="D66" s="314"/>
      <c r="E66" s="171"/>
      <c r="G66" s="657" t="s">
        <v>737</v>
      </c>
      <c r="H66" s="655"/>
      <c r="I66" s="655"/>
      <c r="J66" s="658">
        <v>0</v>
      </c>
      <c r="K66" s="621"/>
    </row>
    <row r="67" spans="2:11" ht="15.75">
      <c r="B67" s="319"/>
      <c r="C67" s="314"/>
      <c r="D67" s="314"/>
      <c r="E67" s="171"/>
      <c r="G67" s="653" t="s">
        <v>738</v>
      </c>
      <c r="H67" s="654"/>
      <c r="I67" s="654"/>
      <c r="J67" s="659">
        <f>IF(J66=0,"",ROUND((J66+E80-G79)/inputOth!E11*1000,3)-G84)</f>
      </c>
      <c r="K67" s="621"/>
    </row>
    <row r="68" spans="2:11" ht="15.75">
      <c r="B68" s="319"/>
      <c r="C68" s="314"/>
      <c r="D68" s="314"/>
      <c r="E68" s="171"/>
      <c r="G68" s="660" t="str">
        <f>CONCATENATE("",E1," Tot Exp/Non-Appr Must Be:")</f>
        <v>2014 Tot Exp/Non-Appr Must Be:</v>
      </c>
      <c r="H68" s="661"/>
      <c r="I68" s="662"/>
      <c r="J68" s="663">
        <f>IF(J66&gt;0,IF(E77&lt;E61,IF(J66=G79,E77,((J66-G79)*(1-D79))+E61),E77+(J66-G79)),0)</f>
        <v>0</v>
      </c>
      <c r="K68" s="621"/>
    </row>
    <row r="69" spans="2:11" ht="15.75">
      <c r="B69" s="319"/>
      <c r="C69" s="314"/>
      <c r="D69" s="314"/>
      <c r="E69" s="171"/>
      <c r="G69" s="664" t="s">
        <v>867</v>
      </c>
      <c r="H69" s="665"/>
      <c r="I69" s="665"/>
      <c r="J69" s="666">
        <f>IF(J66&gt;0,J68-E77,0)</f>
        <v>0</v>
      </c>
      <c r="K69" s="621"/>
    </row>
    <row r="70" spans="2:11" ht="15.75">
      <c r="B70" s="317" t="s">
        <v>234</v>
      </c>
      <c r="C70" s="314"/>
      <c r="D70" s="314"/>
      <c r="E70" s="182">
        <f>nhood!E17</f>
      </c>
      <c r="G70" s="621"/>
      <c r="H70" s="621"/>
      <c r="I70" s="621"/>
      <c r="J70" s="621"/>
      <c r="K70" s="621"/>
    </row>
    <row r="71" spans="2:11" ht="15.75">
      <c r="B71" s="317" t="s">
        <v>232</v>
      </c>
      <c r="C71" s="314"/>
      <c r="D71" s="314"/>
      <c r="E71" s="171"/>
      <c r="G71" s="823" t="str">
        <f>CONCATENATE("Projected Carryover Into ",E1+1,"")</f>
        <v>Projected Carryover Into 2015</v>
      </c>
      <c r="H71" s="831"/>
      <c r="I71" s="831"/>
      <c r="J71" s="827"/>
      <c r="K71" s="621"/>
    </row>
    <row r="72" spans="2:11" ht="15.75">
      <c r="B72" s="317" t="s">
        <v>734</v>
      </c>
      <c r="C72" s="397">
        <f>IF(C73*0.1&lt;C71,"Exceed 10% Rule","")</f>
      </c>
      <c r="D72" s="397">
        <f>IF(D73*0.1&lt;D71,"Exceed 10% Rule","")</f>
      </c>
      <c r="E72" s="324">
        <f>IF(E73*0.1&lt;E71,"Exceed 10% Rule","")</f>
      </c>
      <c r="G72" s="707"/>
      <c r="H72" s="654"/>
      <c r="I72" s="654"/>
      <c r="J72" s="708"/>
      <c r="K72" s="621"/>
    </row>
    <row r="73" spans="2:11" ht="15.75">
      <c r="B73" s="98" t="s">
        <v>290</v>
      </c>
      <c r="C73" s="398">
        <f>SUM(C63:C71)</f>
        <v>0</v>
      </c>
      <c r="D73" s="398">
        <f>SUM(D63:D71)</f>
        <v>0</v>
      </c>
      <c r="E73" s="323">
        <f>SUM(E63:E71)</f>
        <v>0</v>
      </c>
      <c r="G73" s="671">
        <f>D74</f>
        <v>0</v>
      </c>
      <c r="H73" s="672" t="str">
        <f>CONCATENATE("",E1-1," Ending Cash Balance (est.)")</f>
        <v>2013 Ending Cash Balance (est.)</v>
      </c>
      <c r="I73" s="673"/>
      <c r="J73" s="708"/>
      <c r="K73" s="621"/>
    </row>
    <row r="74" spans="2:11" ht="15.75">
      <c r="B74" s="80" t="s">
        <v>71</v>
      </c>
      <c r="C74" s="399">
        <f>C61-C73</f>
        <v>0</v>
      </c>
      <c r="D74" s="399">
        <f>D61-D73</f>
        <v>0</v>
      </c>
      <c r="E74" s="316" t="s">
        <v>259</v>
      </c>
      <c r="G74" s="671">
        <f>E60</f>
        <v>0</v>
      </c>
      <c r="H74" s="655" t="str">
        <f>CONCATENATE("",E1," Non-AV Receipts (est.)")</f>
        <v>2014 Non-AV Receipts (est.)</v>
      </c>
      <c r="I74" s="673"/>
      <c r="J74" s="708"/>
      <c r="K74" s="621"/>
    </row>
    <row r="75" spans="2:11" ht="15.75">
      <c r="B75" s="117" t="str">
        <f>CONCATENATE("",$E$1-2,"/",$E$1-1," Budget Authority Amount:")</f>
        <v>2012/2013 Budget Authority Amount:</v>
      </c>
      <c r="C75" s="339">
        <f>inputOth!$B94</f>
        <v>0</v>
      </c>
      <c r="D75" s="83">
        <f>inputPrYr!$D31</f>
        <v>0</v>
      </c>
      <c r="E75" s="316" t="s">
        <v>259</v>
      </c>
      <c r="F75" s="325"/>
      <c r="G75" s="680">
        <f>IF(E79&gt;0,E78,E80)</f>
        <v>0</v>
      </c>
      <c r="H75" s="655" t="str">
        <f>CONCATENATE("",E1," Ad Valorem Tax (est.)")</f>
        <v>2014 Ad Valorem Tax (est.)</v>
      </c>
      <c r="I75" s="673"/>
      <c r="J75" s="708"/>
      <c r="K75" s="681">
        <f>IF(G75=E80,"","Note: Does not include Delinquent Taxes")</f>
      </c>
    </row>
    <row r="76" spans="2:11" ht="15.75">
      <c r="B76" s="117"/>
      <c r="C76" s="809" t="s">
        <v>731</v>
      </c>
      <c r="D76" s="810"/>
      <c r="E76" s="171"/>
      <c r="F76" s="740">
        <f>IF(E73/0.95-E73&lt;E76,"Exceeds 5%","")</f>
      </c>
      <c r="G76" s="710">
        <f>SUM(G73:G75)</f>
        <v>0</v>
      </c>
      <c r="H76" s="655" t="str">
        <f>CONCATENATE("Total ",E1," Resources Available")</f>
        <v>Total 2014 Resources Available</v>
      </c>
      <c r="I76" s="711"/>
      <c r="J76" s="708"/>
      <c r="K76" s="621"/>
    </row>
    <row r="77" spans="2:11" ht="15.75">
      <c r="B77" s="504" t="str">
        <f>CONCATENATE(C87,"     ",D87)</f>
        <v>     </v>
      </c>
      <c r="C77" s="811" t="s">
        <v>732</v>
      </c>
      <c r="D77" s="812"/>
      <c r="E77" s="262">
        <f>E73+E76</f>
        <v>0</v>
      </c>
      <c r="G77" s="712"/>
      <c r="H77" s="713"/>
      <c r="I77" s="654"/>
      <c r="J77" s="708"/>
      <c r="K77" s="621"/>
    </row>
    <row r="78" spans="2:11" ht="15.75">
      <c r="B78" s="504" t="str">
        <f>CONCATENATE(C88,"     ",D88)</f>
        <v>     </v>
      </c>
      <c r="C78" s="507"/>
      <c r="D78" s="506" t="s">
        <v>292</v>
      </c>
      <c r="E78" s="182">
        <f>IF(E77-E61&gt;0,E77-E61,0)</f>
        <v>0</v>
      </c>
      <c r="G78" s="680">
        <f>ROUND(C73*0.05+C73,0)</f>
        <v>0</v>
      </c>
      <c r="H78" s="655" t="str">
        <f>CONCATENATE("Less ",E1-2," Expenditures + 5%")</f>
        <v>Less 2012 Expenditures + 5%</v>
      </c>
      <c r="I78" s="711"/>
      <c r="J78" s="708"/>
      <c r="K78" s="621"/>
    </row>
    <row r="79" spans="2:11" ht="15.75">
      <c r="B79" s="211"/>
      <c r="C79" s="505" t="s">
        <v>733</v>
      </c>
      <c r="D79" s="724">
        <f>inputOth!$E$77</f>
        <v>0</v>
      </c>
      <c r="E79" s="262">
        <f>ROUND(IF(D79&gt;0,(E78*D79),0),0)</f>
        <v>0</v>
      </c>
      <c r="G79" s="688">
        <f>G76-G78</f>
        <v>0</v>
      </c>
      <c r="H79" s="689" t="str">
        <f>CONCATENATE("Projected ",E1+1," carryover (est.)")</f>
        <v>Projected 2015 carryover (est.)</v>
      </c>
      <c r="I79" s="714"/>
      <c r="J79" s="715"/>
      <c r="K79" s="621"/>
    </row>
    <row r="80" spans="2:11" ht="15.75">
      <c r="B80" s="65"/>
      <c r="C80" s="813" t="str">
        <f>CONCATENATE("Amount of  ",$E$1-1," Ad Valorem Tax")</f>
        <v>Amount of  2013 Ad Valorem Tax</v>
      </c>
      <c r="D80" s="814"/>
      <c r="E80" s="182">
        <f>E78+E79</f>
        <v>0</v>
      </c>
      <c r="G80" s="621"/>
      <c r="H80" s="621"/>
      <c r="I80" s="621"/>
      <c r="J80" s="621"/>
      <c r="K80" s="621"/>
    </row>
    <row r="81" spans="2:11" ht="15.75">
      <c r="B81" s="211" t="s">
        <v>273</v>
      </c>
      <c r="C81" s="212"/>
      <c r="D81" s="65"/>
      <c r="E81" s="65"/>
      <c r="G81" s="828" t="s">
        <v>868</v>
      </c>
      <c r="H81" s="829"/>
      <c r="I81" s="829"/>
      <c r="J81" s="830"/>
      <c r="K81" s="621"/>
    </row>
    <row r="82" spans="2:11" ht="15.75">
      <c r="B82" s="113"/>
      <c r="G82" s="695"/>
      <c r="H82" s="672"/>
      <c r="I82" s="696"/>
      <c r="J82" s="697"/>
      <c r="K82" s="621"/>
    </row>
    <row r="83" spans="7:11" ht="15.75">
      <c r="G83" s="698" t="e">
        <f>summ!#REF!</f>
        <v>#REF!</v>
      </c>
      <c r="H83" s="672" t="str">
        <f>CONCATENATE("",E1," Fund Mill Rate")</f>
        <v>2014 Fund Mill Rate</v>
      </c>
      <c r="I83" s="696"/>
      <c r="J83" s="697"/>
      <c r="K83" s="621"/>
    </row>
    <row r="84" spans="7:11" ht="15.75">
      <c r="G84" s="699" t="e">
        <f>summ!#REF!</f>
        <v>#REF!</v>
      </c>
      <c r="H84" s="672" t="str">
        <f>CONCATENATE("",E1-1," Fund Mill Rate")</f>
        <v>2013 Fund Mill Rate</v>
      </c>
      <c r="I84" s="696"/>
      <c r="J84" s="697"/>
      <c r="K84" s="621"/>
    </row>
    <row r="85" spans="3:11" ht="15.75" hidden="1">
      <c r="C85" s="156">
        <f>IF(C33&gt;C35,"See Tab A","")</f>
      </c>
      <c r="D85" s="156">
        <f>IF(D33&gt;D35,"See Tab C","")</f>
      </c>
      <c r="G85" s="701">
        <f>'[1]summ'!I36</f>
        <v>0</v>
      </c>
      <c r="H85" s="672" t="str">
        <f>CONCATENATE("Total ",E1," Mill Rate")</f>
        <v>Total 2014 Mill Rate</v>
      </c>
      <c r="I85" s="696"/>
      <c r="J85" s="697"/>
      <c r="K85" s="621"/>
    </row>
    <row r="86" spans="3:11" ht="15.75" hidden="1">
      <c r="C86" s="156">
        <f>IF(C34&lt;0,"See Tab B","")</f>
      </c>
      <c r="D86" s="156">
        <f>IF(D34&lt;0,"See Tab D","")</f>
      </c>
      <c r="G86" s="699">
        <f>'[1]summ'!F36</f>
        <v>0</v>
      </c>
      <c r="H86" s="702" t="str">
        <f>CONCATENATE("Total ",E1-1," Mill Rate")</f>
        <v>Total 2013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summ!H24</f>
        <v>12.978</v>
      </c>
      <c r="H89" s="672" t="str">
        <f>CONCATENATE("Total ",E1," Mill Rate")</f>
        <v>Total 2014 Mill Rate</v>
      </c>
      <c r="I89" s="696"/>
      <c r="J89" s="697"/>
    </row>
    <row r="90" spans="7:10" ht="15.75">
      <c r="G90" s="699">
        <f>summ!E24</f>
        <v>14.169999999999998</v>
      </c>
      <c r="H90" s="702" t="str">
        <f>CONCATENATE("Total ",E1-1," Mill Rate")</f>
        <v>Total 2013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Padonia Township</v>
      </c>
      <c r="C1" s="65"/>
      <c r="D1" s="65"/>
      <c r="E1" s="226">
        <f>inputPrYr!D9</f>
        <v>2014</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489">
        <f>inputPrYr!B35</f>
        <v>0</v>
      </c>
      <c r="C5" s="79" t="str">
        <f>gen!C5</f>
        <v>Actual for 2012</v>
      </c>
      <c r="D5" s="79" t="str">
        <f>gen!D5</f>
        <v>Estimate for 2013</v>
      </c>
      <c r="E5" s="79" t="str">
        <f>gen!E5</f>
        <v>Year for 2014</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32">
        <f>C6+C15</f>
        <v>0</v>
      </c>
      <c r="D16" s="332">
        <f>D6+D15</f>
        <v>0</v>
      </c>
      <c r="E16" s="332">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490">
        <f>inputPrYr!B36</f>
        <v>0</v>
      </c>
      <c r="C36" s="79" t="str">
        <f>C5</f>
        <v>Actual for 2012</v>
      </c>
      <c r="D36" s="79" t="str">
        <f>D5</f>
        <v>Estimate for 2013</v>
      </c>
      <c r="E36" s="79" t="str">
        <f>E5</f>
        <v>Year for 2014</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273</v>
      </c>
      <c r="C65" s="153"/>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Padonia Township</v>
      </c>
      <c r="C1" s="65"/>
      <c r="D1" s="65"/>
      <c r="E1" s="226">
        <f>inputPrYr!D9</f>
        <v>2014</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178">
        <f>inputPrYr!B37</f>
        <v>0</v>
      </c>
      <c r="C5" s="79" t="str">
        <f>gen!C5</f>
        <v>Actual for 2012</v>
      </c>
      <c r="D5" s="79" t="str">
        <f>gen!D5</f>
        <v>Estimate for 2013</v>
      </c>
      <c r="E5" s="79" t="str">
        <f>gen!E5</f>
        <v>Year for 2014</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23">
        <f>C6+C15</f>
        <v>0</v>
      </c>
      <c r="D16" s="323">
        <f>D6+D15</f>
        <v>0</v>
      </c>
      <c r="E16" s="323">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241">
        <f>inputPrYr!B38</f>
        <v>0</v>
      </c>
      <c r="C36" s="79" t="str">
        <f>C5</f>
        <v>Actual for 2012</v>
      </c>
      <c r="D36" s="79" t="str">
        <f>D5</f>
        <v>Estimate for 2013</v>
      </c>
      <c r="E36" s="79" t="str">
        <f>E5</f>
        <v>Year for 2014</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735</v>
      </c>
      <c r="C65" s="153"/>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1" customWidth="1"/>
    <col min="2" max="2" width="28.59765625" style="621" customWidth="1"/>
    <col min="3" max="4" width="14.19921875" style="621" customWidth="1"/>
    <col min="5" max="5" width="14.59765625" style="621" customWidth="1"/>
    <col min="6" max="6" width="7.296875" style="621" customWidth="1"/>
    <col min="7" max="7" width="9.19921875" style="621" customWidth="1"/>
    <col min="8" max="8" width="8.796875" style="621" customWidth="1"/>
    <col min="9" max="9" width="4.5" style="621" customWidth="1"/>
    <col min="10" max="10" width="9" style="621" customWidth="1"/>
    <col min="11" max="16384" width="8.796875" style="621" customWidth="1"/>
  </cols>
  <sheetData>
    <row r="1" spans="2:5" ht="15.75">
      <c r="B1" s="618" t="str">
        <f>inputPrYr!D3</f>
        <v>Padonia Township</v>
      </c>
      <c r="C1" s="618"/>
      <c r="D1" s="619"/>
      <c r="E1" s="620">
        <f>inputPrYr!D9</f>
        <v>2014</v>
      </c>
    </row>
    <row r="2" spans="2:5" ht="15.75">
      <c r="B2" s="619"/>
      <c r="C2" s="619"/>
      <c r="D2" s="619"/>
      <c r="E2" s="622"/>
    </row>
    <row r="3" spans="2:5" ht="15.75">
      <c r="B3" s="623" t="s">
        <v>771</v>
      </c>
      <c r="C3" s="623"/>
      <c r="D3" s="624"/>
      <c r="E3" s="625"/>
    </row>
    <row r="4" spans="2:5" ht="15.75">
      <c r="B4" s="626" t="s">
        <v>274</v>
      </c>
      <c r="C4" s="627" t="s">
        <v>863</v>
      </c>
      <c r="D4" s="628" t="s">
        <v>864</v>
      </c>
      <c r="E4" s="629" t="s">
        <v>865</v>
      </c>
    </row>
    <row r="5" spans="2:5" ht="15.75">
      <c r="B5" s="630" t="str">
        <f>inputPrYr!B21</f>
        <v>Debt Service</v>
      </c>
      <c r="C5" s="631" t="str">
        <f>CONCATENATE("Actual for ",$E$1-2,"")</f>
        <v>Actual for 2012</v>
      </c>
      <c r="D5" s="632" t="str">
        <f>CONCATENATE("Estimate for ",$E$1-1,"")</f>
        <v>Estimate for 2013</v>
      </c>
      <c r="E5" s="633" t="str">
        <f>CONCATENATE("Year for ",$E$1,"")</f>
        <v>Year for 2014</v>
      </c>
    </row>
    <row r="6" spans="2:5" ht="15.75">
      <c r="B6" s="634" t="s">
        <v>96</v>
      </c>
      <c r="C6" s="635"/>
      <c r="D6" s="636">
        <f>C34</f>
        <v>0</v>
      </c>
      <c r="E6" s="637">
        <f>D34</f>
        <v>0</v>
      </c>
    </row>
    <row r="7" spans="2:5" ht="15.75">
      <c r="B7" s="634" t="s">
        <v>72</v>
      </c>
      <c r="C7" s="638"/>
      <c r="D7" s="636"/>
      <c r="E7" s="637"/>
    </row>
    <row r="8" spans="2:5" ht="15.75">
      <c r="B8" s="634" t="s">
        <v>280</v>
      </c>
      <c r="C8" s="639"/>
      <c r="D8" s="636">
        <f>IF(inputPrYr!H19&gt;0,inputPrYr!G21,inputPrYr!E21)</f>
        <v>0</v>
      </c>
      <c r="E8" s="640" t="s">
        <v>259</v>
      </c>
    </row>
    <row r="9" spans="2:5" ht="15.75">
      <c r="B9" s="634" t="s">
        <v>281</v>
      </c>
      <c r="C9" s="639"/>
      <c r="D9" s="641"/>
      <c r="E9" s="642"/>
    </row>
    <row r="10" spans="2:5" ht="15.75">
      <c r="B10" s="634" t="s">
        <v>282</v>
      </c>
      <c r="C10" s="639"/>
      <c r="D10" s="641"/>
      <c r="E10" s="637">
        <f>mvalloc!G12</f>
        <v>0</v>
      </c>
    </row>
    <row r="11" spans="2:5" ht="15.75">
      <c r="B11" s="634" t="s">
        <v>283</v>
      </c>
      <c r="C11" s="639"/>
      <c r="D11" s="641"/>
      <c r="E11" s="637">
        <f>mvalloc!I12</f>
        <v>0</v>
      </c>
    </row>
    <row r="12" spans="2:5" ht="15.75">
      <c r="B12" s="643" t="s">
        <v>51</v>
      </c>
      <c r="C12" s="639"/>
      <c r="D12" s="641"/>
      <c r="E12" s="637">
        <f>mvalloc!J12</f>
        <v>0</v>
      </c>
    </row>
    <row r="13" spans="2:5" ht="15.75">
      <c r="B13" s="644"/>
      <c r="C13" s="639"/>
      <c r="D13" s="641"/>
      <c r="E13" s="645"/>
    </row>
    <row r="14" spans="2:5" ht="15.75">
      <c r="B14" s="644"/>
      <c r="C14" s="639"/>
      <c r="D14" s="641"/>
      <c r="E14" s="642"/>
    </row>
    <row r="15" spans="2:5" ht="15.75">
      <c r="B15" s="644"/>
      <c r="C15" s="639"/>
      <c r="D15" s="641"/>
      <c r="E15" s="642"/>
    </row>
    <row r="16" spans="2:5" ht="15.75">
      <c r="B16" s="644"/>
      <c r="C16" s="639"/>
      <c r="D16" s="641"/>
      <c r="E16" s="642"/>
    </row>
    <row r="17" spans="2:5" ht="15.75">
      <c r="B17" s="646" t="s">
        <v>286</v>
      </c>
      <c r="C17" s="639"/>
      <c r="D17" s="641"/>
      <c r="E17" s="642"/>
    </row>
    <row r="18" spans="2:5" ht="15.75">
      <c r="B18" s="634" t="s">
        <v>232</v>
      </c>
      <c r="C18" s="647"/>
      <c r="D18" s="641"/>
      <c r="E18" s="642"/>
    </row>
    <row r="19" spans="2:5" ht="15.75">
      <c r="B19" s="634" t="s">
        <v>866</v>
      </c>
      <c r="C19" s="648">
        <f>IF(C20*0.1&lt;C18,"Exceed 10% Rule","")</f>
      </c>
      <c r="D19" s="648">
        <f>IF(D20*0.1&lt;D18,"Exceeds 10% Rule","")</f>
      </c>
      <c r="E19" s="649">
        <f>IF(E20*0.1&lt;E18,"Exceed 10% Rule","")</f>
      </c>
    </row>
    <row r="20" spans="2:5" ht="15.75">
      <c r="B20" s="650" t="s">
        <v>287</v>
      </c>
      <c r="C20" s="651">
        <f>SUM(C8:C18)</f>
        <v>0</v>
      </c>
      <c r="D20" s="651">
        <f>SUM(D8:D18)</f>
        <v>0</v>
      </c>
      <c r="E20" s="652">
        <f>SUM(E9:E18)</f>
        <v>0</v>
      </c>
    </row>
    <row r="21" spans="2:5" ht="15.75">
      <c r="B21" s="650" t="s">
        <v>288</v>
      </c>
      <c r="C21" s="651">
        <f>C6+C20</f>
        <v>0</v>
      </c>
      <c r="D21" s="651">
        <f>D6+D20</f>
        <v>0</v>
      </c>
      <c r="E21" s="652">
        <f>E6+E20</f>
        <v>0</v>
      </c>
    </row>
    <row r="22" spans="2:5" ht="15.75">
      <c r="B22" s="634" t="s">
        <v>289</v>
      </c>
      <c r="C22" s="634"/>
      <c r="D22" s="636"/>
      <c r="E22" s="637"/>
    </row>
    <row r="23" spans="2:5" ht="15.75">
      <c r="B23" s="644"/>
      <c r="C23" s="639"/>
      <c r="D23" s="641"/>
      <c r="E23" s="642"/>
    </row>
    <row r="24" spans="2:10" ht="15.75">
      <c r="B24" s="644"/>
      <c r="C24" s="639"/>
      <c r="D24" s="641"/>
      <c r="E24" s="642"/>
      <c r="G24" s="823" t="str">
        <f>CONCATENATE("Desired Carryover Into ",E1+1,"")</f>
        <v>Desired Carryover Into 2015</v>
      </c>
      <c r="H24" s="824"/>
      <c r="I24" s="824"/>
      <c r="J24" s="825"/>
    </row>
    <row r="25" spans="2:10" ht="15.75">
      <c r="B25" s="644"/>
      <c r="C25" s="641"/>
      <c r="D25" s="641"/>
      <c r="E25" s="642"/>
      <c r="G25" s="653"/>
      <c r="H25" s="654"/>
      <c r="I25" s="655"/>
      <c r="J25" s="656"/>
    </row>
    <row r="26" spans="2:10" ht="15.75">
      <c r="B26" s="644"/>
      <c r="C26" s="639"/>
      <c r="D26" s="641"/>
      <c r="E26" s="642"/>
      <c r="G26" s="657" t="s">
        <v>737</v>
      </c>
      <c r="H26" s="655"/>
      <c r="I26" s="655"/>
      <c r="J26" s="658">
        <v>0</v>
      </c>
    </row>
    <row r="27" spans="2:10" ht="15.75">
      <c r="B27" s="644"/>
      <c r="C27" s="639"/>
      <c r="D27" s="641"/>
      <c r="E27" s="642"/>
      <c r="G27" s="653" t="s">
        <v>738</v>
      </c>
      <c r="H27" s="654"/>
      <c r="I27" s="654"/>
      <c r="J27" s="659">
        <f>IF(J26=0,"",ROUND((J26+E40-G39)/inputOth!E11*1000,3)-G44)</f>
      </c>
    </row>
    <row r="28" spans="2:10" ht="15.75">
      <c r="B28" s="644"/>
      <c r="C28" s="639"/>
      <c r="D28" s="641"/>
      <c r="E28" s="642"/>
      <c r="G28" s="660" t="str">
        <f>CONCATENATE("",E1," Tot Exp/Non-Appr Must Be:")</f>
        <v>2014 Tot Exp/Non-Appr Must Be:</v>
      </c>
      <c r="H28" s="661"/>
      <c r="I28" s="662"/>
      <c r="J28" s="663">
        <f>IF(J26&gt;0,IF(E37&lt;E21,IF(J26=G39,E37,((J26-G39)*(1-D39))+E21),E37+(J26-G39)),0)</f>
        <v>0</v>
      </c>
    </row>
    <row r="29" spans="2:10" ht="15.75">
      <c r="B29" s="644"/>
      <c r="C29" s="639"/>
      <c r="D29" s="641"/>
      <c r="E29" s="642"/>
      <c r="G29" s="664" t="s">
        <v>867</v>
      </c>
      <c r="H29" s="665"/>
      <c r="I29" s="665"/>
      <c r="J29" s="666">
        <f>IF(J26&gt;0,J28-E37,0)</f>
        <v>0</v>
      </c>
    </row>
    <row r="30" spans="2:5" ht="15.75">
      <c r="B30" s="667" t="s">
        <v>234</v>
      </c>
      <c r="C30" s="639"/>
      <c r="D30" s="641"/>
      <c r="E30" s="637">
        <f>nhood!E7</f>
      </c>
    </row>
    <row r="31" spans="2:10" ht="15.75">
      <c r="B31" s="667" t="s">
        <v>232</v>
      </c>
      <c r="C31" s="647"/>
      <c r="D31" s="641"/>
      <c r="E31" s="642"/>
      <c r="G31" s="823" t="str">
        <f>CONCATENATE("Projected Carryover Into ",E1+1,"")</f>
        <v>Projected Carryover Into 2015</v>
      </c>
      <c r="H31" s="826"/>
      <c r="I31" s="826"/>
      <c r="J31" s="827"/>
    </row>
    <row r="32" spans="2:10" ht="15.75">
      <c r="B32" s="667" t="s">
        <v>734</v>
      </c>
      <c r="C32" s="648">
        <f>IF(C33*0.1&lt;C31,"Exceed 10% Rule","")</f>
      </c>
      <c r="D32" s="648">
        <f>IF(D33*0.1&lt;D31,"Exceed 10% Rule","")</f>
      </c>
      <c r="E32" s="649">
        <f>IF(E33*0.1&lt;E31,"Exceed 10% Rule","")</f>
      </c>
      <c r="G32" s="653"/>
      <c r="H32" s="655"/>
      <c r="I32" s="655"/>
      <c r="J32" s="668"/>
    </row>
    <row r="33" spans="2:10" ht="15.75">
      <c r="B33" s="650" t="s">
        <v>290</v>
      </c>
      <c r="C33" s="669">
        <f>SUM(C23:C31)</f>
        <v>0</v>
      </c>
      <c r="D33" s="669">
        <f>SUM(D23:D31)</f>
        <v>0</v>
      </c>
      <c r="E33" s="670">
        <f>SUM(E23:E31)</f>
        <v>0</v>
      </c>
      <c r="G33" s="671">
        <f>D34</f>
        <v>0</v>
      </c>
      <c r="H33" s="672" t="str">
        <f>CONCATENATE("",E1-1," Ending Cash Balance (est.)")</f>
        <v>2013 Ending Cash Balance (est.)</v>
      </c>
      <c r="I33" s="673"/>
      <c r="J33" s="668"/>
    </row>
    <row r="34" spans="2:10" ht="15.75">
      <c r="B34" s="634" t="s">
        <v>71</v>
      </c>
      <c r="C34" s="674">
        <f>C21-C33</f>
        <v>0</v>
      </c>
      <c r="D34" s="674">
        <f>D21-D33</f>
        <v>0</v>
      </c>
      <c r="E34" s="640" t="s">
        <v>259</v>
      </c>
      <c r="F34" s="675"/>
      <c r="G34" s="671">
        <f>E20</f>
        <v>0</v>
      </c>
      <c r="H34" s="655" t="str">
        <f>CONCATENATE("",E1," Non-AV Receipts (est.)")</f>
        <v>2014 Non-AV Receipts (est.)</v>
      </c>
      <c r="I34" s="673"/>
      <c r="J34" s="668"/>
    </row>
    <row r="35" spans="2:11" ht="15.75">
      <c r="B35" s="676" t="str">
        <f>CONCATENATE("",E1-2,"/",E1-1," Budget Authority Amount:")</f>
        <v>2012/2013 Budget Authority Amount:</v>
      </c>
      <c r="C35" s="677">
        <f>inputOth!B84</f>
        <v>0</v>
      </c>
      <c r="D35" s="678">
        <f>inputPrYr!D21</f>
        <v>0</v>
      </c>
      <c r="E35" s="640" t="s">
        <v>259</v>
      </c>
      <c r="F35" s="679"/>
      <c r="G35" s="680">
        <f>IF(E39&gt;0,E38,E40)</f>
        <v>0</v>
      </c>
      <c r="H35" s="655" t="str">
        <f>CONCATENATE("",E1," Ad Valorem Tax (est.)")</f>
        <v>2014 Ad Valorem Tax (est.)</v>
      </c>
      <c r="I35" s="673"/>
      <c r="J35" s="668"/>
      <c r="K35" s="681">
        <f>IF(G35=E40,"","Note: Does not include Delinquent Taxes")</f>
      </c>
    </row>
    <row r="36" spans="2:10" ht="15.75">
      <c r="B36" s="676"/>
      <c r="C36" s="809" t="s">
        <v>731</v>
      </c>
      <c r="D36" s="810"/>
      <c r="E36" s="642"/>
      <c r="F36" s="682">
        <f>IF(E33/0.95-E33&lt;E36,"Exceeds 5%","")</f>
      </c>
      <c r="G36" s="671">
        <f>SUM(G33:G35)</f>
        <v>0</v>
      </c>
      <c r="H36" s="655" t="str">
        <f>CONCATENATE("Total ",E1," Resources Available")</f>
        <v>Total 2014 Resources Available</v>
      </c>
      <c r="I36" s="673"/>
      <c r="J36" s="668"/>
    </row>
    <row r="37" spans="2:10" ht="15.75">
      <c r="B37" s="683" t="str">
        <f>CONCATENATE(C93,"     ",D93)</f>
        <v>     </v>
      </c>
      <c r="C37" s="811" t="s">
        <v>732</v>
      </c>
      <c r="D37" s="812"/>
      <c r="E37" s="637">
        <f>E33+E36</f>
        <v>0</v>
      </c>
      <c r="F37" s="675"/>
      <c r="G37" s="684"/>
      <c r="H37" s="655"/>
      <c r="I37" s="655"/>
      <c r="J37" s="668"/>
    </row>
    <row r="38" spans="2:10" ht="15.75">
      <c r="B38" s="683" t="str">
        <f>CONCATENATE(C94,"     ",D94)</f>
        <v>     </v>
      </c>
      <c r="C38" s="685"/>
      <c r="D38" s="622" t="s">
        <v>292</v>
      </c>
      <c r="E38" s="686">
        <f>IF(E37-E21&gt;0,E37-E21,0)</f>
        <v>0</v>
      </c>
      <c r="F38" s="675"/>
      <c r="G38" s="680">
        <f>C33</f>
        <v>0</v>
      </c>
      <c r="H38" s="655" t="str">
        <f>CONCATENATE("Less ",E1-2," Expenditures")</f>
        <v>Less 2012 Expenditures</v>
      </c>
      <c r="I38" s="655"/>
      <c r="J38" s="668"/>
    </row>
    <row r="39" spans="2:10" ht="15.75">
      <c r="B39" s="622"/>
      <c r="C39" s="505" t="s">
        <v>733</v>
      </c>
      <c r="D39" s="687">
        <f>inputOth!E77</f>
        <v>0</v>
      </c>
      <c r="E39" s="637">
        <f>ROUND(IF(D39&gt;0,(E38*D39),0),0)</f>
        <v>0</v>
      </c>
      <c r="F39" s="675"/>
      <c r="G39" s="688">
        <f>G36-G38</f>
        <v>0</v>
      </c>
      <c r="H39" s="689" t="str">
        <f>CONCATENATE("Projected ",E1+1," carryover (est.)")</f>
        <v>Projected 2015 carryover (est.)</v>
      </c>
      <c r="I39" s="690"/>
      <c r="J39" s="691"/>
    </row>
    <row r="40" spans="2:6" ht="16.5" thickBot="1">
      <c r="B40" s="619"/>
      <c r="C40" s="890" t="str">
        <f>CONCATENATE("Amount of  ",E1-1," Ad Valorem Tax")</f>
        <v>Amount of  2013 Ad Valorem Tax</v>
      </c>
      <c r="D40" s="891"/>
      <c r="E40" s="693">
        <f>SUM(E38:E39)</f>
        <v>0</v>
      </c>
      <c r="F40" s="675"/>
    </row>
    <row r="41" spans="2:10" ht="16.5" thickTop="1">
      <c r="B41" s="619"/>
      <c r="C41" s="890"/>
      <c r="D41" s="891"/>
      <c r="E41" s="694"/>
      <c r="F41" s="675"/>
      <c r="G41" s="828" t="s">
        <v>868</v>
      </c>
      <c r="H41" s="829"/>
      <c r="I41" s="829"/>
      <c r="J41" s="830"/>
    </row>
    <row r="42" spans="2:10" ht="15.75">
      <c r="B42" s="619"/>
      <c r="C42" s="692"/>
      <c r="D42" s="619"/>
      <c r="E42" s="619"/>
      <c r="F42" s="675"/>
      <c r="G42" s="695"/>
      <c r="H42" s="672"/>
      <c r="I42" s="696"/>
      <c r="J42" s="697"/>
    </row>
    <row r="43" spans="2:10" ht="15.75">
      <c r="B43" s="626"/>
      <c r="C43" s="626"/>
      <c r="D43" s="624"/>
      <c r="E43" s="624"/>
      <c r="F43" s="675"/>
      <c r="G43" s="698" t="e">
        <f>summ!#REF!</f>
        <v>#REF!</v>
      </c>
      <c r="H43" s="672" t="str">
        <f>CONCATENATE("",E1," Fund Mill Rate")</f>
        <v>2014 Fund Mill Rate</v>
      </c>
      <c r="I43" s="696"/>
      <c r="J43" s="697"/>
    </row>
    <row r="44" spans="2:10" ht="15.75">
      <c r="B44" s="626" t="s">
        <v>274</v>
      </c>
      <c r="C44" s="627" t="s">
        <v>863</v>
      </c>
      <c r="D44" s="628" t="s">
        <v>864</v>
      </c>
      <c r="E44" s="629" t="s">
        <v>865</v>
      </c>
      <c r="F44" s="675"/>
      <c r="G44" s="699" t="e">
        <f>summ!#REF!</f>
        <v>#REF!</v>
      </c>
      <c r="H44" s="672" t="str">
        <f>CONCATENATE("",E1-1," Fund Mill Rate")</f>
        <v>2013 Fund Mill Rate</v>
      </c>
      <c r="I44" s="696"/>
      <c r="J44" s="697"/>
    </row>
    <row r="45" spans="2:10" ht="15.75">
      <c r="B45" s="700" t="str">
        <f>inputPrYr!B22</f>
        <v>Library</v>
      </c>
      <c r="C45" s="631" t="str">
        <f>CONCATENATE("Actual for ",$E$1-2,"")</f>
        <v>Actual for 2012</v>
      </c>
      <c r="D45" s="632" t="str">
        <f>CONCATENATE("Estimate for ",$E$1-1,"")</f>
        <v>Estimate for 2013</v>
      </c>
      <c r="E45" s="633" t="str">
        <f>CONCATENATE("Year for ",$E$1,"")</f>
        <v>Year for 2014</v>
      </c>
      <c r="F45" s="675"/>
      <c r="G45" s="701">
        <f>summ!H24</f>
        <v>12.978</v>
      </c>
      <c r="H45" s="672" t="str">
        <f>CONCATENATE("Total ",E1," Mill Rate")</f>
        <v>Total 2014 Mill Rate</v>
      </c>
      <c r="I45" s="696"/>
      <c r="J45" s="697"/>
    </row>
    <row r="46" spans="2:10" ht="15.75">
      <c r="B46" s="634" t="s">
        <v>96</v>
      </c>
      <c r="C46" s="639">
        <v>0</v>
      </c>
      <c r="D46" s="636">
        <f>C74</f>
        <v>0</v>
      </c>
      <c r="E46" s="637">
        <f>D74</f>
        <v>0</v>
      </c>
      <c r="F46" s="675"/>
      <c r="G46" s="699">
        <f>summ!E24</f>
        <v>14.169999999999998</v>
      </c>
      <c r="H46" s="702" t="str">
        <f>CONCATENATE("Total ",E1-1," Mill Rate")</f>
        <v>Total 2013 Mill Rate</v>
      </c>
      <c r="I46" s="703"/>
      <c r="J46" s="704"/>
    </row>
    <row r="47" spans="2:6" ht="15.75">
      <c r="B47" s="705" t="s">
        <v>72</v>
      </c>
      <c r="C47" s="634"/>
      <c r="D47" s="636"/>
      <c r="E47" s="637"/>
      <c r="F47" s="675"/>
    </row>
    <row r="48" spans="2:6" ht="15.75">
      <c r="B48" s="634" t="s">
        <v>280</v>
      </c>
      <c r="C48" s="647"/>
      <c r="D48" s="636">
        <f>IF(inputPrYr!H19&gt;0,inputPrYr!G22,inputPrYr!E22)</f>
        <v>0</v>
      </c>
      <c r="E48" s="640" t="s">
        <v>259</v>
      </c>
      <c r="F48" s="675"/>
    </row>
    <row r="49" spans="2:6" ht="15.75">
      <c r="B49" s="634" t="s">
        <v>281</v>
      </c>
      <c r="C49" s="647"/>
      <c r="D49" s="641"/>
      <c r="E49" s="642"/>
      <c r="F49" s="675"/>
    </row>
    <row r="50" spans="2:6" ht="15.75">
      <c r="B50" s="634" t="s">
        <v>282</v>
      </c>
      <c r="C50" s="647"/>
      <c r="D50" s="641"/>
      <c r="E50" s="637">
        <f>mvalloc!G13</f>
        <v>0</v>
      </c>
      <c r="F50" s="675"/>
    </row>
    <row r="51" spans="2:6" ht="15.75">
      <c r="B51" s="634" t="s">
        <v>283</v>
      </c>
      <c r="C51" s="647"/>
      <c r="D51" s="641"/>
      <c r="E51" s="637">
        <f>mvalloc!I13</f>
        <v>0</v>
      </c>
      <c r="F51" s="675"/>
    </row>
    <row r="52" spans="2:5" ht="15.75">
      <c r="B52" s="643" t="s">
        <v>51</v>
      </c>
      <c r="C52" s="647"/>
      <c r="D52" s="641"/>
      <c r="E52" s="637">
        <f>mvalloc!J13</f>
        <v>0</v>
      </c>
    </row>
    <row r="53" spans="2:5" ht="15.75">
      <c r="B53" s="644"/>
      <c r="C53" s="647"/>
      <c r="D53" s="641"/>
      <c r="E53" s="645"/>
    </row>
    <row r="54" spans="2:5" ht="15.75">
      <c r="B54" s="644"/>
      <c r="C54" s="647"/>
      <c r="D54" s="641"/>
      <c r="E54" s="645"/>
    </row>
    <row r="55" spans="2:5" ht="15.75">
      <c r="B55" s="644"/>
      <c r="C55" s="647"/>
      <c r="D55" s="641"/>
      <c r="E55" s="642"/>
    </row>
    <row r="56" spans="2:5" ht="15.75">
      <c r="B56" s="644"/>
      <c r="C56" s="647"/>
      <c r="D56" s="641"/>
      <c r="E56" s="642"/>
    </row>
    <row r="57" spans="2:5" ht="15.75">
      <c r="B57" s="646" t="s">
        <v>286</v>
      </c>
      <c r="C57" s="647"/>
      <c r="D57" s="641"/>
      <c r="E57" s="642"/>
    </row>
    <row r="58" spans="2:5" ht="15.75">
      <c r="B58" s="634" t="s">
        <v>232</v>
      </c>
      <c r="C58" s="647"/>
      <c r="D58" s="647"/>
      <c r="E58" s="706"/>
    </row>
    <row r="59" spans="2:5" ht="15.75">
      <c r="B59" s="634" t="s">
        <v>866</v>
      </c>
      <c r="C59" s="648">
        <f>IF(C60*0.1&lt;C58,"Exceed 10% Rule","")</f>
      </c>
      <c r="D59" s="648">
        <f>IF(D60*0.1&lt;D58,"Exceeds 10% Rule","")</f>
      </c>
      <c r="E59" s="649">
        <f>IF(E60*0.1&lt;E58,"Exceed 10% Rule","")</f>
      </c>
    </row>
    <row r="60" spans="2:5" ht="15.75">
      <c r="B60" s="650" t="s">
        <v>287</v>
      </c>
      <c r="C60" s="669">
        <f>SUM(C48:C58)</f>
        <v>0</v>
      </c>
      <c r="D60" s="669">
        <f>SUM(D48:D58)</f>
        <v>0</v>
      </c>
      <c r="E60" s="670">
        <f>SUM(E49:E58)</f>
        <v>0</v>
      </c>
    </row>
    <row r="61" spans="2:5" ht="15.75">
      <c r="B61" s="650" t="s">
        <v>288</v>
      </c>
      <c r="C61" s="669">
        <f>C46+C60</f>
        <v>0</v>
      </c>
      <c r="D61" s="669">
        <f>D46+D60</f>
        <v>0</v>
      </c>
      <c r="E61" s="670">
        <f>E46+E60</f>
        <v>0</v>
      </c>
    </row>
    <row r="62" spans="2:5" ht="15.75">
      <c r="B62" s="634" t="s">
        <v>289</v>
      </c>
      <c r="C62" s="634"/>
      <c r="D62" s="636"/>
      <c r="E62" s="637"/>
    </row>
    <row r="63" spans="2:5" ht="15.75">
      <c r="B63" s="644"/>
      <c r="C63" s="639"/>
      <c r="D63" s="641"/>
      <c r="E63" s="642"/>
    </row>
    <row r="64" spans="2:10" ht="15.75">
      <c r="B64" s="644"/>
      <c r="C64" s="639"/>
      <c r="D64" s="641"/>
      <c r="E64" s="642"/>
      <c r="G64" s="823" t="str">
        <f>CONCATENATE("Desired Carryover Into ",E1+1,"")</f>
        <v>Desired Carryover Into 2015</v>
      </c>
      <c r="H64" s="824"/>
      <c r="I64" s="824"/>
      <c r="J64" s="825"/>
    </row>
    <row r="65" spans="2:10" ht="15.75">
      <c r="B65" s="644"/>
      <c r="C65" s="639"/>
      <c r="D65" s="641"/>
      <c r="E65" s="642"/>
      <c r="G65" s="653"/>
      <c r="H65" s="654"/>
      <c r="I65" s="655"/>
      <c r="J65" s="656"/>
    </row>
    <row r="66" spans="2:10" ht="15.75">
      <c r="B66" s="644"/>
      <c r="C66" s="639"/>
      <c r="D66" s="641"/>
      <c r="E66" s="642"/>
      <c r="G66" s="657" t="s">
        <v>737</v>
      </c>
      <c r="H66" s="655"/>
      <c r="I66" s="655"/>
      <c r="J66" s="658">
        <v>0</v>
      </c>
    </row>
    <row r="67" spans="2:10" ht="15.75">
      <c r="B67" s="644"/>
      <c r="C67" s="639"/>
      <c r="D67" s="641"/>
      <c r="E67" s="642"/>
      <c r="G67" s="653" t="s">
        <v>738</v>
      </c>
      <c r="H67" s="654"/>
      <c r="I67" s="654"/>
      <c r="J67" s="659">
        <f>IF(J66=0,"",ROUND((J66+E80-G79)/inputOth!E11*1000,3)-G84)</f>
      </c>
    </row>
    <row r="68" spans="2:10" ht="15.75">
      <c r="B68" s="644"/>
      <c r="C68" s="639"/>
      <c r="D68" s="641"/>
      <c r="E68" s="642"/>
      <c r="G68" s="660" t="str">
        <f>CONCATENATE("",E1," Tot Exp/Non-Appr Must Be:")</f>
        <v>2014 Tot Exp/Non-Appr Must Be:</v>
      </c>
      <c r="H68" s="661"/>
      <c r="I68" s="662"/>
      <c r="J68" s="663">
        <f>IF(J66&gt;0,IF(E77&lt;E61,IF(J66=G79,E77,((J66-G79)*(1-D79))+E61),E77+(J66-G79)),0)</f>
        <v>0</v>
      </c>
    </row>
    <row r="69" spans="2:10" ht="15.75">
      <c r="B69" s="644"/>
      <c r="C69" s="639"/>
      <c r="D69" s="641"/>
      <c r="E69" s="642"/>
      <c r="G69" s="664" t="s">
        <v>867</v>
      </c>
      <c r="H69" s="665"/>
      <c r="I69" s="665"/>
      <c r="J69" s="666">
        <f>IF(J66&gt;0,J68-E77,0)</f>
        <v>0</v>
      </c>
    </row>
    <row r="70" spans="2:6" ht="15.75">
      <c r="B70" s="643" t="s">
        <v>234</v>
      </c>
      <c r="C70" s="639"/>
      <c r="D70" s="641"/>
      <c r="E70" s="637">
        <f>nhood!E8</f>
      </c>
      <c r="F70" s="675"/>
    </row>
    <row r="71" spans="2:10" ht="15.75">
      <c r="B71" s="643" t="s">
        <v>232</v>
      </c>
      <c r="C71" s="647"/>
      <c r="D71" s="641"/>
      <c r="E71" s="642"/>
      <c r="F71" s="675"/>
      <c r="G71" s="823" t="str">
        <f>CONCATENATE("Projected Carryover Into ",E1+1,"")</f>
        <v>Projected Carryover Into 2015</v>
      </c>
      <c r="H71" s="831"/>
      <c r="I71" s="831"/>
      <c r="J71" s="827"/>
    </row>
    <row r="72" spans="2:10" ht="15.75">
      <c r="B72" s="643" t="s">
        <v>734</v>
      </c>
      <c r="C72" s="648">
        <f>IF(C73*0.1&lt;C71,"Exceed 10% Rule","")</f>
      </c>
      <c r="D72" s="648">
        <f>IF(D73*0.1&lt;D71,"Exceed 10% Rule","")</f>
      </c>
      <c r="E72" s="649">
        <f>IF(E73*0.1&lt;E71,"Exceed 10% Rule","")</f>
      </c>
      <c r="F72" s="675"/>
      <c r="G72" s="707"/>
      <c r="H72" s="654"/>
      <c r="I72" s="654"/>
      <c r="J72" s="708"/>
    </row>
    <row r="73" spans="2:10" ht="15.75">
      <c r="B73" s="650" t="s">
        <v>290</v>
      </c>
      <c r="C73" s="669">
        <f>SUM(C63:C71)</f>
        <v>0</v>
      </c>
      <c r="D73" s="669">
        <f>SUM(D63:D71)</f>
        <v>0</v>
      </c>
      <c r="E73" s="670">
        <f>SUM(E63:E71)</f>
        <v>0</v>
      </c>
      <c r="F73" s="675"/>
      <c r="G73" s="671">
        <f>D74</f>
        <v>0</v>
      </c>
      <c r="H73" s="672" t="str">
        <f>CONCATENATE("",E1-1," Ending Cash Balance (est.)")</f>
        <v>2013 Ending Cash Balance (est.)</v>
      </c>
      <c r="I73" s="673"/>
      <c r="J73" s="708"/>
    </row>
    <row r="74" spans="2:10" ht="15.75">
      <c r="B74" s="634" t="s">
        <v>71</v>
      </c>
      <c r="C74" s="674">
        <f>C61-C73</f>
        <v>0</v>
      </c>
      <c r="D74" s="674">
        <f>D61-D73</f>
        <v>0</v>
      </c>
      <c r="E74" s="640" t="s">
        <v>259</v>
      </c>
      <c r="F74" s="675"/>
      <c r="G74" s="671">
        <f>E60</f>
        <v>0</v>
      </c>
      <c r="H74" s="655" t="str">
        <f>CONCATENATE("",E1," Non-AV Receipts (est.)")</f>
        <v>2014 Non-AV Receipts (est.)</v>
      </c>
      <c r="I74" s="673"/>
      <c r="J74" s="708"/>
    </row>
    <row r="75" spans="2:11" ht="15.75">
      <c r="B75" s="676" t="str">
        <f>CONCATENATE("",E1-2,"/",E1-1," Budget Authority Amount:")</f>
        <v>2012/2013 Budget Authority Amount:</v>
      </c>
      <c r="C75" s="677">
        <f>inputOth!B85</f>
        <v>0</v>
      </c>
      <c r="D75" s="677">
        <f>inputPrYr!D22</f>
        <v>0</v>
      </c>
      <c r="E75" s="640" t="s">
        <v>259</v>
      </c>
      <c r="F75" s="679"/>
      <c r="G75" s="680">
        <f>IF(E79&gt;0,E78,E80)</f>
        <v>0</v>
      </c>
      <c r="H75" s="655" t="str">
        <f>CONCATENATE("",E1," Ad Valorem Tax (est.)")</f>
        <v>2014 Ad Valorem Tax (est.)</v>
      </c>
      <c r="I75" s="673"/>
      <c r="J75" s="708"/>
      <c r="K75" s="681">
        <f>IF(G75=E80,"","Note: Does not include Delinquent Taxes")</f>
      </c>
    </row>
    <row r="76" spans="2:10" ht="15.75">
      <c r="B76" s="676"/>
      <c r="C76" s="809" t="s">
        <v>731</v>
      </c>
      <c r="D76" s="810"/>
      <c r="E76" s="642"/>
      <c r="F76" s="709">
        <f>IF(E73/0.95-E73&lt;E76,"Exceeds 5%","")</f>
      </c>
      <c r="G76" s="710">
        <f>SUM(G73:G75)</f>
        <v>0</v>
      </c>
      <c r="H76" s="655" t="str">
        <f>CONCATENATE("Total ",E1," Resources Available")</f>
        <v>Total 2014 Resources Available</v>
      </c>
      <c r="I76" s="711"/>
      <c r="J76" s="708"/>
    </row>
    <row r="77" spans="2:10" ht="15.75">
      <c r="B77" s="683" t="str">
        <f>CONCATENATE(C95,"     ",D95)</f>
        <v>     </v>
      </c>
      <c r="C77" s="811" t="s">
        <v>732</v>
      </c>
      <c r="D77" s="812"/>
      <c r="E77" s="637">
        <f>E73+E76</f>
        <v>0</v>
      </c>
      <c r="F77" s="675"/>
      <c r="G77" s="712"/>
      <c r="H77" s="713"/>
      <c r="I77" s="654"/>
      <c r="J77" s="708"/>
    </row>
    <row r="78" spans="2:10" ht="15.75">
      <c r="B78" s="683" t="str">
        <f>CONCATENATE(C96,"     ",D96)</f>
        <v>     </v>
      </c>
      <c r="C78" s="685"/>
      <c r="D78" s="622" t="s">
        <v>292</v>
      </c>
      <c r="E78" s="686">
        <f>IF(E77-E61&gt;0,E77-E61,0)</f>
        <v>0</v>
      </c>
      <c r="F78" s="675"/>
      <c r="G78" s="680">
        <f>ROUND(C73*0.05+C73,0)</f>
        <v>0</v>
      </c>
      <c r="H78" s="655" t="str">
        <f>CONCATENATE("Less ",E1-2," Expenditures + 5%")</f>
        <v>Less 2012 Expenditures + 5%</v>
      </c>
      <c r="I78" s="711"/>
      <c r="J78" s="708"/>
    </row>
    <row r="79" spans="2:10" ht="15.75">
      <c r="B79" s="622"/>
      <c r="C79" s="505" t="s">
        <v>733</v>
      </c>
      <c r="D79" s="687">
        <f>inputOth!E77</f>
        <v>0</v>
      </c>
      <c r="E79" s="637">
        <f>ROUND(IF(E78&gt;0,(E78*D79),0),0)</f>
        <v>0</v>
      </c>
      <c r="F79" s="675"/>
      <c r="G79" s="688">
        <f>G76-G78</f>
        <v>0</v>
      </c>
      <c r="H79" s="689" t="str">
        <f>CONCATENATE("Projected ",E1+1," carryover (est.)")</f>
        <v>Projected 2015 carryover (est.)</v>
      </c>
      <c r="I79" s="714"/>
      <c r="J79" s="715"/>
    </row>
    <row r="80" spans="2:6" ht="16.5" thickBot="1">
      <c r="B80" s="619"/>
      <c r="C80" s="890" t="str">
        <f>CONCATENATE("Amount of  ",E1-1," Ad Valorem Tax")</f>
        <v>Amount of  2013 Ad Valorem Tax</v>
      </c>
      <c r="D80" s="891"/>
      <c r="E80" s="693">
        <f>E78+E79</f>
        <v>0</v>
      </c>
      <c r="F80" s="716" t="str">
        <f>IF('[1]Library Grant'!F33="","",IF('[1]Library Grant'!F33="Qualify","Qualifies for State Library Grant","See 'Library Grant' tab"))</f>
        <v>Qualifies for State Library Grant</v>
      </c>
    </row>
    <row r="81" spans="2:10" ht="16.5" thickTop="1">
      <c r="B81" s="622"/>
      <c r="C81" s="890"/>
      <c r="D81" s="891"/>
      <c r="E81" s="694"/>
      <c r="F81" s="675"/>
      <c r="G81" s="828" t="s">
        <v>868</v>
      </c>
      <c r="H81" s="829"/>
      <c r="I81" s="829"/>
      <c r="J81" s="830"/>
    </row>
    <row r="82" spans="2:10" ht="15.75">
      <c r="B82" s="622"/>
      <c r="C82" s="622"/>
      <c r="D82" s="622"/>
      <c r="E82" s="622"/>
      <c r="G82" s="695"/>
      <c r="H82" s="672"/>
      <c r="I82" s="696"/>
      <c r="J82" s="697"/>
    </row>
    <row r="83" spans="2:10" ht="15.75">
      <c r="B83" s="622" t="s">
        <v>273</v>
      </c>
      <c r="C83" s="717"/>
      <c r="D83" s="622"/>
      <c r="E83" s="622"/>
      <c r="F83" s="675"/>
      <c r="G83" s="698" t="e">
        <f>summ!#REF!</f>
        <v>#REF!</v>
      </c>
      <c r="H83" s="672" t="str">
        <f>CONCATENATE("",E1," Fund Mill Rate")</f>
        <v>2014 Fund Mill Rate</v>
      </c>
      <c r="I83" s="696"/>
      <c r="J83" s="697"/>
    </row>
    <row r="84" spans="7:10" ht="15.75">
      <c r="G84" s="699" t="e">
        <f>summ!#REF!</f>
        <v>#REF!</v>
      </c>
      <c r="H84" s="672" t="str">
        <f>CONCATENATE("",E1-1," Fund Mill Rate")</f>
        <v>2013 Fund Mill Rate</v>
      </c>
      <c r="I84" s="696"/>
      <c r="J84" s="697"/>
    </row>
    <row r="85" spans="7:10" ht="15.75">
      <c r="G85" s="701">
        <f>summ!H24</f>
        <v>12.978</v>
      </c>
      <c r="H85" s="672" t="str">
        <f>CONCATENATE("Total ",E1," Mill Rate")</f>
        <v>Total 2014 Mill Rate</v>
      </c>
      <c r="I85" s="696"/>
      <c r="J85" s="697"/>
    </row>
    <row r="86" spans="7:10" ht="15.75">
      <c r="G86" s="699">
        <f>summ!E24</f>
        <v>14.169999999999998</v>
      </c>
      <c r="H86" s="702" t="str">
        <f>CONCATENATE("Total ",E1-1," Mill Rate")</f>
        <v>Total 2013 Mill Rate</v>
      </c>
      <c r="I86" s="703"/>
      <c r="J86" s="704"/>
    </row>
    <row r="87" spans="7:10" ht="15.75">
      <c r="G87" s="718"/>
      <c r="H87" s="718"/>
      <c r="I87" s="718"/>
      <c r="J87" s="718"/>
    </row>
    <row r="88" spans="3:4" ht="15.75">
      <c r="C88" s="719" t="s">
        <v>869</v>
      </c>
      <c r="D88" s="719" t="s">
        <v>869</v>
      </c>
    </row>
    <row r="89" spans="3:4" ht="15.75">
      <c r="C89" s="719" t="s">
        <v>869</v>
      </c>
      <c r="D89" s="719" t="s">
        <v>869</v>
      </c>
    </row>
    <row r="91" spans="3:4" ht="15.75">
      <c r="C91" s="719" t="s">
        <v>869</v>
      </c>
      <c r="D91" s="719" t="s">
        <v>869</v>
      </c>
    </row>
    <row r="92" spans="3:4" ht="15.75">
      <c r="C92" s="719" t="s">
        <v>869</v>
      </c>
      <c r="D92" s="719" t="s">
        <v>869</v>
      </c>
    </row>
    <row r="93" spans="3:4" ht="15.75" hidden="1">
      <c r="C93" s="720">
        <f>IF(C33&gt;C35,"See Tab A","")</f>
      </c>
      <c r="D93" s="720">
        <f>IF(D33&gt;D35,"See Tab C","")</f>
      </c>
    </row>
    <row r="94" spans="3:4" ht="15.75" hidden="1">
      <c r="C94" s="720">
        <f>IF(C34&lt;0,"See Tab B","")</f>
      </c>
      <c r="D94" s="720">
        <f>IF(D34&lt;0,"See Tab D","")</f>
      </c>
    </row>
    <row r="95" spans="3:4" ht="15.75" hidden="1">
      <c r="C95" s="721">
        <f>IF(C73&gt;C75,"See Tab A","")</f>
      </c>
      <c r="D95" s="721">
        <f>IF(D73&gt;D75,"See Tab C","")</f>
      </c>
    </row>
    <row r="96" spans="3:4" ht="15.75" hidden="1">
      <c r="C96" s="721">
        <f>IF(C74&lt;0,"See Tab B","")</f>
      </c>
      <c r="D96" s="721">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Padonia Township</v>
      </c>
      <c r="C1" s="72" t="s">
        <v>299</v>
      </c>
      <c r="D1" s="65"/>
      <c r="E1" s="226">
        <f>inputPrYr!D9</f>
        <v>2014</v>
      </c>
    </row>
    <row r="2" spans="2:5" ht="15.75">
      <c r="B2" s="547" t="s">
        <v>771</v>
      </c>
      <c r="C2" s="65"/>
      <c r="D2" s="65"/>
      <c r="E2" s="334"/>
    </row>
    <row r="3" spans="2:5" ht="15.75">
      <c r="B3" s="65"/>
      <c r="C3" s="70"/>
      <c r="D3" s="70"/>
      <c r="E3" s="65"/>
    </row>
    <row r="4" spans="2:5" ht="15.75">
      <c r="B4" s="72" t="s">
        <v>274</v>
      </c>
      <c r="C4" s="393" t="s">
        <v>275</v>
      </c>
      <c r="D4" s="396" t="s">
        <v>276</v>
      </c>
      <c r="E4" s="74" t="s">
        <v>277</v>
      </c>
    </row>
    <row r="5" spans="2:5" ht="15.75">
      <c r="B5" s="489" t="str">
        <f>inputPrYr!B24</f>
        <v>Special Road</v>
      </c>
      <c r="C5" s="394" t="str">
        <f>gen!C5</f>
        <v>Actual for 2012</v>
      </c>
      <c r="D5" s="394" t="str">
        <f>gen!D5</f>
        <v>Estimate for 2013</v>
      </c>
      <c r="E5" s="79" t="str">
        <f>gen!E5</f>
        <v>Year for 2014</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IF(inputPrYr!H19&gt;0,inputPrYr!G24,inputPrYr!E24)</f>
        <v>0</v>
      </c>
      <c r="E8" s="316" t="s">
        <v>259</v>
      </c>
    </row>
    <row r="9" spans="2:5" ht="15.75">
      <c r="B9" s="80" t="s">
        <v>281</v>
      </c>
      <c r="C9" s="314"/>
      <c r="D9" s="314"/>
      <c r="E9" s="171"/>
    </row>
    <row r="10" spans="2:5" ht="15.75">
      <c r="B10" s="80" t="s">
        <v>282</v>
      </c>
      <c r="C10" s="314"/>
      <c r="D10" s="314"/>
      <c r="E10" s="262">
        <f>mvalloc!G15</f>
        <v>0</v>
      </c>
    </row>
    <row r="11" spans="2:5" ht="15.75">
      <c r="B11" s="80" t="s">
        <v>283</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23" t="str">
        <f>CONCATENATE("Desired Carryover Into ",E1+1,"")</f>
        <v>Desired Carryover Into 2015</v>
      </c>
      <c r="H24" s="824"/>
      <c r="I24" s="824"/>
      <c r="J24" s="825"/>
      <c r="K24" s="621"/>
    </row>
    <row r="25" spans="2:11" ht="15.75">
      <c r="B25" s="319"/>
      <c r="C25" s="314"/>
      <c r="D25" s="314"/>
      <c r="E25" s="171"/>
      <c r="G25" s="653"/>
      <c r="H25" s="654"/>
      <c r="I25" s="655"/>
      <c r="J25" s="656"/>
      <c r="K25" s="621"/>
    </row>
    <row r="26" spans="2:11" ht="15.75">
      <c r="B26" s="319"/>
      <c r="C26" s="314"/>
      <c r="D26" s="314"/>
      <c r="E26" s="171"/>
      <c r="G26" s="657" t="s">
        <v>737</v>
      </c>
      <c r="H26" s="655"/>
      <c r="I26" s="655"/>
      <c r="J26" s="658">
        <v>0</v>
      </c>
      <c r="K26" s="621"/>
    </row>
    <row r="27" spans="2:11" ht="15.75">
      <c r="B27" s="319"/>
      <c r="C27" s="314"/>
      <c r="D27" s="314"/>
      <c r="E27" s="171"/>
      <c r="G27" s="653" t="s">
        <v>738</v>
      </c>
      <c r="H27" s="654"/>
      <c r="I27" s="654"/>
      <c r="J27" s="659">
        <f>IF(J26=0,"",ROUND((J26+E40-G39)/inputOth!E11*1000,3)-G44)</f>
      </c>
      <c r="K27" s="621"/>
    </row>
    <row r="28" spans="2:11" ht="15.75">
      <c r="B28" s="319"/>
      <c r="C28" s="314"/>
      <c r="D28" s="314"/>
      <c r="E28" s="171"/>
      <c r="G28" s="660" t="str">
        <f>CONCATENATE("",E1," Tot Exp/Non-Appr Must Be:")</f>
        <v>2014 Tot Exp/Non-Appr Must Be:</v>
      </c>
      <c r="H28" s="661"/>
      <c r="I28" s="662"/>
      <c r="J28" s="663">
        <f>IF(J26&gt;0,IF(E37&lt;E21,IF(J26=G39,E37,((J26-G39)*(1-D39))+E21),E37+(J26-G39)),0)</f>
        <v>0</v>
      </c>
      <c r="K28" s="621"/>
    </row>
    <row r="29" spans="2:11" ht="15.75">
      <c r="B29" s="319"/>
      <c r="C29" s="314"/>
      <c r="D29" s="314"/>
      <c r="E29" s="171"/>
      <c r="G29" s="664" t="s">
        <v>867</v>
      </c>
      <c r="H29" s="665"/>
      <c r="I29" s="665"/>
      <c r="J29" s="666">
        <f>IF(J26&gt;0,J28-E37,0)</f>
        <v>0</v>
      </c>
      <c r="K29" s="621"/>
    </row>
    <row r="30" spans="2:11" ht="15.75">
      <c r="B30" s="317" t="s">
        <v>234</v>
      </c>
      <c r="C30" s="314"/>
      <c r="D30" s="314"/>
      <c r="E30" s="182">
        <f>nhood!E10</f>
      </c>
      <c r="G30" s="621"/>
      <c r="H30" s="621"/>
      <c r="I30" s="621"/>
      <c r="J30" s="621"/>
      <c r="K30" s="621"/>
    </row>
    <row r="31" spans="2:11" ht="15.75">
      <c r="B31" s="317" t="s">
        <v>232</v>
      </c>
      <c r="C31" s="314"/>
      <c r="D31" s="314"/>
      <c r="E31" s="171"/>
      <c r="G31" s="823" t="str">
        <f>CONCATENATE("Projected Carryover Into ",E1+1,"")</f>
        <v>Projected Carryover Into 2015</v>
      </c>
      <c r="H31" s="826"/>
      <c r="I31" s="826"/>
      <c r="J31" s="827"/>
      <c r="K31" s="621"/>
    </row>
    <row r="32" spans="2:11" ht="15.75">
      <c r="B32" s="317" t="s">
        <v>734</v>
      </c>
      <c r="C32" s="397">
        <f>IF(C33*0.1&lt;C31,"Exceed 10% Rule","")</f>
      </c>
      <c r="D32" s="397">
        <f>IF(D33*0.1&lt;D31,"Exceed 10% Rule","")</f>
      </c>
      <c r="E32" s="324">
        <f>IF(E33*0.1&lt;E31,"Exceed 10% Rule","")</f>
      </c>
      <c r="G32" s="653"/>
      <c r="H32" s="655"/>
      <c r="I32" s="655"/>
      <c r="J32" s="668"/>
      <c r="K32" s="621"/>
    </row>
    <row r="33" spans="2:11" ht="15.75">
      <c r="B33" s="98" t="s">
        <v>290</v>
      </c>
      <c r="C33" s="398">
        <f>SUM(C23:C31)</f>
        <v>0</v>
      </c>
      <c r="D33" s="398">
        <f>SUM(D23:D31)</f>
        <v>0</v>
      </c>
      <c r="E33" s="323">
        <f>SUM(E23:E31)</f>
        <v>0</v>
      </c>
      <c r="G33" s="671">
        <f>D34</f>
        <v>0</v>
      </c>
      <c r="H33" s="672" t="str">
        <f>CONCATENATE("",E1-1," Ending Cash Balance (est.)")</f>
        <v>2013 Ending Cash Balance (est.)</v>
      </c>
      <c r="I33" s="673"/>
      <c r="J33" s="668"/>
      <c r="K33" s="621"/>
    </row>
    <row r="34" spans="2:11" ht="15.75">
      <c r="B34" s="80" t="s">
        <v>71</v>
      </c>
      <c r="C34" s="399">
        <f>C21-C33</f>
        <v>0</v>
      </c>
      <c r="D34" s="399">
        <f>D21-D33</f>
        <v>0</v>
      </c>
      <c r="E34" s="316" t="s">
        <v>259</v>
      </c>
      <c r="G34" s="671">
        <f>E20</f>
        <v>0</v>
      </c>
      <c r="H34" s="655" t="str">
        <f>CONCATENATE("",E1," Non-AV Receipts (est.)")</f>
        <v>2014 Non-AV Receipts (est.)</v>
      </c>
      <c r="I34" s="673"/>
      <c r="J34" s="668"/>
      <c r="K34" s="621"/>
    </row>
    <row r="35" spans="2:11" ht="15.75">
      <c r="B35" s="117" t="str">
        <f>CONCATENATE("",$E$1-2,"/",$E$1-1," Budget Authority Amount:")</f>
        <v>2012/2013 Budget Authority Amount:</v>
      </c>
      <c r="C35" s="339">
        <f>inputOth!$B87</f>
        <v>0</v>
      </c>
      <c r="D35" s="83">
        <f>inputPrYr!$D24</f>
        <v>0</v>
      </c>
      <c r="E35" s="316" t="s">
        <v>259</v>
      </c>
      <c r="F35" s="325"/>
      <c r="G35" s="680">
        <f>IF(E39&gt;0,E38,E40)</f>
        <v>0</v>
      </c>
      <c r="H35" s="655" t="str">
        <f>CONCATENATE("",E1," Ad Valorem Tax (est.)")</f>
        <v>2014 Ad Valorem Tax (est.)</v>
      </c>
      <c r="I35" s="673"/>
      <c r="J35" s="668"/>
      <c r="K35" s="681">
        <f>IF(G35=E40,"","Note: Does not include Delinquent Taxes")</f>
      </c>
    </row>
    <row r="36" spans="2:11" ht="15.75">
      <c r="B36" s="117"/>
      <c r="C36" s="809" t="s">
        <v>731</v>
      </c>
      <c r="D36" s="810"/>
      <c r="E36" s="171"/>
      <c r="F36" s="740">
        <f>IF(E33/0.95-E33&lt;E36,"Exceeds 5%","")</f>
      </c>
      <c r="G36" s="671">
        <f>SUM(G33:G35)</f>
        <v>0</v>
      </c>
      <c r="H36" s="655" t="str">
        <f>CONCATENATE("Total ",E1," Resources Available")</f>
        <v>Total 2014 Resources Available</v>
      </c>
      <c r="I36" s="673"/>
      <c r="J36" s="668"/>
      <c r="K36" s="621"/>
    </row>
    <row r="37" spans="2:11" ht="15.75">
      <c r="B37" s="504" t="str">
        <f>CONCATENATE(C85,"     ",D85)</f>
        <v>     </v>
      </c>
      <c r="C37" s="811" t="s">
        <v>732</v>
      </c>
      <c r="D37" s="812"/>
      <c r="E37" s="262">
        <f>E33+E36</f>
        <v>0</v>
      </c>
      <c r="G37" s="684"/>
      <c r="H37" s="655"/>
      <c r="I37" s="655"/>
      <c r="J37" s="668"/>
      <c r="K37" s="621"/>
    </row>
    <row r="38" spans="2:11" ht="15.75">
      <c r="B38" s="504" t="str">
        <f>CONCATENATE(C86,"     ",D86)</f>
        <v>     </v>
      </c>
      <c r="C38" s="507"/>
      <c r="D38" s="506" t="s">
        <v>292</v>
      </c>
      <c r="E38" s="182">
        <f>IF(E37-E21&gt;0,E37-E21,0)</f>
        <v>0</v>
      </c>
      <c r="G38" s="680">
        <f>C33*0.05+C33</f>
        <v>0</v>
      </c>
      <c r="H38" s="655" t="str">
        <f>CONCATENATE("Less ",E1-2," Expenditures + 5%")</f>
        <v>Less 2012 Expenditures + 5%</v>
      </c>
      <c r="I38" s="655"/>
      <c r="J38" s="668"/>
      <c r="K38" s="621"/>
    </row>
    <row r="39" spans="2:11" ht="15.75">
      <c r="B39" s="211"/>
      <c r="C39" s="505" t="s">
        <v>733</v>
      </c>
      <c r="D39" s="724">
        <f>inputOth!$E$77</f>
        <v>0</v>
      </c>
      <c r="E39" s="262">
        <f>ROUND(IF(D39&gt;0,(E38*D39),0),0)</f>
        <v>0</v>
      </c>
      <c r="G39" s="688">
        <f>G36-G38</f>
        <v>0</v>
      </c>
      <c r="H39" s="689" t="str">
        <f>CONCATENATE("Projected ",E1+1," carryover (est.)")</f>
        <v>Projected 2015 carryover (est.)</v>
      </c>
      <c r="I39" s="690"/>
      <c r="J39" s="691"/>
      <c r="K39" s="621"/>
    </row>
    <row r="40" spans="2:11" ht="15.75">
      <c r="B40" s="65"/>
      <c r="C40" s="813" t="str">
        <f>CONCATENATE("Amount of  ",$E$1-1," Ad Valorem Tax")</f>
        <v>Amount of  2013 Ad Valorem Tax</v>
      </c>
      <c r="D40" s="814"/>
      <c r="E40" s="182">
        <f>E38+E39</f>
        <v>0</v>
      </c>
      <c r="G40" s="621"/>
      <c r="H40" s="621"/>
      <c r="I40" s="621"/>
      <c r="J40" s="621"/>
      <c r="K40" s="621"/>
    </row>
    <row r="41" spans="2:11" ht="15.75">
      <c r="B41" s="65"/>
      <c r="C41" s="566"/>
      <c r="D41" s="65"/>
      <c r="E41" s="65"/>
      <c r="G41" s="828" t="s">
        <v>868</v>
      </c>
      <c r="H41" s="829"/>
      <c r="I41" s="829"/>
      <c r="J41" s="830"/>
      <c r="K41" s="621"/>
    </row>
    <row r="42" spans="2:11" ht="15.75">
      <c r="B42" s="65"/>
      <c r="C42" s="566"/>
      <c r="D42" s="65"/>
      <c r="E42" s="65"/>
      <c r="G42" s="695"/>
      <c r="H42" s="672"/>
      <c r="I42" s="696"/>
      <c r="J42" s="697"/>
      <c r="K42" s="621"/>
    </row>
    <row r="43" spans="2:11" ht="15.75">
      <c r="B43" s="72" t="s">
        <v>274</v>
      </c>
      <c r="C43" s="70"/>
      <c r="D43" s="70"/>
      <c r="E43" s="70"/>
      <c r="G43" s="698" t="e">
        <f>summ!#REF!</f>
        <v>#REF!</v>
      </c>
      <c r="H43" s="672" t="str">
        <f>CONCATENATE("",E1," Fund Mill Rate")</f>
        <v>2014 Fund Mill Rate</v>
      </c>
      <c r="I43" s="696"/>
      <c r="J43" s="697"/>
      <c r="K43" s="621"/>
    </row>
    <row r="44" spans="2:11" ht="15.75">
      <c r="B44" s="65"/>
      <c r="C44" s="393" t="s">
        <v>275</v>
      </c>
      <c r="D44" s="396" t="s">
        <v>276</v>
      </c>
      <c r="E44" s="74" t="s">
        <v>277</v>
      </c>
      <c r="G44" s="699" t="e">
        <f>summ!#REF!</f>
        <v>#REF!</v>
      </c>
      <c r="H44" s="672" t="str">
        <f>CONCATENATE("",E1-1," Fund Mill Rate")</f>
        <v>2013 Fund Mill Rate</v>
      </c>
      <c r="I44" s="696"/>
      <c r="J44" s="697"/>
      <c r="K44" s="621"/>
    </row>
    <row r="45" spans="2:11" ht="15.75">
      <c r="B45" s="490" t="str">
        <f>inputPrYr!B25</f>
        <v>Noxious Weed</v>
      </c>
      <c r="C45" s="394" t="str">
        <f>C5</f>
        <v>Actual for 2012</v>
      </c>
      <c r="D45" s="394" t="str">
        <f>D5</f>
        <v>Estimate for 2013</v>
      </c>
      <c r="E45" s="79" t="str">
        <f>E5</f>
        <v>Year for 2014</v>
      </c>
      <c r="G45" s="701">
        <f>summ!H24</f>
        <v>12.978</v>
      </c>
      <c r="H45" s="672" t="str">
        <f>CONCATENATE("Total ",E1," Mill Rate")</f>
        <v>Total 2014 Mill Rate</v>
      </c>
      <c r="I45" s="696"/>
      <c r="J45" s="697"/>
      <c r="K45" s="621"/>
    </row>
    <row r="46" spans="2:11" ht="15.75">
      <c r="B46" s="80" t="s">
        <v>70</v>
      </c>
      <c r="C46" s="314"/>
      <c r="D46" s="395">
        <f>C74</f>
        <v>0</v>
      </c>
      <c r="E46" s="262">
        <f>D74</f>
        <v>0</v>
      </c>
      <c r="G46" s="699">
        <f>summ!E24</f>
        <v>14.169999999999998</v>
      </c>
      <c r="H46" s="702" t="str">
        <f>CONCATENATE("Total ",E1-1," Mill Rate")</f>
        <v>Total 2013 Mill Rate</v>
      </c>
      <c r="I46" s="703"/>
      <c r="J46" s="704"/>
      <c r="K46" s="621"/>
    </row>
    <row r="47" spans="2:11" ht="15.75">
      <c r="B47" s="80" t="s">
        <v>72</v>
      </c>
      <c r="C47" s="395"/>
      <c r="D47" s="395"/>
      <c r="E47" s="316"/>
      <c r="G47" s="621"/>
      <c r="H47" s="621"/>
      <c r="I47" s="621"/>
      <c r="J47" s="621"/>
      <c r="K47" s="621"/>
    </row>
    <row r="48" spans="2:11" ht="15.75">
      <c r="B48" s="80" t="s">
        <v>280</v>
      </c>
      <c r="C48" s="314"/>
      <c r="D48" s="395">
        <f>IF(inputPrYr!H19&gt;0,inputPrYr!G25,inputPrYr!E25)</f>
        <v>0</v>
      </c>
      <c r="E48" s="316" t="s">
        <v>259</v>
      </c>
      <c r="G48" s="621"/>
      <c r="H48" s="621"/>
      <c r="I48" s="621"/>
      <c r="J48" s="621"/>
      <c r="K48" s="621"/>
    </row>
    <row r="49" spans="2:11" ht="15.75">
      <c r="B49" s="80" t="s">
        <v>281</v>
      </c>
      <c r="C49" s="314"/>
      <c r="D49" s="314"/>
      <c r="E49" s="171"/>
      <c r="G49" s="621"/>
      <c r="H49" s="621"/>
      <c r="I49" s="621"/>
      <c r="J49" s="621"/>
      <c r="K49" s="621"/>
    </row>
    <row r="50" spans="2:11" ht="15.75">
      <c r="B50" s="80" t="s">
        <v>282</v>
      </c>
      <c r="C50" s="314"/>
      <c r="D50" s="314"/>
      <c r="E50" s="262">
        <f>mvalloc!G16</f>
        <v>0</v>
      </c>
      <c r="G50" s="621"/>
      <c r="H50" s="621"/>
      <c r="I50" s="621"/>
      <c r="J50" s="621"/>
      <c r="K50" s="621"/>
    </row>
    <row r="51" spans="2:11" ht="15.75">
      <c r="B51" s="80" t="s">
        <v>283</v>
      </c>
      <c r="C51" s="314"/>
      <c r="D51" s="314"/>
      <c r="E51" s="262">
        <f>mvalloc!I16</f>
        <v>0</v>
      </c>
      <c r="G51" s="621"/>
      <c r="H51" s="621"/>
      <c r="I51" s="621"/>
      <c r="J51" s="621"/>
      <c r="K51" s="621"/>
    </row>
    <row r="52" spans="2:11" ht="15.75">
      <c r="B52" s="80" t="s">
        <v>51</v>
      </c>
      <c r="C52" s="314"/>
      <c r="D52" s="314"/>
      <c r="E52" s="262">
        <f>mvalloc!J16</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286</v>
      </c>
      <c r="C57" s="314"/>
      <c r="D57" s="314"/>
      <c r="E57" s="171"/>
      <c r="G57" s="621"/>
      <c r="H57" s="621"/>
      <c r="I57" s="621"/>
      <c r="J57" s="621"/>
      <c r="K57" s="621"/>
    </row>
    <row r="58" spans="2:11" ht="15.75">
      <c r="B58" s="320" t="s">
        <v>232</v>
      </c>
      <c r="C58" s="314"/>
      <c r="D58" s="314"/>
      <c r="E58" s="171"/>
      <c r="G58" s="621"/>
      <c r="H58" s="621"/>
      <c r="I58" s="621"/>
      <c r="J58" s="621"/>
      <c r="K58" s="621"/>
    </row>
    <row r="59" spans="2:11" ht="15.75">
      <c r="B59" s="320" t="s">
        <v>233</v>
      </c>
      <c r="C59" s="397">
        <f>IF(C60*0.1&lt;C58,"Exceed 10% Rule","")</f>
      </c>
      <c r="D59" s="397">
        <f>IF(D60*0.1&lt;D58,"Exceed 10% Rule","")</f>
      </c>
      <c r="E59" s="324">
        <f>IF(E60*0.1+E80&lt;E58,"Exceed 10% Rule","")</f>
      </c>
      <c r="G59" s="621"/>
      <c r="H59" s="621"/>
      <c r="I59" s="621"/>
      <c r="J59" s="621"/>
      <c r="K59" s="621"/>
    </row>
    <row r="60" spans="2:11" ht="15.75">
      <c r="B60" s="322" t="s">
        <v>287</v>
      </c>
      <c r="C60" s="398">
        <f>SUM(C48:C58)</f>
        <v>0</v>
      </c>
      <c r="D60" s="398">
        <f>SUM(D48:D58)</f>
        <v>0</v>
      </c>
      <c r="E60" s="323">
        <f>SUM(E48:E58)</f>
        <v>0</v>
      </c>
      <c r="G60" s="621"/>
      <c r="H60" s="621"/>
      <c r="I60" s="621"/>
      <c r="J60" s="621"/>
      <c r="K60" s="621"/>
    </row>
    <row r="61" spans="2:11" ht="15.75">
      <c r="B61" s="98" t="s">
        <v>288</v>
      </c>
      <c r="C61" s="398">
        <f>C60+C46</f>
        <v>0</v>
      </c>
      <c r="D61" s="398">
        <f>D60+D46</f>
        <v>0</v>
      </c>
      <c r="E61" s="323">
        <f>E60+E46</f>
        <v>0</v>
      </c>
      <c r="G61" s="621"/>
      <c r="H61" s="621"/>
      <c r="I61" s="621"/>
      <c r="J61" s="621"/>
      <c r="K61" s="621"/>
    </row>
    <row r="62" spans="2:11" ht="15.75">
      <c r="B62" s="80" t="s">
        <v>289</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3" t="str">
        <f>CONCATENATE("Desired Carryover Into ",E1+1,"")</f>
        <v>Desired Carryover Into 2015</v>
      </c>
      <c r="H64" s="824"/>
      <c r="I64" s="824"/>
      <c r="J64" s="825"/>
      <c r="K64" s="621"/>
    </row>
    <row r="65" spans="2:11" ht="15.75">
      <c r="B65" s="319"/>
      <c r="C65" s="314"/>
      <c r="D65" s="314"/>
      <c r="E65" s="171"/>
      <c r="G65" s="653"/>
      <c r="H65" s="654"/>
      <c r="I65" s="655"/>
      <c r="J65" s="656"/>
      <c r="K65" s="621"/>
    </row>
    <row r="66" spans="2:11" ht="15.75">
      <c r="B66" s="319"/>
      <c r="C66" s="314"/>
      <c r="D66" s="314"/>
      <c r="E66" s="171"/>
      <c r="G66" s="657" t="s">
        <v>737</v>
      </c>
      <c r="H66" s="655"/>
      <c r="I66" s="655"/>
      <c r="J66" s="658">
        <v>0</v>
      </c>
      <c r="K66" s="621"/>
    </row>
    <row r="67" spans="2:11" ht="15.75">
      <c r="B67" s="319"/>
      <c r="C67" s="314"/>
      <c r="D67" s="314"/>
      <c r="E67" s="171"/>
      <c r="G67" s="653" t="s">
        <v>738</v>
      </c>
      <c r="H67" s="654"/>
      <c r="I67" s="654"/>
      <c r="J67" s="659">
        <f>IF(J66=0,"",ROUND((J66+E80-G79)/inputOth!E11*1000,3)-G84)</f>
      </c>
      <c r="K67" s="621"/>
    </row>
    <row r="68" spans="2:11" ht="15.75">
      <c r="B68" s="319"/>
      <c r="C68" s="314"/>
      <c r="D68" s="314"/>
      <c r="E68" s="171"/>
      <c r="G68" s="660" t="str">
        <f>CONCATENATE("",E1," Tot Exp/Non-Appr Must Be:")</f>
        <v>2014 Tot Exp/Non-Appr Must Be:</v>
      </c>
      <c r="H68" s="661"/>
      <c r="I68" s="662"/>
      <c r="J68" s="663">
        <f>IF(J66&gt;0,IF(E77&lt;E61,IF(J66=G79,E77,((J66-G79)*(1-D79))+E61),E77+(J66-G79)),0)</f>
        <v>0</v>
      </c>
      <c r="K68" s="621"/>
    </row>
    <row r="69" spans="2:11" ht="15.75">
      <c r="B69" s="319"/>
      <c r="C69" s="314"/>
      <c r="D69" s="314"/>
      <c r="E69" s="171"/>
      <c r="G69" s="664" t="s">
        <v>867</v>
      </c>
      <c r="H69" s="665"/>
      <c r="I69" s="665"/>
      <c r="J69" s="666">
        <f>IF(J66&gt;0,J68-E77,0)</f>
        <v>0</v>
      </c>
      <c r="K69" s="621"/>
    </row>
    <row r="70" spans="2:11" ht="15.75">
      <c r="B70" s="317" t="s">
        <v>234</v>
      </c>
      <c r="C70" s="314"/>
      <c r="D70" s="314"/>
      <c r="E70" s="182">
        <f>nhood!E11</f>
      </c>
      <c r="G70" s="621"/>
      <c r="H70" s="621"/>
      <c r="I70" s="621"/>
      <c r="J70" s="621"/>
      <c r="K70" s="621"/>
    </row>
    <row r="71" spans="2:11" ht="15.75">
      <c r="B71" s="317" t="s">
        <v>232</v>
      </c>
      <c r="C71" s="314"/>
      <c r="D71" s="314"/>
      <c r="E71" s="171"/>
      <c r="G71" s="823" t="str">
        <f>CONCATENATE("Projected Carryover Into ",E1+1,"")</f>
        <v>Projected Carryover Into 2015</v>
      </c>
      <c r="H71" s="831"/>
      <c r="I71" s="831"/>
      <c r="J71" s="827"/>
      <c r="K71" s="621"/>
    </row>
    <row r="72" spans="2:11" ht="15.75">
      <c r="B72" s="317" t="s">
        <v>734</v>
      </c>
      <c r="C72" s="397">
        <f>IF(C73*0.1&lt;C71,"Exceed 10% Rule","")</f>
      </c>
      <c r="D72" s="397">
        <f>IF(D73*0.1&lt;D71,"Exceed 10% Rule","")</f>
      </c>
      <c r="E72" s="324">
        <f>IF(E73*0.1&lt;E71,"Exceed 10% Rule","")</f>
      </c>
      <c r="G72" s="707"/>
      <c r="H72" s="654"/>
      <c r="I72" s="654"/>
      <c r="J72" s="708"/>
      <c r="K72" s="621"/>
    </row>
    <row r="73" spans="2:11" ht="15.75">
      <c r="B73" s="98" t="s">
        <v>290</v>
      </c>
      <c r="C73" s="398">
        <f>SUM(C63:C71)</f>
        <v>0</v>
      </c>
      <c r="D73" s="398">
        <f>SUM(D63:D71)</f>
        <v>0</v>
      </c>
      <c r="E73" s="323">
        <f>SUM(E63:E71)</f>
        <v>0</v>
      </c>
      <c r="G73" s="671">
        <f>D74</f>
        <v>0</v>
      </c>
      <c r="H73" s="672" t="str">
        <f>CONCATENATE("",E1-1," Ending Cash Balance (est.)")</f>
        <v>2013 Ending Cash Balance (est.)</v>
      </c>
      <c r="I73" s="673"/>
      <c r="J73" s="708"/>
      <c r="K73" s="621"/>
    </row>
    <row r="74" spans="2:11" ht="15.75">
      <c r="B74" s="80" t="s">
        <v>71</v>
      </c>
      <c r="C74" s="399">
        <f>C61-C73</f>
        <v>0</v>
      </c>
      <c r="D74" s="399">
        <f>D61-D73</f>
        <v>0</v>
      </c>
      <c r="E74" s="316" t="s">
        <v>259</v>
      </c>
      <c r="G74" s="671">
        <f>E60</f>
        <v>0</v>
      </c>
      <c r="H74" s="655" t="str">
        <f>CONCATENATE("",E1," Non-AV Receipts (est.)")</f>
        <v>2014 Non-AV Receipts (est.)</v>
      </c>
      <c r="I74" s="673"/>
      <c r="J74" s="708"/>
      <c r="K74" s="621"/>
    </row>
    <row r="75" spans="2:11" ht="15.75">
      <c r="B75" s="117" t="str">
        <f>CONCATENATE("",$E$1-2,"/",$E$1-1," Budget Authority Amount:")</f>
        <v>2012/2013 Budget Authority Amount:</v>
      </c>
      <c r="C75" s="339">
        <f>inputOth!$B88</f>
        <v>0</v>
      </c>
      <c r="D75" s="83">
        <f>inputPrYr!$D25</f>
        <v>0</v>
      </c>
      <c r="E75" s="316" t="s">
        <v>259</v>
      </c>
      <c r="F75" s="325"/>
      <c r="G75" s="680">
        <f>IF(E79&gt;0,E78,E80)</f>
        <v>0</v>
      </c>
      <c r="H75" s="655" t="str">
        <f>CONCATENATE("",E1," Ad Valorem Tax (est.)")</f>
        <v>2014 Ad Valorem Tax (est.)</v>
      </c>
      <c r="I75" s="673"/>
      <c r="J75" s="708"/>
      <c r="K75" s="681">
        <f>IF(G75=E80,"","Note: Does not include Delinquent Taxes")</f>
      </c>
    </row>
    <row r="76" spans="2:11" ht="15.75">
      <c r="B76" s="117"/>
      <c r="C76" s="809" t="s">
        <v>731</v>
      </c>
      <c r="D76" s="810"/>
      <c r="E76" s="171"/>
      <c r="F76" s="740">
        <f>IF(E73/0.95-E73&lt;E76,"Exceeds 5%","")</f>
      </c>
      <c r="G76" s="710">
        <f>SUM(G73:G75)</f>
        <v>0</v>
      </c>
      <c r="H76" s="655" t="str">
        <f>CONCATENATE("Total ",E1," Resources Available")</f>
        <v>Total 2014 Resources Available</v>
      </c>
      <c r="I76" s="711"/>
      <c r="J76" s="708"/>
      <c r="K76" s="621"/>
    </row>
    <row r="77" spans="2:11" ht="15.75">
      <c r="B77" s="504" t="str">
        <f>CONCATENATE(C87,"     ",D87)</f>
        <v>     </v>
      </c>
      <c r="C77" s="811" t="s">
        <v>732</v>
      </c>
      <c r="D77" s="812"/>
      <c r="E77" s="262">
        <f>E73+E76</f>
        <v>0</v>
      </c>
      <c r="G77" s="712"/>
      <c r="H77" s="713"/>
      <c r="I77" s="654"/>
      <c r="J77" s="708"/>
      <c r="K77" s="621"/>
    </row>
    <row r="78" spans="2:11" ht="15.75">
      <c r="B78" s="504" t="str">
        <f>CONCATENATE(C88,"     ",D88)</f>
        <v>     </v>
      </c>
      <c r="C78" s="507"/>
      <c r="D78" s="506" t="s">
        <v>292</v>
      </c>
      <c r="E78" s="182">
        <f>IF(E77-E61&gt;0,E77-E61,0)</f>
        <v>0</v>
      </c>
      <c r="G78" s="680">
        <f>ROUND(C73*0.05+C73,0)</f>
        <v>0</v>
      </c>
      <c r="H78" s="655" t="str">
        <f>CONCATENATE("Less ",E1-2," Expenditures + 5%")</f>
        <v>Less 2012 Expenditures + 5%</v>
      </c>
      <c r="I78" s="711"/>
      <c r="J78" s="708"/>
      <c r="K78" s="621"/>
    </row>
    <row r="79" spans="2:11" ht="15.75">
      <c r="B79" s="211"/>
      <c r="C79" s="505" t="s">
        <v>733</v>
      </c>
      <c r="D79" s="724">
        <f>inputOth!$E$77</f>
        <v>0</v>
      </c>
      <c r="E79" s="262">
        <f>ROUND(IF(D79&gt;0,(E78*D79),0),0)</f>
        <v>0</v>
      </c>
      <c r="G79" s="688">
        <f>G76-G78</f>
        <v>0</v>
      </c>
      <c r="H79" s="689" t="str">
        <f>CONCATENATE("Projected ",E1+1," carryover (est.)")</f>
        <v>Projected 2015 carryover (est.)</v>
      </c>
      <c r="I79" s="714"/>
      <c r="J79" s="715"/>
      <c r="K79" s="621"/>
    </row>
    <row r="80" spans="2:11" ht="15.75">
      <c r="B80" s="65"/>
      <c r="C80" s="813" t="str">
        <f>CONCATENATE("Amount of  ",$E$1-1," Ad Valorem Tax")</f>
        <v>Amount of  2013 Ad Valorem Tax</v>
      </c>
      <c r="D80" s="814"/>
      <c r="E80" s="182">
        <f>E78+E79</f>
        <v>0</v>
      </c>
      <c r="G80" s="621"/>
      <c r="H80" s="621"/>
      <c r="I80" s="621"/>
      <c r="J80" s="621"/>
      <c r="K80" s="621"/>
    </row>
    <row r="81" spans="2:11" ht="15.75">
      <c r="B81" s="211" t="s">
        <v>273</v>
      </c>
      <c r="C81" s="329"/>
      <c r="D81" s="65"/>
      <c r="E81" s="65"/>
      <c r="G81" s="828" t="s">
        <v>868</v>
      </c>
      <c r="H81" s="829"/>
      <c r="I81" s="829"/>
      <c r="J81" s="830"/>
      <c r="K81" s="621"/>
    </row>
    <row r="82" spans="2:11" ht="15.75">
      <c r="B82" s="113"/>
      <c r="G82" s="695"/>
      <c r="H82" s="672"/>
      <c r="I82" s="696"/>
      <c r="J82" s="697"/>
      <c r="K82" s="621"/>
    </row>
    <row r="83" spans="7:11" ht="15.75">
      <c r="G83" s="698" t="e">
        <f>summ!#REF!</f>
        <v>#REF!</v>
      </c>
      <c r="H83" s="672" t="str">
        <f>CONCATENATE("",E1," Fund Mill Rate")</f>
        <v>2014 Fund Mill Rate</v>
      </c>
      <c r="I83" s="696"/>
      <c r="J83" s="697"/>
      <c r="K83" s="621"/>
    </row>
    <row r="84" spans="7:11" ht="15.75">
      <c r="G84" s="699" t="e">
        <f>summ!#REF!</f>
        <v>#REF!</v>
      </c>
      <c r="H84" s="672" t="str">
        <f>CONCATENATE("",E1-1," Fund Mill Rate")</f>
        <v>2013 Fund Mill Rate</v>
      </c>
      <c r="I84" s="696"/>
      <c r="J84" s="697"/>
      <c r="K84" s="621"/>
    </row>
    <row r="85" spans="3:11" ht="15.75" hidden="1">
      <c r="C85" s="156">
        <f>IF(C33&gt;C35,"See Tab A","")</f>
      </c>
      <c r="D85" s="156">
        <f>IF(D33&gt;D35,"See Tab C","")</f>
      </c>
      <c r="G85" s="701">
        <f>'[1]summ'!I36</f>
        <v>0</v>
      </c>
      <c r="H85" s="672" t="str">
        <f>CONCATENATE("Total ",E1," Mill Rate")</f>
        <v>Total 2014 Mill Rate</v>
      </c>
      <c r="I85" s="696"/>
      <c r="J85" s="697"/>
      <c r="K85" s="621"/>
    </row>
    <row r="86" spans="3:11" ht="15.75" hidden="1">
      <c r="C86" s="156">
        <f>IF(C34&lt;0,"See Tab B","")</f>
      </c>
      <c r="D86" s="156">
        <f>IF(D34&lt;0,"See Tab D","")</f>
      </c>
      <c r="G86" s="699">
        <f>'[1]summ'!F36</f>
        <v>0</v>
      </c>
      <c r="H86" s="702" t="str">
        <f>CONCATENATE("Total ",E1-1," Mill Rate")</f>
        <v>Total 2013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summ!H24</f>
        <v>12.978</v>
      </c>
      <c r="H89" s="672" t="str">
        <f>CONCATENATE("Total ",E1," Mill Rate")</f>
        <v>Total 2014 Mill Rate</v>
      </c>
      <c r="I89" s="696"/>
      <c r="J89" s="697"/>
    </row>
    <row r="90" spans="7:10" ht="15.75">
      <c r="G90" s="699">
        <f>summ!E24</f>
        <v>14.169999999999998</v>
      </c>
      <c r="H90" s="702" t="str">
        <f>CONCATENATE("Total ",E1-1," Mill Rate")</f>
        <v>Total 2013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80" zoomScaleNormal="80"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Padonia Township</v>
      </c>
      <c r="B1" s="30"/>
      <c r="C1" s="30"/>
      <c r="D1" s="30"/>
      <c r="E1" s="30">
        <f>inputPrYr!D9</f>
        <v>2014</v>
      </c>
    </row>
    <row r="2" spans="1:5" ht="15.75">
      <c r="A2" s="41" t="str">
        <f>inputPrYr!D4</f>
        <v>Brown County</v>
      </c>
      <c r="B2" s="30"/>
      <c r="C2" s="30"/>
      <c r="D2" s="30"/>
      <c r="E2" s="30"/>
    </row>
    <row r="3" spans="1:5" ht="15.75">
      <c r="A3" s="30"/>
      <c r="B3" s="30"/>
      <c r="C3" s="30"/>
      <c r="D3" s="30"/>
      <c r="E3" s="30"/>
    </row>
    <row r="4" spans="1:5" ht="15.75">
      <c r="A4" s="764" t="s">
        <v>110</v>
      </c>
      <c r="B4" s="765"/>
      <c r="C4" s="765"/>
      <c r="D4" s="765"/>
      <c r="E4" s="765"/>
    </row>
    <row r="5" spans="1:5" ht="15.75">
      <c r="A5" s="30"/>
      <c r="B5" s="30"/>
      <c r="C5" s="30"/>
      <c r="D5" s="30"/>
      <c r="E5" s="30"/>
    </row>
    <row r="6" spans="1:5" ht="15.75">
      <c r="A6" s="768" t="str">
        <f>CONCATENATE("From the County Clerks Budget Information for ",E1,":")</f>
        <v>From the County Clerks Budget Information for 2014:</v>
      </c>
      <c r="B6" s="769"/>
      <c r="C6" s="769"/>
      <c r="D6" s="769"/>
      <c r="E6" s="769"/>
    </row>
    <row r="7" spans="1:5" ht="15.75">
      <c r="A7" s="55" t="str">
        <f>CONCATENATE("Assessed Valuation for ",E1-1,":")</f>
        <v>Assessed Valuation for 2013:</v>
      </c>
      <c r="B7" s="10"/>
      <c r="C7" s="10"/>
      <c r="D7" s="10"/>
      <c r="E7" s="36"/>
    </row>
    <row r="8" spans="1:5" ht="15.75">
      <c r="A8" s="13" t="s">
        <v>159</v>
      </c>
      <c r="B8" s="14"/>
      <c r="C8" s="14"/>
      <c r="D8" s="14"/>
      <c r="E8" s="35">
        <v>6043527</v>
      </c>
    </row>
    <row r="9" spans="1:5" ht="15.75">
      <c r="A9" s="15" t="str">
        <f>inputPrYr!$D$6</f>
        <v>Padonia</v>
      </c>
      <c r="B9" s="16"/>
      <c r="C9" s="16"/>
      <c r="D9" s="16"/>
      <c r="E9" s="35">
        <v>79042</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6122569</v>
      </c>
    </row>
    <row r="12" spans="1:5" ht="15.75">
      <c r="A12" s="54" t="str">
        <f>CONCATENATE("New Improvements for ",E1-1,":")</f>
        <v>New Improvements for 2013:</v>
      </c>
      <c r="B12" s="10"/>
      <c r="C12" s="10"/>
      <c r="D12" s="10"/>
      <c r="E12" s="34"/>
    </row>
    <row r="13" spans="1:5" ht="15.75">
      <c r="A13" s="13" t="s">
        <v>159</v>
      </c>
      <c r="B13" s="14"/>
      <c r="C13" s="14"/>
      <c r="D13" s="14"/>
      <c r="E13" s="52">
        <v>9545</v>
      </c>
    </row>
    <row r="14" spans="1:5" ht="15.75">
      <c r="A14" s="15" t="str">
        <f>inputPrYr!$D$6</f>
        <v>Padonia</v>
      </c>
      <c r="B14" s="14"/>
      <c r="C14" s="14"/>
      <c r="D14" s="14"/>
      <c r="E14" s="3"/>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9545</v>
      </c>
    </row>
    <row r="17" spans="1:5" ht="15.75">
      <c r="A17" s="54" t="str">
        <f>CONCATENATE("Personal Property excluding oil, gas, and mobile homes- ",E1-1,":")</f>
        <v>Personal Property excluding oil, gas, and mobile homes- 2013:</v>
      </c>
      <c r="B17" s="10"/>
      <c r="C17" s="10"/>
      <c r="D17" s="10"/>
      <c r="E17" s="34"/>
    </row>
    <row r="18" spans="1:5" ht="15.75">
      <c r="A18" s="13" t="s">
        <v>159</v>
      </c>
      <c r="B18" s="14"/>
      <c r="C18" s="14"/>
      <c r="D18" s="14"/>
      <c r="E18" s="52">
        <v>93168</v>
      </c>
    </row>
    <row r="19" spans="1:5" ht="15.75">
      <c r="A19" s="15" t="str">
        <f>inputPrYr!$D$6</f>
        <v>Padonia</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93168</v>
      </c>
    </row>
    <row r="22" spans="1:5" ht="15.75">
      <c r="A22" s="54" t="str">
        <f>CONCATENATE("Property that has changed in use for ",E1-1,":")</f>
        <v>Property that has changed in use for 2013:</v>
      </c>
      <c r="B22" s="10"/>
      <c r="C22" s="10"/>
      <c r="D22" s="10"/>
      <c r="E22" s="34"/>
    </row>
    <row r="23" spans="1:5" ht="15.75">
      <c r="A23" s="13" t="s">
        <v>159</v>
      </c>
      <c r="B23" s="14"/>
      <c r="C23" s="14"/>
      <c r="D23" s="14"/>
      <c r="E23" s="52">
        <v>46376</v>
      </c>
    </row>
    <row r="24" spans="1:5" ht="15.75">
      <c r="A24" s="15" t="str">
        <f>inputPrYr!$D$6</f>
        <v>Padonia</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46376</v>
      </c>
    </row>
    <row r="27" spans="1:5" ht="15.75">
      <c r="A27" s="54" t="str">
        <f>CONCATENATE("Personal Property excluding oil, gas, and mobile homes- ",E1-2,":")</f>
        <v>Personal Property excluding oil, gas, and mobile homes- 2012:</v>
      </c>
      <c r="B27" s="10"/>
      <c r="C27" s="10"/>
      <c r="D27" s="10"/>
      <c r="E27" s="34"/>
    </row>
    <row r="28" spans="1:5" ht="15.75">
      <c r="A28" s="13" t="s">
        <v>159</v>
      </c>
      <c r="B28" s="14"/>
      <c r="C28" s="14"/>
      <c r="D28" s="14"/>
      <c r="E28" s="52">
        <v>89895</v>
      </c>
    </row>
    <row r="29" spans="1:5" ht="15.75">
      <c r="A29" s="15" t="str">
        <f>inputPrYr!$D$6</f>
        <v>Padonia</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89895</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v>125080</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6" t="s">
        <v>255</v>
      </c>
      <c r="B36" s="767"/>
      <c r="C36" s="30"/>
      <c r="D36" s="37" t="s">
        <v>267</v>
      </c>
      <c r="E36" s="36"/>
    </row>
    <row r="37" spans="1:5" ht="15.75">
      <c r="A37" s="13" t="str">
        <f>inputPrYr!B20</f>
        <v>General</v>
      </c>
      <c r="B37" s="14"/>
      <c r="C37" s="10"/>
      <c r="D37" s="48">
        <v>1.069</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12.738</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0.363</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245</v>
      </c>
      <c r="C49" s="10"/>
      <c r="D49" s="42">
        <f>SUM(D37:D48)</f>
        <v>14.169999999999998</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159</v>
      </c>
      <c r="B52" s="14"/>
      <c r="C52" s="14"/>
      <c r="D52" s="14"/>
      <c r="E52" s="4">
        <v>5476305</v>
      </c>
    </row>
    <row r="53" spans="1:5" ht="15.75">
      <c r="A53" s="16" t="str">
        <f>inputPrYr!D6</f>
        <v>Padonia</v>
      </c>
      <c r="B53" s="16"/>
      <c r="C53" s="16"/>
      <c r="D53" s="20"/>
      <c r="E53" s="4">
        <v>89871</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5566176</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152</v>
      </c>
      <c r="B58" s="14"/>
      <c r="C58" s="14"/>
      <c r="D58" s="8"/>
      <c r="E58" s="7"/>
    </row>
    <row r="59" spans="1:5" ht="15.75">
      <c r="A59" s="13" t="s">
        <v>111</v>
      </c>
      <c r="B59" s="14"/>
      <c r="C59" s="14"/>
      <c r="D59" s="39"/>
      <c r="E59" s="2">
        <v>7286</v>
      </c>
    </row>
    <row r="60" spans="1:5" ht="15.75">
      <c r="A60" s="15" t="s">
        <v>246</v>
      </c>
      <c r="B60" s="16"/>
      <c r="C60" s="16"/>
      <c r="D60" s="40"/>
      <c r="E60" s="2">
        <v>90</v>
      </c>
    </row>
    <row r="61" spans="1:5" ht="15.75">
      <c r="A61" s="15" t="s">
        <v>112</v>
      </c>
      <c r="B61" s="16"/>
      <c r="C61" s="16"/>
      <c r="D61" s="40"/>
      <c r="E61" s="2">
        <v>1663</v>
      </c>
    </row>
    <row r="62" spans="1:5" ht="15.75">
      <c r="A62" s="44" t="s">
        <v>156</v>
      </c>
      <c r="B62" s="45"/>
      <c r="C62" s="16"/>
      <c r="D62" s="40"/>
      <c r="E62" s="31"/>
    </row>
    <row r="63" spans="1:5" ht="15.75">
      <c r="A63" s="13" t="s">
        <v>153</v>
      </c>
      <c r="B63" s="16"/>
      <c r="C63" s="16"/>
      <c r="D63" s="40"/>
      <c r="E63" s="2"/>
    </row>
    <row r="64" spans="1:5" ht="15.75">
      <c r="A64" s="15" t="s">
        <v>154</v>
      </c>
      <c r="B64" s="16"/>
      <c r="C64" s="16"/>
      <c r="D64" s="40"/>
      <c r="E64" s="2"/>
    </row>
    <row r="65" spans="1:5" ht="15.75">
      <c r="A65" s="15" t="s">
        <v>155</v>
      </c>
      <c r="B65" s="16"/>
      <c r="C65" s="16"/>
      <c r="D65" s="40"/>
      <c r="E65" s="2"/>
    </row>
    <row r="66" spans="1:5" ht="15.75">
      <c r="A66" s="44" t="s">
        <v>157</v>
      </c>
      <c r="B66" s="45"/>
      <c r="C66" s="16"/>
      <c r="D66" s="40"/>
      <c r="E66" s="31"/>
    </row>
    <row r="67" spans="1:5" ht="15.75">
      <c r="A67" s="13" t="s">
        <v>153</v>
      </c>
      <c r="B67" s="16"/>
      <c r="C67" s="16"/>
      <c r="D67" s="40"/>
      <c r="E67" s="2"/>
    </row>
    <row r="68" spans="1:5" ht="15.75">
      <c r="A68" s="15" t="s">
        <v>154</v>
      </c>
      <c r="B68" s="16"/>
      <c r="C68" s="16"/>
      <c r="D68" s="40"/>
      <c r="E68" s="2"/>
    </row>
    <row r="69" spans="1:5" ht="15.75">
      <c r="A69" s="15" t="s">
        <v>155</v>
      </c>
      <c r="B69" s="16"/>
      <c r="C69" s="16"/>
      <c r="D69" s="40"/>
      <c r="E69" s="2"/>
    </row>
    <row r="70" spans="1:5" ht="15.75">
      <c r="A70" s="15"/>
      <c r="B70" s="16"/>
      <c r="C70" s="16"/>
      <c r="D70" s="40"/>
      <c r="E70" s="31"/>
    </row>
    <row r="71" spans="1:5" ht="15.75">
      <c r="A71" s="15" t="s">
        <v>113</v>
      </c>
      <c r="B71" s="16"/>
      <c r="C71" s="16"/>
      <c r="D71" s="40"/>
      <c r="E71" s="2"/>
    </row>
    <row r="72" spans="1:5" ht="15.75">
      <c r="A72" s="15" t="s">
        <v>52</v>
      </c>
      <c r="B72" s="14"/>
      <c r="C72" s="14"/>
      <c r="D72" s="39"/>
      <c r="E72" s="2">
        <v>3279</v>
      </c>
    </row>
    <row r="73" spans="1:5" ht="33" customHeight="1">
      <c r="A73" s="770" t="s">
        <v>158</v>
      </c>
      <c r="B73" s="771"/>
      <c r="C73" s="771"/>
      <c r="D73" s="771"/>
      <c r="E73" s="771"/>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88"/>
      <c r="E76" s="589">
        <v>0</v>
      </c>
    </row>
    <row r="77" spans="1:5" ht="15.75">
      <c r="A77" s="77" t="s">
        <v>808</v>
      </c>
      <c r="B77" s="17"/>
      <c r="C77" s="10"/>
      <c r="D77" s="10"/>
      <c r="E77" s="590">
        <v>0</v>
      </c>
    </row>
    <row r="78" spans="1:5" ht="34.5" customHeight="1">
      <c r="A78" s="762" t="s">
        <v>115</v>
      </c>
      <c r="B78" s="763"/>
      <c r="C78" s="763"/>
      <c r="D78" s="763"/>
      <c r="E78" s="763"/>
    </row>
    <row r="79" spans="1:5" ht="15.75">
      <c r="A79" s="33"/>
      <c r="B79" s="33"/>
      <c r="C79" s="33"/>
      <c r="D79" s="33"/>
      <c r="E79" s="33"/>
    </row>
    <row r="80" spans="1:5" ht="15.75">
      <c r="A80" s="758" t="str">
        <f>CONCATENATE("From the ",E1-2," Budget Certificate Page")</f>
        <v>From the 2012 Budget Certificate Page</v>
      </c>
      <c r="B80" s="759"/>
      <c r="C80" s="33"/>
      <c r="D80" s="33"/>
      <c r="E80" s="33"/>
    </row>
    <row r="81" spans="1:5" ht="15.75">
      <c r="A81" s="57"/>
      <c r="B81" s="57" t="str">
        <f>CONCATENATE("",E1-2," Expenditure Amounts")</f>
        <v>2012 Expenditure Amounts</v>
      </c>
      <c r="C81" s="760" t="str">
        <f>CONCATENATE("Note: If the ",E1-2," budget was amended, then the")</f>
        <v>Note: If the 2012 budget was amended, then the</v>
      </c>
      <c r="D81" s="761"/>
      <c r="E81" s="761"/>
    </row>
    <row r="82" spans="1:5" ht="15.75">
      <c r="A82" s="58" t="s">
        <v>176</v>
      </c>
      <c r="B82" s="58" t="s">
        <v>177</v>
      </c>
      <c r="C82" s="59" t="s">
        <v>178</v>
      </c>
      <c r="D82" s="60"/>
      <c r="E82" s="60"/>
    </row>
    <row r="83" spans="1:5" ht="15.75">
      <c r="A83" s="61" t="str">
        <f>inputPrYr!B20</f>
        <v>General</v>
      </c>
      <c r="B83" s="4">
        <v>4694</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76800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2200</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65" t="s">
        <v>943</v>
      </c>
    </row>
    <row r="2" ht="15.75">
      <c r="A2" s="749" t="s">
        <v>944</v>
      </c>
    </row>
    <row r="4" ht="15.75">
      <c r="A4" s="565" t="s">
        <v>939</v>
      </c>
    </row>
    <row r="5" ht="15.75">
      <c r="A5" s="746" t="s">
        <v>910</v>
      </c>
    </row>
    <row r="6" ht="15.75">
      <c r="A6" s="746" t="s">
        <v>911</v>
      </c>
    </row>
    <row r="7" ht="15.75">
      <c r="A7" s="746" t="s">
        <v>912</v>
      </c>
    </row>
    <row r="8" ht="15.75">
      <c r="A8" s="746" t="s">
        <v>913</v>
      </c>
    </row>
    <row r="9" ht="15.75">
      <c r="A9" s="746" t="s">
        <v>914</v>
      </c>
    </row>
    <row r="10" ht="15.75">
      <c r="A10" s="746" t="s">
        <v>915</v>
      </c>
    </row>
    <row r="11" ht="15.75">
      <c r="A11" s="746" t="s">
        <v>916</v>
      </c>
    </row>
    <row r="12" ht="15.75">
      <c r="A12" s="746" t="s">
        <v>917</v>
      </c>
    </row>
    <row r="13" ht="15.75">
      <c r="A13" s="746" t="s">
        <v>918</v>
      </c>
    </row>
    <row r="14" ht="15.75">
      <c r="A14" s="746" t="s">
        <v>919</v>
      </c>
    </row>
    <row r="15" ht="15.75">
      <c r="A15" s="746" t="s">
        <v>920</v>
      </c>
    </row>
    <row r="16" ht="15.75">
      <c r="A16" s="746" t="s">
        <v>921</v>
      </c>
    </row>
    <row r="17" ht="15.75">
      <c r="A17" s="746" t="s">
        <v>922</v>
      </c>
    </row>
    <row r="18" ht="15.75">
      <c r="A18" s="746" t="s">
        <v>923</v>
      </c>
    </row>
    <row r="19" ht="15.75">
      <c r="A19" s="746" t="s">
        <v>924</v>
      </c>
    </row>
    <row r="20" ht="15.75">
      <c r="A20" s="746" t="s">
        <v>925</v>
      </c>
    </row>
    <row r="21" ht="15.75">
      <c r="A21" s="746" t="s">
        <v>926</v>
      </c>
    </row>
    <row r="22" ht="15.75">
      <c r="A22" s="746" t="s">
        <v>927</v>
      </c>
    </row>
    <row r="23" ht="15.75">
      <c r="A23" s="746" t="s">
        <v>928</v>
      </c>
    </row>
    <row r="24" ht="15.75">
      <c r="A24" s="746" t="s">
        <v>929</v>
      </c>
    </row>
    <row r="25" ht="15.75">
      <c r="A25" s="746" t="s">
        <v>930</v>
      </c>
    </row>
    <row r="26" ht="15.75">
      <c r="A26" s="746" t="s">
        <v>931</v>
      </c>
    </row>
    <row r="27" ht="15.75">
      <c r="A27" s="746" t="s">
        <v>932</v>
      </c>
    </row>
    <row r="28" ht="15.75">
      <c r="A28" s="746" t="s">
        <v>933</v>
      </c>
    </row>
    <row r="29" ht="15.75">
      <c r="A29" s="746" t="s">
        <v>934</v>
      </c>
    </row>
    <row r="30" ht="15.75">
      <c r="A30" s="746" t="s">
        <v>935</v>
      </c>
    </row>
    <row r="31" ht="15.75">
      <c r="A31" s="746" t="s">
        <v>936</v>
      </c>
    </row>
    <row r="32" ht="15.75">
      <c r="A32" s="746" t="s">
        <v>937</v>
      </c>
    </row>
    <row r="33" ht="15.75">
      <c r="A33" s="746" t="s">
        <v>938</v>
      </c>
    </row>
    <row r="36" ht="15.75">
      <c r="A36" s="565" t="s">
        <v>778</v>
      </c>
    </row>
    <row r="37" ht="15.75">
      <c r="A37" s="113" t="s">
        <v>779</v>
      </c>
    </row>
    <row r="38" ht="15.75">
      <c r="A38" s="113" t="s">
        <v>780</v>
      </c>
    </row>
    <row r="40" ht="15.75">
      <c r="A40" s="565" t="s">
        <v>775</v>
      </c>
    </row>
    <row r="41" ht="15.75">
      <c r="A41" s="546" t="s">
        <v>776</v>
      </c>
    </row>
    <row r="43" ht="15.75">
      <c r="A43" s="389" t="s">
        <v>748</v>
      </c>
    </row>
    <row r="44" ht="15.75">
      <c r="A44" s="546" t="s">
        <v>749</v>
      </c>
    </row>
    <row r="45" ht="15.75">
      <c r="A45" s="546" t="s">
        <v>750</v>
      </c>
    </row>
    <row r="46" ht="31.5">
      <c r="A46" s="545" t="s">
        <v>751</v>
      </c>
    </row>
    <row r="47" ht="15.75">
      <c r="A47" s="546" t="s">
        <v>752</v>
      </c>
    </row>
    <row r="48" ht="15.75">
      <c r="A48" s="546" t="s">
        <v>753</v>
      </c>
    </row>
    <row r="49" ht="15.75">
      <c r="A49" s="546" t="s">
        <v>754</v>
      </c>
    </row>
    <row r="50" ht="15.75">
      <c r="A50" s="546" t="s">
        <v>755</v>
      </c>
    </row>
    <row r="51" ht="15.75">
      <c r="A51" s="546" t="s">
        <v>756</v>
      </c>
    </row>
    <row r="52" ht="15.75">
      <c r="A52" s="546" t="s">
        <v>757</v>
      </c>
    </row>
    <row r="53" ht="15.75">
      <c r="A53" s="546" t="s">
        <v>758</v>
      </c>
    </row>
    <row r="54" ht="15.75">
      <c r="A54" s="546" t="s">
        <v>759</v>
      </c>
    </row>
    <row r="55" ht="15.75">
      <c r="A55" s="546" t="s">
        <v>760</v>
      </c>
    </row>
    <row r="56" ht="15.75">
      <c r="A56" s="546" t="s">
        <v>761</v>
      </c>
    </row>
    <row r="57" ht="15.75">
      <c r="A57" s="546" t="s">
        <v>762</v>
      </c>
    </row>
    <row r="58" ht="15.75">
      <c r="A58" s="546" t="s">
        <v>763</v>
      </c>
    </row>
    <row r="59" ht="15.75">
      <c r="A59" s="546" t="s">
        <v>764</v>
      </c>
    </row>
    <row r="60" ht="15.75">
      <c r="A60" s="546" t="s">
        <v>765</v>
      </c>
    </row>
    <row r="61" ht="15.75">
      <c r="A61" s="546" t="s">
        <v>766</v>
      </c>
    </row>
    <row r="62" ht="15.75">
      <c r="A62" s="546" t="s">
        <v>767</v>
      </c>
    </row>
    <row r="63" ht="15.75">
      <c r="A63" s="546" t="s">
        <v>768</v>
      </c>
    </row>
    <row r="64" ht="15.75">
      <c r="A64" s="546" t="s">
        <v>769</v>
      </c>
    </row>
    <row r="65" ht="15.75">
      <c r="A65" s="546" t="s">
        <v>770</v>
      </c>
    </row>
    <row r="66" ht="15.75">
      <c r="A66" s="113" t="s">
        <v>774</v>
      </c>
    </row>
    <row r="68" ht="15.75">
      <c r="A68" s="389" t="s">
        <v>638</v>
      </c>
    </row>
    <row r="69" ht="36" customHeight="1">
      <c r="A69" s="216" t="s">
        <v>639</v>
      </c>
    </row>
    <row r="71" ht="15.75">
      <c r="A71" s="389" t="s">
        <v>634</v>
      </c>
    </row>
    <row r="72" ht="15.75">
      <c r="A72" s="113" t="s">
        <v>635</v>
      </c>
    </row>
    <row r="73" ht="15.75">
      <c r="A73" s="113" t="s">
        <v>636</v>
      </c>
    </row>
    <row r="74" ht="15.75">
      <c r="A74" s="113" t="s">
        <v>637</v>
      </c>
    </row>
    <row r="76" ht="15.75">
      <c r="A76" s="389" t="s">
        <v>623</v>
      </c>
    </row>
    <row r="77" ht="15.75">
      <c r="A77" s="113" t="s">
        <v>633</v>
      </c>
    </row>
    <row r="79" ht="15.75">
      <c r="A79" s="388" t="s">
        <v>386</v>
      </c>
    </row>
    <row r="80" ht="15.75">
      <c r="A80" s="113" t="s">
        <v>387</v>
      </c>
    </row>
    <row r="81" ht="15.75">
      <c r="A81" s="113" t="s">
        <v>388</v>
      </c>
    </row>
    <row r="82" ht="15.75">
      <c r="A82" s="113" t="s">
        <v>409</v>
      </c>
    </row>
    <row r="83" ht="15.75">
      <c r="A83" s="113" t="s">
        <v>410</v>
      </c>
    </row>
    <row r="84" ht="15.75">
      <c r="A84" s="113" t="s">
        <v>411</v>
      </c>
    </row>
    <row r="85" ht="15.75">
      <c r="A85" s="113" t="s">
        <v>621</v>
      </c>
    </row>
    <row r="87" ht="15.75">
      <c r="A87" s="388" t="s">
        <v>326</v>
      </c>
    </row>
    <row r="88" ht="15.75">
      <c r="A88" s="113" t="s">
        <v>327</v>
      </c>
    </row>
    <row r="89" ht="15.75">
      <c r="A89" s="113" t="s">
        <v>328</v>
      </c>
    </row>
    <row r="90" ht="15.75">
      <c r="A90" s="113" t="s">
        <v>329</v>
      </c>
    </row>
    <row r="91" ht="15.75">
      <c r="A91" s="113" t="s">
        <v>330</v>
      </c>
    </row>
    <row r="92" ht="15.75">
      <c r="A92" s="113" t="s">
        <v>331</v>
      </c>
    </row>
    <row r="93" ht="15.75">
      <c r="A93" s="113" t="s">
        <v>332</v>
      </c>
    </row>
    <row r="94" ht="15.75">
      <c r="A94" s="113" t="s">
        <v>333</v>
      </c>
    </row>
    <row r="95" ht="15.75">
      <c r="A95" s="113" t="s">
        <v>335</v>
      </c>
    </row>
    <row r="96" ht="15.75">
      <c r="A96" s="113" t="s">
        <v>336</v>
      </c>
    </row>
    <row r="97" ht="15.75">
      <c r="A97" s="113" t="s">
        <v>352</v>
      </c>
    </row>
    <row r="98" ht="15.75">
      <c r="A98" s="113" t="s">
        <v>353</v>
      </c>
    </row>
    <row r="99" ht="15.75">
      <c r="A99" s="113" t="s">
        <v>354</v>
      </c>
    </row>
    <row r="100" ht="15.75">
      <c r="A100" s="113" t="s">
        <v>355</v>
      </c>
    </row>
    <row r="101" ht="15.75">
      <c r="A101" s="113" t="s">
        <v>369</v>
      </c>
    </row>
    <row r="102" ht="15.75">
      <c r="A102" s="113" t="s">
        <v>370</v>
      </c>
    </row>
    <row r="103" ht="15.75">
      <c r="A103" s="113" t="s">
        <v>382</v>
      </c>
    </row>
    <row r="104" ht="15.75">
      <c r="A104" s="366" t="s">
        <v>383</v>
      </c>
    </row>
    <row r="106" ht="15.75">
      <c r="A106" s="388" t="s">
        <v>321</v>
      </c>
    </row>
    <row r="107" ht="15.75">
      <c r="A107" s="113" t="s">
        <v>322</v>
      </c>
    </row>
    <row r="109" ht="15.75">
      <c r="A109" s="388" t="s">
        <v>319</v>
      </c>
    </row>
    <row r="110" ht="15.75">
      <c r="A110" s="113" t="s">
        <v>320</v>
      </c>
    </row>
    <row r="112" ht="15.75">
      <c r="A112" s="388" t="s">
        <v>315</v>
      </c>
    </row>
    <row r="113" ht="15.75">
      <c r="A113" s="113" t="s">
        <v>316</v>
      </c>
    </row>
    <row r="114" ht="15.75">
      <c r="A114" s="113" t="s">
        <v>317</v>
      </c>
    </row>
    <row r="115" ht="15.75">
      <c r="A115" s="113" t="s">
        <v>318</v>
      </c>
    </row>
    <row r="117" ht="15.75">
      <c r="A117" s="388" t="s">
        <v>311</v>
      </c>
    </row>
    <row r="118" ht="15.75">
      <c r="A118" s="113" t="s">
        <v>312</v>
      </c>
    </row>
    <row r="119" ht="15.75">
      <c r="A119" s="113" t="s">
        <v>313</v>
      </c>
    </row>
    <row r="121" ht="15.75">
      <c r="A121" s="388" t="s">
        <v>226</v>
      </c>
    </row>
    <row r="122" ht="15.75">
      <c r="A122" s="113" t="s">
        <v>198</v>
      </c>
    </row>
    <row r="123" ht="31.5">
      <c r="A123" s="216" t="s">
        <v>199</v>
      </c>
    </row>
    <row r="124" ht="15.75">
      <c r="A124" s="113" t="s">
        <v>212</v>
      </c>
    </row>
    <row r="125" ht="15.75">
      <c r="A125" s="113" t="s">
        <v>213</v>
      </c>
    </row>
    <row r="126" ht="15.75">
      <c r="A126" s="113" t="s">
        <v>214</v>
      </c>
    </row>
    <row r="127" ht="15.75">
      <c r="A127" s="113" t="s">
        <v>215</v>
      </c>
    </row>
    <row r="128" ht="31.5">
      <c r="A128" s="216" t="s">
        <v>207</v>
      </c>
    </row>
    <row r="129" ht="31.5">
      <c r="A129" s="216" t="s">
        <v>216</v>
      </c>
    </row>
    <row r="130" ht="31.5">
      <c r="A130" s="216" t="s">
        <v>217</v>
      </c>
    </row>
    <row r="131" ht="15.75">
      <c r="A131" s="216" t="s">
        <v>218</v>
      </c>
    </row>
    <row r="132" ht="31.5">
      <c r="A132" s="216" t="s">
        <v>219</v>
      </c>
    </row>
    <row r="133" ht="15.75">
      <c r="A133" s="113" t="s">
        <v>220</v>
      </c>
    </row>
    <row r="134" ht="15.75">
      <c r="A134" s="113" t="s">
        <v>221</v>
      </c>
    </row>
    <row r="135" ht="15.75">
      <c r="A135" s="113" t="s">
        <v>222</v>
      </c>
    </row>
    <row r="136" ht="15.75">
      <c r="A136" s="113" t="s">
        <v>223</v>
      </c>
    </row>
    <row r="137" ht="31.5">
      <c r="A137" s="216" t="s">
        <v>224</v>
      </c>
    </row>
    <row r="138" ht="15.75">
      <c r="A138" s="216" t="s">
        <v>200</v>
      </c>
    </row>
    <row r="139" ht="31.5">
      <c r="A139" s="216" t="s">
        <v>208</v>
      </c>
    </row>
    <row r="140" ht="15.75">
      <c r="A140" s="216" t="s">
        <v>201</v>
      </c>
    </row>
    <row r="141" ht="15.75">
      <c r="A141" s="216" t="s">
        <v>202</v>
      </c>
    </row>
    <row r="142" ht="15.75">
      <c r="A142" s="216" t="s">
        <v>203</v>
      </c>
    </row>
    <row r="143" ht="31.5">
      <c r="A143" s="216" t="s">
        <v>204</v>
      </c>
    </row>
    <row r="144" ht="31.5">
      <c r="A144" s="216" t="s">
        <v>209</v>
      </c>
    </row>
    <row r="145" ht="31.5">
      <c r="A145" s="216" t="s">
        <v>205</v>
      </c>
    </row>
    <row r="146" ht="31.5">
      <c r="A146" s="216" t="s">
        <v>210</v>
      </c>
    </row>
    <row r="147" ht="15.75">
      <c r="A147" s="216" t="s">
        <v>211</v>
      </c>
    </row>
    <row r="148" ht="15.75">
      <c r="A148" s="216"/>
    </row>
    <row r="149" ht="15.75">
      <c r="A149" s="388" t="s">
        <v>138</v>
      </c>
    </row>
    <row r="150" ht="47.25">
      <c r="A150" s="216" t="s">
        <v>169</v>
      </c>
    </row>
    <row r="151" ht="15.75">
      <c r="A151" s="113" t="s">
        <v>139</v>
      </c>
    </row>
    <row r="152" ht="15.75">
      <c r="A152" s="113" t="s">
        <v>143</v>
      </c>
    </row>
    <row r="153" ht="15.75">
      <c r="A153" s="113" t="s">
        <v>144</v>
      </c>
    </row>
    <row r="154" ht="15.75">
      <c r="A154" s="113" t="s">
        <v>140</v>
      </c>
    </row>
    <row r="155" ht="15.75">
      <c r="A155" s="113" t="s">
        <v>141</v>
      </c>
    </row>
    <row r="156" ht="15.75">
      <c r="A156" s="113" t="s">
        <v>142</v>
      </c>
    </row>
    <row r="157" ht="15.75">
      <c r="A157" s="216" t="s">
        <v>237</v>
      </c>
    </row>
    <row r="158" ht="15.75">
      <c r="A158" s="113" t="s">
        <v>145</v>
      </c>
    </row>
    <row r="159" ht="15.75">
      <c r="A159" s="113" t="s">
        <v>146</v>
      </c>
    </row>
    <row r="160" ht="15.75">
      <c r="A160" s="113" t="s">
        <v>170</v>
      </c>
    </row>
    <row r="161" ht="15.75">
      <c r="A161" s="113" t="s">
        <v>160</v>
      </c>
    </row>
    <row r="162" ht="15.75">
      <c r="A162" s="113" t="s">
        <v>171</v>
      </c>
    </row>
    <row r="163" ht="15.75">
      <c r="A163" s="113" t="s">
        <v>147</v>
      </c>
    </row>
    <row r="164" ht="15.75">
      <c r="A164" s="113" t="s">
        <v>238</v>
      </c>
    </row>
    <row r="165" ht="15.75">
      <c r="A165" s="113" t="s">
        <v>148</v>
      </c>
    </row>
    <row r="166" ht="15.75">
      <c r="A166" s="113" t="s">
        <v>161</v>
      </c>
    </row>
    <row r="167" ht="31.5">
      <c r="A167" s="216" t="s">
        <v>162</v>
      </c>
    </row>
    <row r="168" ht="15.75">
      <c r="A168" s="113" t="s">
        <v>163</v>
      </c>
    </row>
    <row r="169" ht="15.75">
      <c r="A169" s="113" t="s">
        <v>172</v>
      </c>
    </row>
    <row r="170" ht="15.75">
      <c r="A170" s="113" t="s">
        <v>206</v>
      </c>
    </row>
    <row r="171" ht="15.75">
      <c r="A171" s="113" t="s">
        <v>236</v>
      </c>
    </row>
    <row r="172" ht="15.75">
      <c r="A172" s="113" t="s">
        <v>174</v>
      </c>
    </row>
    <row r="173" ht="15.75">
      <c r="A173" s="113" t="s">
        <v>235</v>
      </c>
    </row>
    <row r="174" ht="15.75">
      <c r="A174" s="113" t="s">
        <v>175</v>
      </c>
    </row>
    <row r="175" ht="15.75">
      <c r="A175" s="113" t="s">
        <v>180</v>
      </c>
    </row>
    <row r="176" ht="15.75">
      <c r="A176" s="113" t="s">
        <v>181</v>
      </c>
    </row>
    <row r="177" ht="15.75">
      <c r="A177" s="113" t="s">
        <v>189</v>
      </c>
    </row>
    <row r="178" ht="15.75">
      <c r="A178" s="113" t="s">
        <v>190</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
    </sheetView>
  </sheetViews>
  <sheetFormatPr defaultColWidth="8.796875" defaultRowHeight="15.75"/>
  <cols>
    <col min="1" max="1" width="2.296875" style="595" customWidth="1"/>
    <col min="2" max="4" width="8.796875" style="595" customWidth="1"/>
    <col min="5" max="5" width="8.69921875" style="595" customWidth="1"/>
    <col min="6" max="6" width="8.796875" style="595" customWidth="1"/>
    <col min="7" max="7" width="8.69921875" style="595" customWidth="1"/>
    <col min="8" max="16384" width="8.796875" style="595" customWidth="1"/>
  </cols>
  <sheetData>
    <row r="1" spans="2:9" ht="15.75">
      <c r="B1" s="594"/>
      <c r="C1" s="594"/>
      <c r="D1" s="594"/>
      <c r="E1" s="594"/>
      <c r="F1" s="594"/>
      <c r="G1" s="594"/>
      <c r="H1" s="594"/>
      <c r="I1" s="594"/>
    </row>
    <row r="2" spans="2:9" ht="15.75">
      <c r="B2" s="892" t="s">
        <v>811</v>
      </c>
      <c r="C2" s="892"/>
      <c r="D2" s="892"/>
      <c r="E2" s="892"/>
      <c r="F2" s="892"/>
      <c r="G2" s="892"/>
      <c r="H2" s="892"/>
      <c r="I2" s="892"/>
    </row>
    <row r="3" spans="2:9" ht="15.75">
      <c r="B3" s="892" t="s">
        <v>812</v>
      </c>
      <c r="C3" s="892"/>
      <c r="D3" s="892"/>
      <c r="E3" s="892"/>
      <c r="F3" s="892"/>
      <c r="G3" s="892"/>
      <c r="H3" s="892"/>
      <c r="I3" s="892"/>
    </row>
    <row r="4" spans="2:9" ht="15.75">
      <c r="B4" s="596"/>
      <c r="C4" s="596"/>
      <c r="D4" s="596"/>
      <c r="E4" s="596"/>
      <c r="F4" s="596"/>
      <c r="G4" s="596"/>
      <c r="H4" s="596"/>
      <c r="I4" s="596"/>
    </row>
    <row r="5" spans="2:9" ht="15.75">
      <c r="B5" s="893" t="str">
        <f>CONCATENATE("Budgeted Year: ",inputPrYr!D9,"")</f>
        <v>Budgeted Year: 2014</v>
      </c>
      <c r="C5" s="893"/>
      <c r="D5" s="893"/>
      <c r="E5" s="893"/>
      <c r="F5" s="893"/>
      <c r="G5" s="893"/>
      <c r="H5" s="893"/>
      <c r="I5" s="893"/>
    </row>
    <row r="6" spans="2:9" ht="15.75">
      <c r="B6" s="597"/>
      <c r="C6" s="596"/>
      <c r="D6" s="596"/>
      <c r="E6" s="596"/>
      <c r="F6" s="596"/>
      <c r="G6" s="596"/>
      <c r="H6" s="596"/>
      <c r="I6" s="596"/>
    </row>
    <row r="7" spans="2:9" ht="15.75">
      <c r="B7" s="597" t="str">
        <f>CONCATENATE("Library found in: ",inputPrYr!D3,"")</f>
        <v>Library found in: Padonia Township</v>
      </c>
      <c r="C7" s="596"/>
      <c r="D7" s="596"/>
      <c r="E7" s="596"/>
      <c r="F7" s="596"/>
      <c r="G7" s="596"/>
      <c r="H7" s="596"/>
      <c r="I7" s="596"/>
    </row>
    <row r="8" spans="2:9" ht="15.75">
      <c r="B8" s="597" t="str">
        <f>inputPrYr!D4</f>
        <v>Brown County</v>
      </c>
      <c r="C8" s="596"/>
      <c r="D8" s="596"/>
      <c r="E8" s="596"/>
      <c r="F8" s="596"/>
      <c r="G8" s="596"/>
      <c r="H8" s="596"/>
      <c r="I8" s="596"/>
    </row>
    <row r="9" spans="2:9" ht="15.75">
      <c r="B9" s="596"/>
      <c r="C9" s="596"/>
      <c r="D9" s="596"/>
      <c r="E9" s="596"/>
      <c r="F9" s="596"/>
      <c r="G9" s="596"/>
      <c r="H9" s="596"/>
      <c r="I9" s="596"/>
    </row>
    <row r="10" spans="2:9" ht="39" customHeight="1">
      <c r="B10" s="894" t="s">
        <v>813</v>
      </c>
      <c r="C10" s="894"/>
      <c r="D10" s="894"/>
      <c r="E10" s="894"/>
      <c r="F10" s="894"/>
      <c r="G10" s="894"/>
      <c r="H10" s="894"/>
      <c r="I10" s="894"/>
    </row>
    <row r="11" spans="2:9" ht="15.75">
      <c r="B11" s="596"/>
      <c r="C11" s="596"/>
      <c r="D11" s="596"/>
      <c r="E11" s="596"/>
      <c r="F11" s="596"/>
      <c r="G11" s="596"/>
      <c r="H11" s="596"/>
      <c r="I11" s="596"/>
    </row>
    <row r="12" spans="2:9" ht="15.75">
      <c r="B12" s="598" t="s">
        <v>814</v>
      </c>
      <c r="C12" s="596"/>
      <c r="D12" s="596"/>
      <c r="E12" s="596"/>
      <c r="F12" s="596"/>
      <c r="G12" s="596"/>
      <c r="H12" s="596"/>
      <c r="I12" s="596"/>
    </row>
    <row r="13" spans="2:9" ht="15.75">
      <c r="B13" s="596"/>
      <c r="C13" s="596"/>
      <c r="D13" s="596"/>
      <c r="E13" s="599" t="s">
        <v>276</v>
      </c>
      <c r="F13" s="596"/>
      <c r="G13" s="599" t="s">
        <v>815</v>
      </c>
      <c r="H13" s="596"/>
      <c r="I13" s="596"/>
    </row>
    <row r="14" spans="2:9" ht="15.75">
      <c r="B14" s="596"/>
      <c r="C14" s="596"/>
      <c r="D14" s="596"/>
      <c r="E14" s="600">
        <f>inputPrYr!D9-1</f>
        <v>2013</v>
      </c>
      <c r="F14" s="596"/>
      <c r="G14" s="600">
        <f>inputPrYr!D9</f>
        <v>2014</v>
      </c>
      <c r="H14" s="596"/>
      <c r="I14" s="596"/>
    </row>
    <row r="15" spans="2:9" ht="15.75">
      <c r="B15" s="597" t="str">
        <f>blank1!B48</f>
        <v>Ad Valorem Tax</v>
      </c>
      <c r="C15" s="596"/>
      <c r="D15" s="596"/>
      <c r="E15" s="601">
        <f>blank1!D48</f>
        <v>0</v>
      </c>
      <c r="F15" s="596"/>
      <c r="G15" s="601">
        <f>blank1!E40</f>
        <v>0</v>
      </c>
      <c r="H15" s="596"/>
      <c r="I15" s="596"/>
    </row>
    <row r="16" spans="2:9" ht="15.75">
      <c r="B16" s="597" t="str">
        <f>blank1!B49</f>
        <v>Delinquent Tax</v>
      </c>
      <c r="C16" s="596"/>
      <c r="D16" s="596"/>
      <c r="E16" s="601">
        <f>blank1!D49</f>
        <v>0</v>
      </c>
      <c r="F16" s="596"/>
      <c r="G16" s="601">
        <f>blank1!E49</f>
        <v>0</v>
      </c>
      <c r="H16" s="596"/>
      <c r="I16" s="596"/>
    </row>
    <row r="17" spans="2:9" ht="15.75">
      <c r="B17" s="597" t="str">
        <f>blank1!B50</f>
        <v>Motor Vehicle Tax</v>
      </c>
      <c r="C17" s="596"/>
      <c r="D17" s="596"/>
      <c r="E17" s="601">
        <f>blank1!D50</f>
        <v>0</v>
      </c>
      <c r="F17" s="596"/>
      <c r="G17" s="601">
        <f>blank1!E50</f>
        <v>0</v>
      </c>
      <c r="H17" s="596"/>
      <c r="I17" s="596"/>
    </row>
    <row r="18" spans="2:9" ht="15.75">
      <c r="B18" s="597" t="str">
        <f>blank1!B51</f>
        <v>Recreational Vehicle Tax</v>
      </c>
      <c r="C18" s="596"/>
      <c r="D18" s="596"/>
      <c r="E18" s="601">
        <f>blank1!D51</f>
        <v>0</v>
      </c>
      <c r="F18" s="596"/>
      <c r="G18" s="601">
        <f>blank1!E51</f>
        <v>0</v>
      </c>
      <c r="H18" s="596"/>
      <c r="I18" s="596"/>
    </row>
    <row r="19" spans="2:9" ht="15.75">
      <c r="B19" s="597" t="str">
        <f>blank1!B52</f>
        <v>16/20M Vehicle Tax</v>
      </c>
      <c r="C19" s="596"/>
      <c r="D19" s="596"/>
      <c r="E19" s="601">
        <f>blank1!D52</f>
        <v>0</v>
      </c>
      <c r="F19" s="596"/>
      <c r="G19" s="601">
        <f>blank1!E52</f>
        <v>0</v>
      </c>
      <c r="H19" s="596"/>
      <c r="I19" s="596"/>
    </row>
    <row r="20" spans="2:9" ht="15.75">
      <c r="B20" s="596" t="s">
        <v>113</v>
      </c>
      <c r="C20" s="596"/>
      <c r="D20" s="596"/>
      <c r="E20" s="601">
        <v>0</v>
      </c>
      <c r="F20" s="596"/>
      <c r="G20" s="601">
        <v>0</v>
      </c>
      <c r="H20" s="596"/>
      <c r="I20" s="596"/>
    </row>
    <row r="21" spans="2:9" ht="15.75">
      <c r="B21" s="596"/>
      <c r="C21" s="596"/>
      <c r="D21" s="596"/>
      <c r="E21" s="601">
        <v>0</v>
      </c>
      <c r="F21" s="596"/>
      <c r="G21" s="601">
        <v>0</v>
      </c>
      <c r="H21" s="596"/>
      <c r="I21" s="596"/>
    </row>
    <row r="22" spans="2:9" ht="15.75">
      <c r="B22" s="596" t="s">
        <v>816</v>
      </c>
      <c r="C22" s="596"/>
      <c r="D22" s="596"/>
      <c r="E22" s="602">
        <f>SUM(E15:E21)</f>
        <v>0</v>
      </c>
      <c r="F22" s="596"/>
      <c r="G22" s="602">
        <f>SUM(G15:G21)</f>
        <v>0</v>
      </c>
      <c r="H22" s="596"/>
      <c r="I22" s="596"/>
    </row>
    <row r="23" spans="2:9" ht="15.75">
      <c r="B23" s="596" t="s">
        <v>817</v>
      </c>
      <c r="C23" s="596"/>
      <c r="D23" s="596"/>
      <c r="E23" s="603">
        <f>G22-E22</f>
        <v>0</v>
      </c>
      <c r="F23" s="596"/>
      <c r="G23" s="604"/>
      <c r="H23" s="596"/>
      <c r="I23" s="596"/>
    </row>
    <row r="24" spans="2:9" ht="15.75">
      <c r="B24" s="596" t="s">
        <v>818</v>
      </c>
      <c r="C24" s="596"/>
      <c r="D24" s="605" t="str">
        <f>IF((G22-E22)&gt;0,"Qualify","Not Qualify")</f>
        <v>Not Qualify</v>
      </c>
      <c r="E24" s="596"/>
      <c r="F24" s="596"/>
      <c r="G24" s="596"/>
      <c r="H24" s="596"/>
      <c r="I24" s="596"/>
    </row>
    <row r="25" spans="2:9" ht="15.75">
      <c r="B25" s="596"/>
      <c r="C25" s="596"/>
      <c r="D25" s="596"/>
      <c r="E25" s="596"/>
      <c r="F25" s="596"/>
      <c r="G25" s="596"/>
      <c r="H25" s="596"/>
      <c r="I25" s="596"/>
    </row>
    <row r="26" spans="2:9" ht="15.75">
      <c r="B26" s="598" t="s">
        <v>819</v>
      </c>
      <c r="C26" s="596"/>
      <c r="D26" s="596"/>
      <c r="E26" s="596"/>
      <c r="F26" s="596"/>
      <c r="G26" s="596"/>
      <c r="H26" s="596"/>
      <c r="I26" s="596"/>
    </row>
    <row r="27" spans="2:9" ht="15.75">
      <c r="B27" s="596" t="s">
        <v>820</v>
      </c>
      <c r="C27" s="596"/>
      <c r="D27" s="596"/>
      <c r="E27" s="601">
        <f>summ!D28</f>
        <v>5566176</v>
      </c>
      <c r="F27" s="596"/>
      <c r="G27" s="601">
        <f>summ!F28</f>
        <v>6122569</v>
      </c>
      <c r="H27" s="596"/>
      <c r="I27" s="596"/>
    </row>
    <row r="28" spans="2:9" ht="15.75">
      <c r="B28" s="596" t="s">
        <v>821</v>
      </c>
      <c r="C28" s="596"/>
      <c r="D28" s="596"/>
      <c r="E28" s="606" t="str">
        <f>IF(G27-E27&gt;0,"No","Yes")</f>
        <v>No</v>
      </c>
      <c r="F28" s="596"/>
      <c r="G28" s="596"/>
      <c r="H28" s="596"/>
      <c r="I28" s="596"/>
    </row>
    <row r="29" spans="2:9" ht="15.75">
      <c r="B29" s="596" t="s">
        <v>822</v>
      </c>
      <c r="C29" s="596"/>
      <c r="D29" s="596"/>
      <c r="E29" s="607">
        <f>summ!E24</f>
        <v>14.169999999999998</v>
      </c>
      <c r="F29" s="596"/>
      <c r="G29" s="607">
        <f>summ!H24</f>
        <v>12.978</v>
      </c>
      <c r="H29" s="596"/>
      <c r="I29" s="596"/>
    </row>
    <row r="30" spans="2:9" ht="15.75">
      <c r="B30" s="596" t="s">
        <v>823</v>
      </c>
      <c r="C30" s="596"/>
      <c r="D30" s="596"/>
      <c r="E30" s="608">
        <f>G29-E29</f>
        <v>-1.1919999999999984</v>
      </c>
      <c r="F30" s="596"/>
      <c r="G30" s="596"/>
      <c r="H30" s="596"/>
      <c r="I30" s="596"/>
    </row>
    <row r="31" spans="2:9" ht="15.75">
      <c r="B31" s="596" t="s">
        <v>818</v>
      </c>
      <c r="C31" s="596"/>
      <c r="D31" s="609" t="str">
        <f>IF(E30&gt;=0,"Qualify","Not Qualify")</f>
        <v>Not Qualify</v>
      </c>
      <c r="E31" s="596"/>
      <c r="F31" s="596"/>
      <c r="G31" s="596"/>
      <c r="H31" s="596"/>
      <c r="I31" s="596"/>
    </row>
    <row r="32" spans="2:9" ht="15.75">
      <c r="B32" s="596"/>
      <c r="C32" s="596"/>
      <c r="D32" s="596"/>
      <c r="E32" s="596"/>
      <c r="F32" s="596"/>
      <c r="G32" s="596"/>
      <c r="H32" s="596"/>
      <c r="I32" s="596"/>
    </row>
    <row r="33" spans="2:9" ht="15.75">
      <c r="B33" s="596" t="s">
        <v>824</v>
      </c>
      <c r="C33" s="596"/>
      <c r="D33" s="596"/>
      <c r="E33" s="596"/>
      <c r="F33" s="610" t="str">
        <f>IF(D24="Not Qualify",IF(D31="Not Qualify",IF(D31="Not Qualify","Not Qualify","Qualify"),"Qualify"),"Qualify")</f>
        <v>Not Qualify</v>
      </c>
      <c r="G33" s="596"/>
      <c r="H33" s="596"/>
      <c r="I33" s="596"/>
    </row>
    <row r="34" spans="2:9" ht="15.75">
      <c r="B34" s="596"/>
      <c r="C34" s="596"/>
      <c r="D34" s="596"/>
      <c r="E34" s="596"/>
      <c r="F34" s="596"/>
      <c r="G34" s="596"/>
      <c r="H34" s="596"/>
      <c r="I34" s="596"/>
    </row>
    <row r="35" spans="2:9" ht="15.75">
      <c r="B35" s="596"/>
      <c r="C35" s="596"/>
      <c r="D35" s="596"/>
      <c r="E35" s="596"/>
      <c r="F35" s="596"/>
      <c r="G35" s="596"/>
      <c r="H35" s="596"/>
      <c r="I35" s="596"/>
    </row>
    <row r="36" spans="2:9" ht="37.5" customHeight="1">
      <c r="B36" s="894" t="s">
        <v>825</v>
      </c>
      <c r="C36" s="894"/>
      <c r="D36" s="894"/>
      <c r="E36" s="894"/>
      <c r="F36" s="894"/>
      <c r="G36" s="894"/>
      <c r="H36" s="894"/>
      <c r="I36" s="894"/>
    </row>
    <row r="37" spans="2:9" ht="15.75">
      <c r="B37" s="596"/>
      <c r="C37" s="596"/>
      <c r="D37" s="596"/>
      <c r="E37" s="596"/>
      <c r="F37" s="596"/>
      <c r="G37" s="596"/>
      <c r="H37" s="596"/>
      <c r="I37" s="596"/>
    </row>
    <row r="38" spans="2:9" ht="15.75">
      <c r="B38" s="596"/>
      <c r="C38" s="596"/>
      <c r="D38" s="596"/>
      <c r="E38" s="596"/>
      <c r="F38" s="596"/>
      <c r="G38" s="596"/>
      <c r="H38" s="596"/>
      <c r="I38" s="596"/>
    </row>
    <row r="39" spans="2:9" ht="15.75">
      <c r="B39" s="596"/>
      <c r="C39" s="596"/>
      <c r="D39" s="596"/>
      <c r="E39" s="596"/>
      <c r="F39" s="596"/>
      <c r="G39" s="596"/>
      <c r="H39" s="596"/>
      <c r="I39" s="596"/>
    </row>
    <row r="40" spans="2:9" ht="15.75">
      <c r="B40" s="596"/>
      <c r="C40" s="596"/>
      <c r="D40" s="596"/>
      <c r="E40" s="611" t="s">
        <v>826</v>
      </c>
      <c r="F40" s="612">
        <v>6</v>
      </c>
      <c r="G40" s="596"/>
      <c r="H40" s="596"/>
      <c r="I40" s="596"/>
    </row>
    <row r="41" spans="2:9" ht="15.75">
      <c r="B41" s="596"/>
      <c r="C41" s="596"/>
      <c r="D41" s="596"/>
      <c r="E41" s="596"/>
      <c r="F41" s="596"/>
      <c r="G41" s="596"/>
      <c r="H41" s="596"/>
      <c r="I41" s="596"/>
    </row>
    <row r="42" spans="2:9" ht="15.75">
      <c r="B42" s="596"/>
      <c r="C42" s="596"/>
      <c r="D42" s="596"/>
      <c r="E42" s="596"/>
      <c r="F42" s="596"/>
      <c r="G42" s="596"/>
      <c r="H42" s="596"/>
      <c r="I42" s="596"/>
    </row>
    <row r="43" spans="2:9" ht="15.75">
      <c r="B43" s="895" t="s">
        <v>827</v>
      </c>
      <c r="C43" s="896"/>
      <c r="D43" s="896"/>
      <c r="E43" s="896"/>
      <c r="F43" s="896"/>
      <c r="G43" s="896"/>
      <c r="H43" s="896"/>
      <c r="I43" s="896"/>
    </row>
    <row r="44" spans="2:9" ht="15.75">
      <c r="B44" s="596"/>
      <c r="C44" s="596"/>
      <c r="D44" s="596"/>
      <c r="E44" s="596"/>
      <c r="F44" s="596"/>
      <c r="G44" s="596"/>
      <c r="H44" s="596"/>
      <c r="I44" s="596"/>
    </row>
    <row r="45" spans="2:9" ht="15.75">
      <c r="B45" s="613" t="s">
        <v>828</v>
      </c>
      <c r="C45" s="596"/>
      <c r="D45" s="596"/>
      <c r="E45" s="596"/>
      <c r="F45" s="596"/>
      <c r="G45" s="596"/>
      <c r="H45" s="596"/>
      <c r="I45" s="596"/>
    </row>
    <row r="46" spans="2:9" ht="15.75">
      <c r="B46" s="613" t="str">
        <f>CONCATENATE("sources in your ",G14," library fund is not equal to or greater than the amount from the same")</f>
        <v>sources in your 2014 library fund is not equal to or greater than the amount from the same</v>
      </c>
      <c r="C46" s="596"/>
      <c r="D46" s="596"/>
      <c r="E46" s="596"/>
      <c r="F46" s="596"/>
      <c r="G46" s="596"/>
      <c r="H46" s="596"/>
      <c r="I46" s="596"/>
    </row>
    <row r="47" spans="2:9" ht="15.75">
      <c r="B47" s="613" t="str">
        <f>CONCATENATE("sources in ",E14,".")</f>
        <v>sources in 2013.</v>
      </c>
      <c r="C47" s="594"/>
      <c r="D47" s="594"/>
      <c r="E47" s="594"/>
      <c r="F47" s="594"/>
      <c r="G47" s="594"/>
      <c r="H47" s="594"/>
      <c r="I47" s="594"/>
    </row>
    <row r="48" spans="2:9" ht="15.75">
      <c r="B48" s="594"/>
      <c r="C48" s="594"/>
      <c r="D48" s="594"/>
      <c r="E48" s="594"/>
      <c r="F48" s="594"/>
      <c r="G48" s="594"/>
      <c r="H48" s="594"/>
      <c r="I48" s="594"/>
    </row>
    <row r="49" spans="2:9" ht="15.75">
      <c r="B49" s="613" t="s">
        <v>829</v>
      </c>
      <c r="C49" s="613"/>
      <c r="D49" s="614"/>
      <c r="E49" s="614"/>
      <c r="F49" s="614"/>
      <c r="G49" s="614"/>
      <c r="H49" s="614"/>
      <c r="I49" s="614"/>
    </row>
    <row r="50" spans="2:9" ht="15.75">
      <c r="B50" s="613" t="s">
        <v>830</v>
      </c>
      <c r="C50" s="613"/>
      <c r="D50" s="614"/>
      <c r="E50" s="614"/>
      <c r="F50" s="614"/>
      <c r="G50" s="614"/>
      <c r="H50" s="614"/>
      <c r="I50" s="614"/>
    </row>
    <row r="51" spans="2:9" ht="15.75">
      <c r="B51" s="613" t="s">
        <v>831</v>
      </c>
      <c r="C51" s="613"/>
      <c r="D51" s="614"/>
      <c r="E51" s="614"/>
      <c r="F51" s="614"/>
      <c r="G51" s="614"/>
      <c r="H51" s="614"/>
      <c r="I51" s="614"/>
    </row>
    <row r="52" spans="2:9" ht="15">
      <c r="B52" s="614"/>
      <c r="C52" s="614"/>
      <c r="D52" s="614"/>
      <c r="E52" s="614"/>
      <c r="F52" s="614"/>
      <c r="G52" s="614"/>
      <c r="H52" s="614"/>
      <c r="I52" s="614"/>
    </row>
    <row r="53" spans="2:9" ht="15.75">
      <c r="B53" s="615" t="s">
        <v>832</v>
      </c>
      <c r="C53" s="614"/>
      <c r="D53" s="614"/>
      <c r="E53" s="614"/>
      <c r="F53" s="614"/>
      <c r="G53" s="614"/>
      <c r="H53" s="614"/>
      <c r="I53" s="614"/>
    </row>
    <row r="54" spans="2:9" ht="15">
      <c r="B54" s="614"/>
      <c r="C54" s="614"/>
      <c r="D54" s="614"/>
      <c r="E54" s="614"/>
      <c r="F54" s="614"/>
      <c r="G54" s="614"/>
      <c r="H54" s="614"/>
      <c r="I54" s="614"/>
    </row>
    <row r="55" spans="2:9" ht="15.75">
      <c r="B55" s="613" t="s">
        <v>833</v>
      </c>
      <c r="C55" s="614"/>
      <c r="D55" s="614"/>
      <c r="E55" s="614"/>
      <c r="F55" s="614"/>
      <c r="G55" s="614"/>
      <c r="H55" s="614"/>
      <c r="I55" s="614"/>
    </row>
    <row r="56" spans="2:9" ht="15.75">
      <c r="B56" s="613" t="s">
        <v>834</v>
      </c>
      <c r="C56" s="614"/>
      <c r="D56" s="614"/>
      <c r="E56" s="614"/>
      <c r="F56" s="614"/>
      <c r="G56" s="614"/>
      <c r="H56" s="614"/>
      <c r="I56" s="614"/>
    </row>
    <row r="57" spans="2:9" ht="15">
      <c r="B57" s="614"/>
      <c r="C57" s="614"/>
      <c r="D57" s="614"/>
      <c r="E57" s="614"/>
      <c r="F57" s="614"/>
      <c r="G57" s="614"/>
      <c r="H57" s="614"/>
      <c r="I57" s="614"/>
    </row>
    <row r="58" spans="2:9" ht="15.75">
      <c r="B58" s="615" t="s">
        <v>835</v>
      </c>
      <c r="C58" s="613"/>
      <c r="D58" s="613"/>
      <c r="E58" s="613"/>
      <c r="F58" s="613"/>
      <c r="G58" s="614"/>
      <c r="H58" s="614"/>
      <c r="I58" s="614"/>
    </row>
    <row r="59" spans="2:9" ht="15.75">
      <c r="B59" s="613"/>
      <c r="C59" s="613"/>
      <c r="D59" s="613"/>
      <c r="E59" s="613"/>
      <c r="F59" s="613"/>
      <c r="G59" s="614"/>
      <c r="H59" s="614"/>
      <c r="I59" s="614"/>
    </row>
    <row r="60" spans="2:9" ht="15.75">
      <c r="B60" s="613" t="s">
        <v>836</v>
      </c>
      <c r="C60" s="613"/>
      <c r="D60" s="613"/>
      <c r="E60" s="613"/>
      <c r="F60" s="613"/>
      <c r="G60" s="614"/>
      <c r="H60" s="614"/>
      <c r="I60" s="614"/>
    </row>
    <row r="61" spans="2:9" ht="15.75">
      <c r="B61" s="613" t="s">
        <v>837</v>
      </c>
      <c r="C61" s="613"/>
      <c r="D61" s="613"/>
      <c r="E61" s="613"/>
      <c r="F61" s="613"/>
      <c r="G61" s="614"/>
      <c r="H61" s="614"/>
      <c r="I61" s="614"/>
    </row>
    <row r="62" spans="2:9" ht="15.75">
      <c r="B62" s="613" t="s">
        <v>838</v>
      </c>
      <c r="C62" s="613"/>
      <c r="D62" s="613"/>
      <c r="E62" s="613"/>
      <c r="F62" s="613"/>
      <c r="G62" s="614"/>
      <c r="H62" s="614"/>
      <c r="I62" s="614"/>
    </row>
    <row r="63" spans="2:9" ht="15.75">
      <c r="B63" s="613" t="s">
        <v>839</v>
      </c>
      <c r="C63" s="613"/>
      <c r="D63" s="613"/>
      <c r="E63" s="613"/>
      <c r="F63" s="613"/>
      <c r="G63" s="614"/>
      <c r="H63" s="614"/>
      <c r="I63" s="614"/>
    </row>
    <row r="64" spans="2:9" ht="15">
      <c r="B64" s="616"/>
      <c r="C64" s="616"/>
      <c r="D64" s="616"/>
      <c r="E64" s="616"/>
      <c r="F64" s="616"/>
      <c r="G64" s="614"/>
      <c r="H64" s="614"/>
      <c r="I64" s="614"/>
    </row>
    <row r="65" spans="2:9" ht="15.75">
      <c r="B65" s="613" t="s">
        <v>840</v>
      </c>
      <c r="C65" s="616"/>
      <c r="D65" s="616"/>
      <c r="E65" s="616"/>
      <c r="F65" s="616"/>
      <c r="G65" s="614"/>
      <c r="H65" s="614"/>
      <c r="I65" s="614"/>
    </row>
    <row r="66" spans="2:9" ht="15.75">
      <c r="B66" s="613" t="s">
        <v>841</v>
      </c>
      <c r="C66" s="616"/>
      <c r="D66" s="616"/>
      <c r="E66" s="616"/>
      <c r="F66" s="616"/>
      <c r="G66" s="614"/>
      <c r="H66" s="614"/>
      <c r="I66" s="614"/>
    </row>
    <row r="67" spans="2:9" ht="15">
      <c r="B67" s="616"/>
      <c r="C67" s="616"/>
      <c r="D67" s="616"/>
      <c r="E67" s="616"/>
      <c r="F67" s="616"/>
      <c r="G67" s="614"/>
      <c r="H67" s="614"/>
      <c r="I67" s="614"/>
    </row>
    <row r="68" spans="2:9" ht="15.75">
      <c r="B68" s="613" t="s">
        <v>842</v>
      </c>
      <c r="C68" s="616"/>
      <c r="D68" s="616"/>
      <c r="E68" s="616"/>
      <c r="F68" s="616"/>
      <c r="G68" s="614"/>
      <c r="H68" s="614"/>
      <c r="I68" s="614"/>
    </row>
    <row r="69" spans="2:9" ht="15.75">
      <c r="B69" s="613" t="s">
        <v>843</v>
      </c>
      <c r="C69" s="616"/>
      <c r="D69" s="616"/>
      <c r="E69" s="616"/>
      <c r="F69" s="616"/>
      <c r="G69" s="614"/>
      <c r="H69" s="614"/>
      <c r="I69" s="614"/>
    </row>
    <row r="70" spans="2:9" ht="15">
      <c r="B70" s="616"/>
      <c r="C70" s="616"/>
      <c r="D70" s="616"/>
      <c r="E70" s="616"/>
      <c r="F70" s="616"/>
      <c r="G70" s="614"/>
      <c r="H70" s="614"/>
      <c r="I70" s="614"/>
    </row>
    <row r="71" spans="2:9" ht="15.75">
      <c r="B71" s="615" t="s">
        <v>844</v>
      </c>
      <c r="C71" s="616"/>
      <c r="D71" s="616"/>
      <c r="E71" s="616"/>
      <c r="F71" s="616"/>
      <c r="G71" s="614"/>
      <c r="H71" s="614"/>
      <c r="I71" s="614"/>
    </row>
    <row r="72" spans="2:9" ht="15">
      <c r="B72" s="616"/>
      <c r="C72" s="616"/>
      <c r="D72" s="616"/>
      <c r="E72" s="616"/>
      <c r="F72" s="616"/>
      <c r="G72" s="614"/>
      <c r="H72" s="614"/>
      <c r="I72" s="614"/>
    </row>
    <row r="73" spans="2:9" ht="15.75">
      <c r="B73" s="613" t="s">
        <v>845</v>
      </c>
      <c r="C73" s="616"/>
      <c r="D73" s="616"/>
      <c r="E73" s="616"/>
      <c r="F73" s="616"/>
      <c r="G73" s="614"/>
      <c r="H73" s="614"/>
      <c r="I73" s="614"/>
    </row>
    <row r="74" spans="2:9" ht="15.75">
      <c r="B74" s="613" t="s">
        <v>846</v>
      </c>
      <c r="C74" s="616"/>
      <c r="D74" s="616"/>
      <c r="E74" s="616"/>
      <c r="F74" s="616"/>
      <c r="G74" s="614"/>
      <c r="H74" s="614"/>
      <c r="I74" s="614"/>
    </row>
    <row r="75" spans="2:9" ht="15">
      <c r="B75" s="616"/>
      <c r="C75" s="616"/>
      <c r="D75" s="616"/>
      <c r="E75" s="616"/>
      <c r="F75" s="616"/>
      <c r="G75" s="614"/>
      <c r="H75" s="614"/>
      <c r="I75" s="614"/>
    </row>
    <row r="76" spans="2:9" ht="15.75">
      <c r="B76" s="615" t="s">
        <v>847</v>
      </c>
      <c r="C76" s="616"/>
      <c r="D76" s="616"/>
      <c r="E76" s="616"/>
      <c r="F76" s="616"/>
      <c r="G76" s="614"/>
      <c r="H76" s="614"/>
      <c r="I76" s="614"/>
    </row>
    <row r="77" spans="2:9" ht="15">
      <c r="B77" s="616"/>
      <c r="C77" s="616"/>
      <c r="D77" s="616"/>
      <c r="E77" s="616"/>
      <c r="F77" s="616"/>
      <c r="G77" s="614"/>
      <c r="H77" s="614"/>
      <c r="I77" s="614"/>
    </row>
    <row r="78" spans="2:9" ht="15.75">
      <c r="B78" s="613" t="str">
        <f>CONCATENATE("If the ",G14," municipal budget has not been published and has not been submitted to the County")</f>
        <v>If the 2014 municipal budget has not been published and has not been submitted to the County</v>
      </c>
      <c r="C78" s="616"/>
      <c r="D78" s="616"/>
      <c r="E78" s="616"/>
      <c r="F78" s="616"/>
      <c r="G78" s="614"/>
      <c r="H78" s="614"/>
      <c r="I78" s="614"/>
    </row>
    <row r="79" spans="2:9" ht="15.75">
      <c r="B79" s="613" t="s">
        <v>848</v>
      </c>
      <c r="C79" s="616"/>
      <c r="D79" s="616"/>
      <c r="E79" s="616"/>
      <c r="F79" s="616"/>
      <c r="G79" s="614"/>
      <c r="H79" s="614"/>
      <c r="I79" s="614"/>
    </row>
    <row r="80" spans="2:9" ht="15">
      <c r="B80" s="616"/>
      <c r="C80" s="616"/>
      <c r="D80" s="616"/>
      <c r="E80" s="616"/>
      <c r="F80" s="616"/>
      <c r="G80" s="614"/>
      <c r="H80" s="614"/>
      <c r="I80" s="614"/>
    </row>
    <row r="81" spans="2:9" ht="15.75">
      <c r="B81" s="615" t="s">
        <v>423</v>
      </c>
      <c r="C81" s="616"/>
      <c r="D81" s="616"/>
      <c r="E81" s="616"/>
      <c r="F81" s="616"/>
      <c r="G81" s="614"/>
      <c r="H81" s="614"/>
      <c r="I81" s="614"/>
    </row>
    <row r="82" spans="2:9" ht="15">
      <c r="B82" s="616"/>
      <c r="C82" s="616"/>
      <c r="D82" s="616"/>
      <c r="E82" s="616"/>
      <c r="F82" s="616"/>
      <c r="G82" s="614"/>
      <c r="H82" s="614"/>
      <c r="I82" s="614"/>
    </row>
    <row r="83" spans="2:9" ht="15.75">
      <c r="B83" s="613" t="s">
        <v>849</v>
      </c>
      <c r="C83" s="616"/>
      <c r="D83" s="616"/>
      <c r="E83" s="616"/>
      <c r="F83" s="616"/>
      <c r="G83" s="614"/>
      <c r="H83" s="614"/>
      <c r="I83" s="614"/>
    </row>
    <row r="84" spans="2:9" ht="15.75">
      <c r="B84" s="613" t="str">
        <f>CONCATENATE("Budget Year ",G14," is equal to or greater than that for Current Year Estimate ",E14,".")</f>
        <v>Budget Year 2014 is equal to or greater than that for Current Year Estimate 2013.</v>
      </c>
      <c r="C84" s="616"/>
      <c r="D84" s="616"/>
      <c r="E84" s="616"/>
      <c r="F84" s="616"/>
      <c r="G84" s="614"/>
      <c r="H84" s="614"/>
      <c r="I84" s="614"/>
    </row>
    <row r="85" spans="2:9" ht="15">
      <c r="B85" s="616"/>
      <c r="C85" s="616"/>
      <c r="D85" s="616"/>
      <c r="E85" s="616"/>
      <c r="F85" s="616"/>
      <c r="G85" s="614"/>
      <c r="H85" s="614"/>
      <c r="I85" s="614"/>
    </row>
    <row r="86" spans="2:9" ht="15.75">
      <c r="B86" s="613" t="s">
        <v>850</v>
      </c>
      <c r="C86" s="616"/>
      <c r="D86" s="616"/>
      <c r="E86" s="616"/>
      <c r="F86" s="616"/>
      <c r="G86" s="614"/>
      <c r="H86" s="614"/>
      <c r="I86" s="614"/>
    </row>
    <row r="87" spans="2:9" ht="15.75">
      <c r="B87" s="613" t="s">
        <v>851</v>
      </c>
      <c r="C87" s="616"/>
      <c r="D87" s="616"/>
      <c r="E87" s="616"/>
      <c r="F87" s="616"/>
      <c r="G87" s="614"/>
      <c r="H87" s="614"/>
      <c r="I87" s="614"/>
    </row>
    <row r="88" spans="2:9" ht="15.75">
      <c r="B88" s="613" t="s">
        <v>852</v>
      </c>
      <c r="C88" s="616"/>
      <c r="D88" s="616"/>
      <c r="E88" s="616"/>
      <c r="F88" s="616"/>
      <c r="G88" s="614"/>
      <c r="H88" s="614"/>
      <c r="I88" s="614"/>
    </row>
    <row r="89" spans="2:9" ht="15.75">
      <c r="B89" s="613" t="str">
        <f>CONCATENATE("purpose for the previous (",E14,") year.")</f>
        <v>purpose for the previous (2013) year.</v>
      </c>
      <c r="C89" s="616"/>
      <c r="D89" s="616"/>
      <c r="E89" s="616"/>
      <c r="F89" s="616"/>
      <c r="G89" s="614"/>
      <c r="H89" s="614"/>
      <c r="I89" s="614"/>
    </row>
    <row r="90" spans="2:9" ht="15">
      <c r="B90" s="616"/>
      <c r="C90" s="616"/>
      <c r="D90" s="616"/>
      <c r="E90" s="616"/>
      <c r="F90" s="616"/>
      <c r="G90" s="614"/>
      <c r="H90" s="614"/>
      <c r="I90" s="614"/>
    </row>
    <row r="91" spans="2:9" ht="15.75">
      <c r="B91" s="613" t="str">
        <f>CONCATENATE("Next, look to see if delinquent tax for ",G14," is budgeted. Often this line is budgeted at $0 or left")</f>
        <v>Next, look to see if delinquent tax for 2014 is budgeted. Often this line is budgeted at $0 or left</v>
      </c>
      <c r="C91" s="616"/>
      <c r="D91" s="616"/>
      <c r="E91" s="616"/>
      <c r="F91" s="616"/>
      <c r="G91" s="614"/>
      <c r="H91" s="614"/>
      <c r="I91" s="614"/>
    </row>
    <row r="92" spans="2:9" ht="15.75">
      <c r="B92" s="613" t="s">
        <v>853</v>
      </c>
      <c r="C92" s="616"/>
      <c r="D92" s="616"/>
      <c r="E92" s="616"/>
      <c r="F92" s="616"/>
      <c r="G92" s="614"/>
      <c r="H92" s="614"/>
      <c r="I92" s="614"/>
    </row>
    <row r="93" spans="2:9" ht="15.75">
      <c r="B93" s="613" t="s">
        <v>854</v>
      </c>
      <c r="C93" s="616"/>
      <c r="D93" s="616"/>
      <c r="E93" s="616"/>
      <c r="F93" s="616"/>
      <c r="G93" s="614"/>
      <c r="H93" s="614"/>
      <c r="I93" s="614"/>
    </row>
    <row r="94" spans="2:9" ht="15.75">
      <c r="B94" s="613" t="s">
        <v>855</v>
      </c>
      <c r="C94" s="616"/>
      <c r="D94" s="616"/>
      <c r="E94" s="616"/>
      <c r="F94" s="616"/>
      <c r="G94" s="614"/>
      <c r="H94" s="614"/>
      <c r="I94" s="614"/>
    </row>
    <row r="95" spans="2:9" ht="15">
      <c r="B95" s="616"/>
      <c r="C95" s="616"/>
      <c r="D95" s="616"/>
      <c r="E95" s="616"/>
      <c r="F95" s="616"/>
      <c r="G95" s="614"/>
      <c r="H95" s="614"/>
      <c r="I95" s="614"/>
    </row>
    <row r="96" spans="2:9" ht="15.75">
      <c r="B96" s="615" t="s">
        <v>856</v>
      </c>
      <c r="C96" s="616"/>
      <c r="D96" s="616"/>
      <c r="E96" s="616"/>
      <c r="F96" s="616"/>
      <c r="G96" s="614"/>
      <c r="H96" s="614"/>
      <c r="I96" s="614"/>
    </row>
    <row r="97" spans="2:9" ht="15">
      <c r="B97" s="616"/>
      <c r="C97" s="616"/>
      <c r="D97" s="616"/>
      <c r="E97" s="616"/>
      <c r="F97" s="616"/>
      <c r="G97" s="614"/>
      <c r="H97" s="614"/>
      <c r="I97" s="614"/>
    </row>
    <row r="98" spans="2:9" ht="15.75">
      <c r="B98" s="613" t="s">
        <v>857</v>
      </c>
      <c r="C98" s="616"/>
      <c r="D98" s="616"/>
      <c r="E98" s="616"/>
      <c r="F98" s="616"/>
      <c r="G98" s="614"/>
      <c r="H98" s="614"/>
      <c r="I98" s="614"/>
    </row>
    <row r="99" spans="2:9" ht="15.75">
      <c r="B99" s="613" t="s">
        <v>858</v>
      </c>
      <c r="C99" s="616"/>
      <c r="D99" s="616"/>
      <c r="E99" s="616"/>
      <c r="F99" s="616"/>
      <c r="G99" s="614"/>
      <c r="H99" s="614"/>
      <c r="I99" s="614"/>
    </row>
    <row r="100" spans="2:9" ht="15">
      <c r="B100" s="616"/>
      <c r="C100" s="616"/>
      <c r="D100" s="616"/>
      <c r="E100" s="616"/>
      <c r="F100" s="616"/>
      <c r="G100" s="614"/>
      <c r="H100" s="614"/>
      <c r="I100" s="614"/>
    </row>
    <row r="101" spans="2:9" ht="15.75">
      <c r="B101" s="613" t="s">
        <v>859</v>
      </c>
      <c r="C101" s="616"/>
      <c r="D101" s="616"/>
      <c r="E101" s="616"/>
      <c r="F101" s="616"/>
      <c r="G101" s="614"/>
      <c r="H101" s="614"/>
      <c r="I101" s="614"/>
    </row>
    <row r="102" spans="2:9" ht="15.75">
      <c r="B102" s="613" t="s">
        <v>860</v>
      </c>
      <c r="C102" s="616"/>
      <c r="D102" s="616"/>
      <c r="E102" s="616"/>
      <c r="F102" s="616"/>
      <c r="G102" s="614"/>
      <c r="H102" s="614"/>
      <c r="I102" s="614"/>
    </row>
    <row r="103" spans="2:9" ht="15.75">
      <c r="B103" s="613" t="s">
        <v>861</v>
      </c>
      <c r="C103" s="616"/>
      <c r="D103" s="616"/>
      <c r="E103" s="616"/>
      <c r="F103" s="616"/>
      <c r="G103" s="614"/>
      <c r="H103" s="614"/>
      <c r="I103" s="614"/>
    </row>
    <row r="104" spans="2:9" ht="15.75">
      <c r="B104" s="613" t="s">
        <v>862</v>
      </c>
      <c r="C104" s="616"/>
      <c r="D104" s="616"/>
      <c r="E104" s="616"/>
      <c r="F104" s="616"/>
      <c r="G104" s="614"/>
      <c r="H104" s="614"/>
      <c r="I104" s="614"/>
    </row>
    <row r="105" spans="2:9" ht="15.75">
      <c r="B105" s="747" t="s">
        <v>942</v>
      </c>
      <c r="C105" s="748"/>
      <c r="D105" s="748"/>
      <c r="E105" s="748"/>
      <c r="F105" s="748"/>
      <c r="G105" s="614"/>
      <c r="H105" s="614"/>
      <c r="I105" s="614"/>
    </row>
    <row r="108" ht="15">
      <c r="G108" s="61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dimension ref="A1:A22"/>
  <sheetViews>
    <sheetView zoomScalePageLayoutView="0" workbookViewId="0" topLeftCell="A1">
      <selection activeCell="B2" sqref="B2"/>
    </sheetView>
  </sheetViews>
  <sheetFormatPr defaultColWidth="8.796875" defaultRowHeight="15.75"/>
  <cols>
    <col min="1" max="1" width="62.3984375" style="109" customWidth="1"/>
    <col min="2" max="16384" width="8.796875" style="109" customWidth="1"/>
  </cols>
  <sheetData>
    <row r="1" ht="20.2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31.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4" t="s">
        <v>792</v>
      </c>
    </row>
    <row r="2" spans="1:10" ht="31.5" customHeight="1">
      <c r="A2" s="772" t="s">
        <v>394</v>
      </c>
      <c r="B2" s="773"/>
      <c r="C2" s="773"/>
      <c r="D2" s="773"/>
      <c r="E2" s="773"/>
      <c r="F2" s="773"/>
      <c r="J2" s="574" t="s">
        <v>793</v>
      </c>
    </row>
    <row r="3" ht="15.75">
      <c r="J3" s="574" t="s">
        <v>794</v>
      </c>
    </row>
    <row r="4" spans="1:10" ht="15.75">
      <c r="A4" s="1" t="s">
        <v>804</v>
      </c>
      <c r="B4" s="575" t="s">
        <v>968</v>
      </c>
      <c r="J4" s="574" t="s">
        <v>795</v>
      </c>
    </row>
    <row r="5" spans="1:10" ht="15.75">
      <c r="A5" s="1"/>
      <c r="B5" s="576"/>
      <c r="J5" s="574" t="s">
        <v>796</v>
      </c>
    </row>
    <row r="6" spans="1:10" ht="15.75">
      <c r="A6" s="1" t="s">
        <v>805</v>
      </c>
      <c r="B6" s="575" t="s">
        <v>977</v>
      </c>
      <c r="J6" s="574" t="s">
        <v>797</v>
      </c>
    </row>
    <row r="7" spans="4:10" ht="15.75">
      <c r="D7" s="370"/>
      <c r="J7" s="574" t="s">
        <v>798</v>
      </c>
    </row>
    <row r="8" spans="1:10" ht="15.75">
      <c r="A8" s="215" t="s">
        <v>389</v>
      </c>
      <c r="B8" s="371" t="s">
        <v>976</v>
      </c>
      <c r="C8" s="372"/>
      <c r="D8" s="215" t="s">
        <v>791</v>
      </c>
      <c r="J8" s="574" t="s">
        <v>799</v>
      </c>
    </row>
    <row r="9" spans="1:10" ht="15.75">
      <c r="A9" s="215"/>
      <c r="B9" s="373"/>
      <c r="C9" s="374"/>
      <c r="D9" s="577" t="str">
        <f>IF(B8="","",CONCATENATE("Latest date for notice to be published in your newspaper: ",G19," ",G23,", ",G24))</f>
        <v>Latest date for notice to be published in your newspaper: August 12, 2013</v>
      </c>
      <c r="J9" s="574" t="s">
        <v>800</v>
      </c>
    </row>
    <row r="10" spans="1:10" ht="15.75">
      <c r="A10" s="215" t="s">
        <v>390</v>
      </c>
      <c r="B10" s="371" t="s">
        <v>966</v>
      </c>
      <c r="C10" s="375"/>
      <c r="D10" s="215"/>
      <c r="J10" s="574" t="s">
        <v>801</v>
      </c>
    </row>
    <row r="11" spans="1:10" ht="15.75">
      <c r="A11" s="215"/>
      <c r="B11" s="215"/>
      <c r="C11" s="215"/>
      <c r="D11" s="215"/>
      <c r="J11" s="574" t="s">
        <v>802</v>
      </c>
    </row>
    <row r="12" spans="1:10" ht="15.75">
      <c r="A12" s="215" t="s">
        <v>391</v>
      </c>
      <c r="B12" s="376" t="s">
        <v>967</v>
      </c>
      <c r="C12" s="376"/>
      <c r="D12" s="376"/>
      <c r="E12" s="377"/>
      <c r="J12" s="574" t="s">
        <v>803</v>
      </c>
    </row>
    <row r="13" spans="1:4" ht="15.75">
      <c r="A13" s="215"/>
      <c r="B13" s="215"/>
      <c r="C13" s="215"/>
      <c r="D13" s="215"/>
    </row>
    <row r="14" spans="1:4" ht="15.75">
      <c r="A14" s="215"/>
      <c r="B14" s="215"/>
      <c r="C14" s="215"/>
      <c r="D14" s="215"/>
    </row>
    <row r="15" spans="1:5" ht="15.75">
      <c r="A15" s="215" t="s">
        <v>392</v>
      </c>
      <c r="B15" s="376" t="s">
        <v>946</v>
      </c>
      <c r="C15" s="376"/>
      <c r="D15" s="376"/>
      <c r="E15" s="377"/>
    </row>
    <row r="18" spans="1:5" ht="15.75">
      <c r="A18" s="774" t="s">
        <v>395</v>
      </c>
      <c r="B18" s="774"/>
      <c r="C18" s="215"/>
      <c r="D18" s="215"/>
      <c r="E18" s="215"/>
    </row>
    <row r="19" spans="1:7" ht="15.75">
      <c r="A19" s="215"/>
      <c r="B19" s="215"/>
      <c r="C19" s="215"/>
      <c r="D19" s="215"/>
      <c r="E19" s="215"/>
      <c r="G19" s="574" t="str">
        <f ca="1">IF(B8="","",INDIRECT(G20))</f>
        <v>August</v>
      </c>
    </row>
    <row r="20" spans="1:7" ht="15.75">
      <c r="A20" s="215" t="s">
        <v>389</v>
      </c>
      <c r="B20" s="373" t="s">
        <v>393</v>
      </c>
      <c r="C20" s="215"/>
      <c r="D20" s="215"/>
      <c r="E20" s="215"/>
      <c r="G20" s="578" t="str">
        <f>IF(B8="","",CONCATENATE("J",G22))</f>
        <v>J8</v>
      </c>
    </row>
    <row r="21" spans="1:7" ht="15.75">
      <c r="A21" s="215"/>
      <c r="B21" s="215"/>
      <c r="C21" s="215"/>
      <c r="D21" s="215"/>
      <c r="E21" s="215"/>
      <c r="G21" s="579">
        <f>B8-10</f>
        <v>41498</v>
      </c>
    </row>
    <row r="22" spans="1:7" ht="15.75">
      <c r="A22" s="215" t="s">
        <v>390</v>
      </c>
      <c r="B22" s="215" t="s">
        <v>396</v>
      </c>
      <c r="C22" s="215"/>
      <c r="D22" s="215"/>
      <c r="E22" s="215"/>
      <c r="G22" s="580">
        <f>IF(B8="","",MONTH(G21))</f>
        <v>8</v>
      </c>
    </row>
    <row r="23" spans="1:7" ht="15.75">
      <c r="A23" s="215"/>
      <c r="B23" s="215"/>
      <c r="C23" s="215"/>
      <c r="D23" s="215"/>
      <c r="E23" s="215"/>
      <c r="G23" s="581">
        <f>IF(B8="","",DAY(G21))</f>
        <v>12</v>
      </c>
    </row>
    <row r="24" spans="1:7" ht="15.75">
      <c r="A24" s="215" t="s">
        <v>391</v>
      </c>
      <c r="B24" s="215" t="s">
        <v>397</v>
      </c>
      <c r="C24" s="215"/>
      <c r="D24" s="215"/>
      <c r="E24" s="215"/>
      <c r="G24" s="582">
        <f>IF(B8="","",YEAR(G21))</f>
        <v>2013</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6" t="s">
        <v>22</v>
      </c>
      <c r="B1" s="786"/>
      <c r="C1" s="786"/>
      <c r="D1" s="786"/>
      <c r="E1" s="786"/>
      <c r="F1" s="786"/>
      <c r="G1" s="65">
        <f>inputPrYr!D9</f>
        <v>2014</v>
      </c>
    </row>
    <row r="2" spans="2:6" s="65" customFormat="1" ht="15.75">
      <c r="B2" s="66"/>
      <c r="C2" s="66"/>
      <c r="D2" s="66"/>
      <c r="E2" s="66"/>
      <c r="F2" s="67"/>
    </row>
    <row r="3" spans="1:6" s="65" customFormat="1" ht="15.75">
      <c r="A3" s="795" t="str">
        <f>CONCATENATE("To the Clerk of ",inputPrYr!D4,", State of Kansas")</f>
        <v>To the Clerk of Brown County, State of Kansas</v>
      </c>
      <c r="B3" s="782"/>
      <c r="C3" s="782"/>
      <c r="D3" s="782"/>
      <c r="E3" s="782"/>
      <c r="F3" s="782"/>
    </row>
    <row r="4" spans="1:6" s="65" customFormat="1" ht="15.75">
      <c r="A4" s="795" t="s">
        <v>104</v>
      </c>
      <c r="B4" s="797"/>
      <c r="C4" s="797"/>
      <c r="D4" s="797"/>
      <c r="E4" s="797"/>
      <c r="F4" s="797"/>
    </row>
    <row r="5" spans="1:6" s="65" customFormat="1" ht="15.75">
      <c r="A5" s="798" t="str">
        <f>inputPrYr!D3</f>
        <v>Padonia Township</v>
      </c>
      <c r="B5" s="797"/>
      <c r="C5" s="797"/>
      <c r="D5" s="797"/>
      <c r="E5" s="797"/>
      <c r="F5" s="797"/>
    </row>
    <row r="6" spans="1:6" s="65" customFormat="1" ht="15.75">
      <c r="A6" s="793" t="s">
        <v>102</v>
      </c>
      <c r="B6" s="794"/>
      <c r="C6" s="794"/>
      <c r="D6" s="794"/>
      <c r="E6" s="794"/>
      <c r="F6" s="794"/>
    </row>
    <row r="7" spans="1:6" s="65" customFormat="1" ht="15.75" customHeight="1">
      <c r="A7" s="795" t="s">
        <v>103</v>
      </c>
      <c r="B7" s="796"/>
      <c r="C7" s="796"/>
      <c r="D7" s="796"/>
      <c r="E7" s="796"/>
      <c r="F7" s="796"/>
    </row>
    <row r="8" spans="1:6" s="65" customFormat="1" ht="15.75" customHeight="1">
      <c r="A8" s="795" t="str">
        <f>CONCATENATE("maximum expenditures for the various funds for the year ",G1,"; and (3) the")</f>
        <v>maximum expenditures for the various funds for the year 2014; and (3) the</v>
      </c>
      <c r="B8" s="797"/>
      <c r="C8" s="797"/>
      <c r="D8" s="797"/>
      <c r="E8" s="797"/>
      <c r="F8" s="797"/>
    </row>
    <row r="9" spans="1:6" s="65" customFormat="1" ht="15.75" customHeight="1">
      <c r="A9" s="795" t="str">
        <f>CONCATENATE("Amount(s) of ",G1-1," Ad Valorem Tax are within statutory limitations for the ",G1," Budget.")</f>
        <v>Amount(s) of 2013 Ad Valorem Tax are within statutory limitations for the 2014 Budget.</v>
      </c>
      <c r="B9" s="797"/>
      <c r="C9" s="797"/>
      <c r="D9" s="797"/>
      <c r="E9" s="797"/>
      <c r="F9" s="797"/>
    </row>
    <row r="10" spans="4:6" s="65" customFormat="1" ht="15.75" customHeight="1">
      <c r="D10" s="70"/>
      <c r="E10" s="70"/>
      <c r="F10" s="70"/>
    </row>
    <row r="11" spans="3:6" s="65" customFormat="1" ht="15.75">
      <c r="C11" s="71"/>
      <c r="D11" s="790" t="str">
        <f>CONCATENATE("",G1," Adopted Budget")</f>
        <v>2014 Adopted Budget</v>
      </c>
      <c r="E11" s="791"/>
      <c r="F11" s="792"/>
    </row>
    <row r="12" spans="1:6" s="65" customFormat="1" ht="15.75">
      <c r="A12" s="72"/>
      <c r="C12" s="70"/>
      <c r="D12" s="73" t="s">
        <v>247</v>
      </c>
      <c r="E12" s="787" t="str">
        <f>CONCATENATE("Amount of ",G1-1," Ad Valorem Tax")</f>
        <v>Amount of 2013 Ad Valorem Tax</v>
      </c>
      <c r="F12" s="74" t="s">
        <v>248</v>
      </c>
    </row>
    <row r="13" spans="3:6" s="65" customFormat="1" ht="15.75">
      <c r="C13" s="74" t="s">
        <v>249</v>
      </c>
      <c r="D13" s="501" t="s">
        <v>177</v>
      </c>
      <c r="E13" s="788"/>
      <c r="F13" s="76" t="s">
        <v>250</v>
      </c>
    </row>
    <row r="14" spans="1:6" s="65" customFormat="1" ht="15.75">
      <c r="A14" s="77" t="s">
        <v>251</v>
      </c>
      <c r="B14" s="78"/>
      <c r="C14" s="79" t="s">
        <v>252</v>
      </c>
      <c r="D14" s="502" t="s">
        <v>730</v>
      </c>
      <c r="E14" s="789"/>
      <c r="F14" s="79" t="s">
        <v>254</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781</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255</v>
      </c>
      <c r="B20" s="87" t="s">
        <v>256</v>
      </c>
      <c r="C20" s="88"/>
      <c r="F20" s="89"/>
    </row>
    <row r="21" spans="1:6" s="65" customFormat="1" ht="15.75">
      <c r="A21" s="90" t="str">
        <f>inputPrYr!B20</f>
        <v>General</v>
      </c>
      <c r="B21" s="91" t="str">
        <f>inputPrYr!C20</f>
        <v>79-1962</v>
      </c>
      <c r="C21" s="92">
        <f>IF(gen!C53&gt;0,gen!C53,"  ")</f>
        <v>6</v>
      </c>
      <c r="D21" s="583">
        <f>IF(gen!$E$42&lt;&gt;0,gen!$E$42,"  ")</f>
        <v>5290</v>
      </c>
      <c r="E21" s="583">
        <f>IF(gen!$E$49&lt;&gt;0,gen!$E$49,0)</f>
        <v>1719</v>
      </c>
      <c r="F21" s="584" t="str">
        <f>IF(AND(gen!E49=0,$B$47&gt;=0)," ",IF(AND(E21&gt;0,$B$47=0)," ",IF(AND(E21&gt;0,$B$47&gt;0),ROUND(E21/$B$47*1000,3))))</f>
        <v> </v>
      </c>
    </row>
    <row r="22" spans="1:6" s="65" customFormat="1" ht="15.75">
      <c r="A22" s="90" t="s">
        <v>314</v>
      </c>
      <c r="B22" s="91" t="str">
        <f>IF(inputPrYr!C21&gt;0,inputPrYr!C21,"")</f>
        <v>10-113</v>
      </c>
      <c r="C22" s="92" t="str">
        <f>IF(blank1!C83&gt;0,blank1!C83,"  ")</f>
        <v>  </v>
      </c>
      <c r="D22" s="583" t="str">
        <f>IF(blank1!E33&lt;&gt;0,blank1!E33,"  ")</f>
        <v>  </v>
      </c>
      <c r="E22" s="583" t="str">
        <f>IF(blank1!E40&lt;&gt;0,blank1!E40,"  ")</f>
        <v>  </v>
      </c>
      <c r="F22" s="584" t="str">
        <f>IF(AND(blank1!E40=0,$B$47&gt;=0)," ",IF(AND(E22&gt;0,$B$47=0)," ",IF(AND(E22&gt;0,$B$47&gt;0),ROUND(E22/$B$47*1000,3))))</f>
        <v> </v>
      </c>
    </row>
    <row r="23" spans="1:6" s="65" customFormat="1" ht="15.75">
      <c r="A23" s="90" t="str">
        <f>IF(inputPrYr!$B22&gt;"  ",inputPrYr!$B22,"  ")</f>
        <v>Library</v>
      </c>
      <c r="B23" s="91" t="str">
        <f>IF(inputPrYr!C22&gt;0,inputPrYr!C22,"")</f>
        <v>12-1220</v>
      </c>
      <c r="C23" s="92" t="str">
        <f>IF(blank1!C83&gt;0,blank1!C83,"  ")</f>
        <v>  </v>
      </c>
      <c r="D23" s="583" t="str">
        <f>IF(blank1!E73&lt;&gt;0,blank1!E73,"  ")</f>
        <v>  </v>
      </c>
      <c r="E23" s="583" t="str">
        <f>IF(blank1!E80&lt;&gt;0,blank1!E80,"  ")</f>
        <v>  </v>
      </c>
      <c r="F23" s="584" t="str">
        <f>IF(AND(blank1!E80=0,$B$47&gt;=0)," ",IF(AND(E23&gt;0,$B$47=0)," ",IF(AND(E23&gt;0,$B$47&gt;0),ROUND(E23/$B$47*1000,3))))</f>
        <v> </v>
      </c>
    </row>
    <row r="24" spans="1:6" s="65" customFormat="1" ht="15.75">
      <c r="A24" s="90" t="str">
        <f>IF(inputPrYr!$B23&gt;"  ",inputPrYr!$B23,"  ")</f>
        <v>Road</v>
      </c>
      <c r="B24" s="91" t="str">
        <f>IF(inputPrYr!C23&gt;0,inputPrYr!C23,"  ")</f>
        <v>68-518c</v>
      </c>
      <c r="C24" s="92">
        <f>IF(road!C65&gt;0,road!C65,"  ")</f>
        <v>7</v>
      </c>
      <c r="D24" s="583">
        <f>IF(road!$E$41&lt;&gt;0,road!$E$41,"  ")</f>
        <v>83949</v>
      </c>
      <c r="E24" s="583">
        <f>IF(road!$E$48&lt;&gt;0,road!$E$48,"  ")</f>
        <v>72002</v>
      </c>
      <c r="F24" s="584" t="str">
        <f>IF(AND(road!E48=0,$B$44&gt;=0)," ",IF(AND(E24&gt;0,$B$44=0)," ",IF(AND(E24&gt;0,$B$44&gt;0),ROUND(E24/$B$44*1000,3))))</f>
        <v> </v>
      </c>
    </row>
    <row r="25" spans="1:6" s="65" customFormat="1" ht="15.75">
      <c r="A25" s="90" t="str">
        <f>IF(inputPrYr!$B24&gt;"  ",inputPrYr!$B24,"  ")</f>
        <v>Special Road</v>
      </c>
      <c r="B25" s="91" t="str">
        <f>IF(inputPrYr!C24&gt;0,inputPrYr!C24,"  ")</f>
        <v>80-1413</v>
      </c>
      <c r="C25" s="92" t="str">
        <f>IF(blank!C81&gt;0,blank!C81,"  ")</f>
        <v>  </v>
      </c>
      <c r="D25" s="583" t="str">
        <f>IF(blank!$E$33&lt;&gt;0,blank!$E$33,"  ")</f>
        <v>  </v>
      </c>
      <c r="E25" s="583" t="str">
        <f>IF(blank!$E$40&lt;&gt;0,blank!$E$40,"  ")</f>
        <v>  </v>
      </c>
      <c r="F25" s="584" t="str">
        <f>IF(AND(blank!E40=0,$B$44&gt;=0)," ",IF(AND(E25&gt;0,$B$44=0)," ",IF(AND(E25&gt;0,$B$44&gt;0),ROUND(E25/$B$44*1000,3))))</f>
        <v> </v>
      </c>
    </row>
    <row r="26" spans="1:6" s="65" customFormat="1" ht="15.75">
      <c r="A26" s="90" t="str">
        <f>IF(inputPrYr!$B25&gt;"  ",inputPrYr!$B25,"  ")</f>
        <v>Noxious Weed</v>
      </c>
      <c r="B26" s="91" t="str">
        <f>IF(inputPrYr!C25&gt;0,inputPrYr!C25,"  ")</f>
        <v>2-1318</v>
      </c>
      <c r="C26" s="92" t="str">
        <f>IF(blank!C81&gt;0,blank!C81,"  ")</f>
        <v>  </v>
      </c>
      <c r="D26" s="583" t="str">
        <f>IF(blank!$E$73&lt;&gt;0,blank!$E$73,"  ")</f>
        <v>  </v>
      </c>
      <c r="E26" s="583" t="str">
        <f>IF(blank!$E$80&lt;&gt;0,blank!$E$80,"  ")</f>
        <v>  </v>
      </c>
      <c r="F26" s="584" t="str">
        <f>IF(AND(blank!E80=0,$B$44&gt;=0)," ",IF(AND(E26&gt;0,$B$44=0)," ",IF(AND(E26&gt;0,$B$44&gt;0),ROUND(E26/$B$44*1000,3))))</f>
        <v> </v>
      </c>
    </row>
    <row r="27" spans="1:6" s="65" customFormat="1" ht="15.75">
      <c r="A27" s="90" t="str">
        <f>IF(inputPrYr!$B26&gt;"  ",inputPrYr!$B26,"  ")</f>
        <v>Fire Protection</v>
      </c>
      <c r="B27" s="91" t="str">
        <f>IF(inputPrYr!C26&gt;0,inputPrYr!C26,"  ")</f>
        <v>80-1503</v>
      </c>
      <c r="C27" s="92">
        <f>IF(Fire!C69&gt;0,Fire!C69,"  ")</f>
        <v>8</v>
      </c>
      <c r="D27" s="583">
        <f>IF(Fire!$E$28&lt;&gt;0,Fire!$E$28,"  ")</f>
        <v>5300</v>
      </c>
      <c r="E27" s="583">
        <f>IF(Fire!$E$35&lt;&gt;0,Fire!$E$35,"  ")</f>
        <v>4734</v>
      </c>
      <c r="F27" s="584" t="str">
        <f>IF(AND(Fire!$E$35=0,$B$44&gt;=0)," ",IF(AND(E27&gt;0,$B$44=0)," ",IF(AND(E27&gt;0,$B$44&gt;0),ROUND(E27/$B$44*1000,3))))</f>
        <v> </v>
      </c>
    </row>
    <row r="28" spans="1:6" s="65" customFormat="1" ht="15.75">
      <c r="A28" s="90" t="str">
        <f>IF(inputPrYr!$B27&gt;"  ",inputPrYr!$B27,"  ")</f>
        <v>  </v>
      </c>
      <c r="B28" s="91" t="str">
        <f>IF(inputPrYr!C27&gt;0,inputPrYr!C27,"  ")</f>
        <v>  </v>
      </c>
      <c r="C28" s="92">
        <f>IF(Fire!C69&gt;0,Fire!C69,"  ")</f>
        <v>8</v>
      </c>
      <c r="D28" s="583" t="str">
        <f>IF(Fire!$E$61&lt;&gt;0,Fire!$E$61,"  ")</f>
        <v>  </v>
      </c>
      <c r="E28" s="583" t="str">
        <f>IF(Fire!$E$68&lt;&gt;0,Fire!$E$68,"  ")</f>
        <v>  </v>
      </c>
      <c r="F28" s="584" t="str">
        <f>IF(AND(Fire!$E$68=0,$B$47&gt;=0),"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3" t="str">
        <f>IF(levypage11!$E$33&lt;&gt;0,levypage11!$E$33,"  ")</f>
        <v>  </v>
      </c>
      <c r="E29" s="583" t="str">
        <f>IF(levypage11!$E$40&lt;&gt;0,levypage11!$E$40,"  ")</f>
        <v>  </v>
      </c>
      <c r="F29" s="584"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3" t="str">
        <f>IF(levypage11!$E$73&lt;&gt;0,levypage11!$E$73,"  ")</f>
        <v>  </v>
      </c>
      <c r="E30" s="583" t="str">
        <f>IF(levypage11!$E$80&lt;&gt;0,levypage11!$E$80,"  ")</f>
        <v>  </v>
      </c>
      <c r="F30" s="584"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3" t="str">
        <f>IF(levypage12!$E$33&lt;&gt;0,levypage12!$E$33,"  ")</f>
        <v>  </v>
      </c>
      <c r="E31" s="583" t="str">
        <f>IF(levypage12!$E$40&lt;&gt;0,levypage12!$E$40,"  ")</f>
        <v>  </v>
      </c>
      <c r="F31" s="584"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3" t="str">
        <f>IF(levypage12!$E$73&lt;&gt;0,levypage12!$E$73,"  ")</f>
        <v>  </v>
      </c>
      <c r="E32" s="583" t="str">
        <f>IF(levypage12!$E$80&lt;&gt;0,levypage12!$E$80,"  ")</f>
        <v>  </v>
      </c>
      <c r="F32" s="584" t="str">
        <f>IF(AND(levypage12!$E$80=0,$B$47&gt;=0)," ",IF(AND(E32&gt;0,$B$47=0)," ",IF(AND(E32&gt;0,$B$47&gt;0),ROUND(E32/$B$47*1000,3))))</f>
        <v> </v>
      </c>
    </row>
    <row r="33" spans="1:6" s="65" customFormat="1" ht="15.75">
      <c r="A33" s="94" t="str">
        <f>IF(inputPrYr!$B35&gt;"  ",inputPrYr!$B35,"  ")</f>
        <v>  </v>
      </c>
      <c r="B33" s="95"/>
      <c r="C33" s="96" t="str">
        <f>IF(nolevypage13!$C$65&gt;0,nolevypage13!$C$65,"  ")</f>
        <v>  </v>
      </c>
      <c r="D33" s="583" t="str">
        <f>IF(nolevypage13!$E$28&lt;&gt;0,nolevypage13!$E$28,"  ")</f>
        <v>  </v>
      </c>
      <c r="E33" s="583"/>
      <c r="F33" s="584"/>
    </row>
    <row r="34" spans="1:6" s="65" customFormat="1" ht="15.75">
      <c r="A34" s="94" t="str">
        <f>IF(inputPrYr!$B36&gt;"  ",inputPrYr!$B36,"  ")</f>
        <v>  </v>
      </c>
      <c r="B34" s="97"/>
      <c r="C34" s="96" t="str">
        <f>IF(nolevypage13!$C$65&gt;0,nolevypage13!$C$65,"  ")</f>
        <v>  </v>
      </c>
      <c r="D34" s="583" t="str">
        <f>IF(nolevypage13!$E$59&lt;&gt;0,nolevypage13!$E$59,"  ")</f>
        <v>  </v>
      </c>
      <c r="E34" s="583"/>
      <c r="F34" s="584"/>
    </row>
    <row r="35" spans="1:6" s="65" customFormat="1" ht="15.75">
      <c r="A35" s="94" t="str">
        <f>IF(inputPrYr!$B37&gt;"  ",inputPrYr!$B37,"  ")</f>
        <v>  </v>
      </c>
      <c r="B35" s="95"/>
      <c r="C35" s="96" t="str">
        <f>IF(nolevypage14!$C$65&gt;0,nolevypage14!$C$65,"  ")</f>
        <v>  </v>
      </c>
      <c r="D35" s="583" t="str">
        <f>IF(nolevypage14!$E$28&lt;&gt;0,nolevypage14!$E$28,"  ")</f>
        <v>  </v>
      </c>
      <c r="E35" s="583"/>
      <c r="F35" s="584"/>
    </row>
    <row r="36" spans="1:6" s="65" customFormat="1" ht="15.75">
      <c r="A36" s="94" t="str">
        <f>IF(inputPrYr!$B38&gt;"  ",inputPrYr!$B38,"  ")</f>
        <v>  </v>
      </c>
      <c r="B36" s="95"/>
      <c r="C36" s="96" t="str">
        <f>IF(nolevypage14!$C$65&gt;0,nolevypage14!$C$65,"  ")</f>
        <v>  </v>
      </c>
      <c r="D36" s="583" t="str">
        <f>IF(nolevypage14!$E$59&lt;&gt;0,nolevypage14!$E$59,"  ")</f>
        <v>  </v>
      </c>
      <c r="E36" s="583"/>
      <c r="F36" s="584"/>
    </row>
    <row r="37" spans="1:6" s="65" customFormat="1" ht="15.75">
      <c r="A37" s="94" t="str">
        <f>IF(inputPrYr!B41&gt;"",Reserve!A3,"")</f>
        <v>Non-Budgeted Funds</v>
      </c>
      <c r="B37" s="97"/>
      <c r="C37" s="96">
        <f>IF(Reserve!F33&gt;0,Reserve!F33,"  ")</f>
        <v>9</v>
      </c>
      <c r="D37" s="583"/>
      <c r="E37" s="583"/>
      <c r="F37" s="584"/>
    </row>
    <row r="38" spans="1:6" s="65" customFormat="1" ht="15.75">
      <c r="A38" s="80" t="s">
        <v>257</v>
      </c>
      <c r="B38" s="95"/>
      <c r="C38" s="96">
        <f>IF(road!C65&gt;0,road!C65,"  ")</f>
        <v>7</v>
      </c>
      <c r="D38" s="585"/>
      <c r="E38" s="585"/>
      <c r="F38" s="584"/>
    </row>
    <row r="39" spans="1:6" s="65" customFormat="1" ht="16.5" thickBot="1">
      <c r="A39" s="98" t="s">
        <v>258</v>
      </c>
      <c r="B39" s="89"/>
      <c r="C39" s="99" t="s">
        <v>259</v>
      </c>
      <c r="D39" s="586">
        <f>SUM(D21:D38)</f>
        <v>94539</v>
      </c>
      <c r="E39" s="586">
        <f>SUM(E21:E38)</f>
        <v>78455</v>
      </c>
      <c r="F39" s="587">
        <f>IF(SUM(F21:F38)&gt;0,SUM(F21:F38),"")</f>
      </c>
    </row>
    <row r="40" spans="1:3" s="65" customFormat="1" ht="16.5" thickTop="1">
      <c r="A40" s="85" t="s">
        <v>118</v>
      </c>
      <c r="B40" s="81"/>
      <c r="C40" s="96">
        <f>summ!C41</f>
        <v>10</v>
      </c>
    </row>
    <row r="41" spans="1:5" s="65" customFormat="1" ht="15.75">
      <c r="A41" s="80" t="s">
        <v>173</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75" t="s">
        <v>76</v>
      </c>
      <c r="C43" s="776"/>
      <c r="D43" s="106"/>
      <c r="F43" s="72" t="s">
        <v>260</v>
      </c>
    </row>
    <row r="44" spans="1:6" s="65" customFormat="1" ht="15.75">
      <c r="A44" s="80" t="str">
        <f>inputPrYr!D3</f>
        <v>Padonia Township</v>
      </c>
      <c r="B44" s="777"/>
      <c r="C44" s="778"/>
      <c r="D44" s="107"/>
      <c r="F44" s="72"/>
    </row>
    <row r="45" spans="1:6" s="65" customFormat="1" ht="15.75">
      <c r="A45" s="80" t="str">
        <f>inputPrYr!D6</f>
        <v>Padonia</v>
      </c>
      <c r="B45" s="777"/>
      <c r="C45" s="785"/>
      <c r="D45" s="107"/>
      <c r="F45" s="72"/>
    </row>
    <row r="46" spans="1:6" s="65" customFormat="1" ht="15.75">
      <c r="A46" s="80">
        <f>inputPrYr!D7</f>
        <v>0</v>
      </c>
      <c r="B46" s="777"/>
      <c r="C46" s="785"/>
      <c r="D46" s="107"/>
      <c r="F46" s="72"/>
    </row>
    <row r="47" spans="1:6" s="65" customFormat="1" ht="15.75">
      <c r="A47" s="80" t="s">
        <v>184</v>
      </c>
      <c r="B47" s="783">
        <f>SUM(B44:C46)</f>
        <v>0</v>
      </c>
      <c r="C47" s="784"/>
      <c r="D47" s="107"/>
      <c r="F47" s="72"/>
    </row>
    <row r="48" spans="1:6" s="65" customFormat="1" ht="15.75">
      <c r="A48" s="108"/>
      <c r="B48" s="779" t="str">
        <f>CONCATENATE("Nov. 1, ",G1-1," Valuation")</f>
        <v>Nov. 1, 2013 Valuation</v>
      </c>
      <c r="C48" s="780"/>
      <c r="D48" s="106"/>
      <c r="F48" s="72"/>
    </row>
    <row r="49" spans="1:6" s="65" customFormat="1" ht="15.75">
      <c r="A49" s="108" t="s">
        <v>261</v>
      </c>
      <c r="D49" s="71"/>
      <c r="F49" s="72"/>
    </row>
    <row r="50" spans="1:6" s="65" customFormat="1" ht="15.75">
      <c r="A50" s="110"/>
      <c r="D50" s="106"/>
      <c r="E50" s="71"/>
      <c r="F50" s="71"/>
    </row>
    <row r="51" spans="1:2" s="65" customFormat="1" ht="15.75">
      <c r="A51" s="111"/>
      <c r="B51" s="70"/>
    </row>
    <row r="52" spans="1:6" s="65" customFormat="1" ht="15.75">
      <c r="A52" s="108" t="s">
        <v>97</v>
      </c>
      <c r="D52" s="71" t="s">
        <v>807</v>
      </c>
      <c r="E52" s="71"/>
      <c r="F52" s="71"/>
    </row>
    <row r="53" spans="1:6" s="65" customFormat="1" ht="15.75">
      <c r="A53" s="110"/>
      <c r="C53" s="72"/>
      <c r="D53" s="71"/>
      <c r="E53" s="71"/>
      <c r="F53" s="71"/>
    </row>
    <row r="54" spans="1:6" s="65" customFormat="1" ht="15.75">
      <c r="A54" s="111"/>
      <c r="B54" s="72"/>
      <c r="D54" s="71" t="s">
        <v>807</v>
      </c>
      <c r="E54" s="70"/>
      <c r="F54" s="70"/>
    </row>
    <row r="55" spans="1:7" ht="15.75">
      <c r="A55" s="108" t="s">
        <v>806</v>
      </c>
      <c r="B55" s="70"/>
      <c r="C55" s="65"/>
      <c r="D55" s="71"/>
      <c r="E55" s="71"/>
      <c r="F55" s="71"/>
      <c r="G55" s="112"/>
    </row>
    <row r="56" spans="1:7" ht="15.75">
      <c r="A56" s="110"/>
      <c r="B56" s="70"/>
      <c r="C56" s="65"/>
      <c r="D56" s="71" t="s">
        <v>807</v>
      </c>
      <c r="E56" s="70"/>
      <c r="F56" s="70"/>
      <c r="G56" s="112"/>
    </row>
    <row r="57" spans="1:7" ht="15.75">
      <c r="A57" s="70"/>
      <c r="B57" s="65"/>
      <c r="C57" s="65"/>
      <c r="D57" s="71"/>
      <c r="E57" s="71"/>
      <c r="F57" s="71"/>
      <c r="G57" s="112"/>
    </row>
    <row r="58" spans="1:7" ht="15.75">
      <c r="A58" s="487" t="s">
        <v>101</v>
      </c>
      <c r="B58" s="116">
        <f>G1-1</f>
        <v>2013</v>
      </c>
      <c r="C58" s="65"/>
      <c r="D58" s="71" t="s">
        <v>807</v>
      </c>
      <c r="E58" s="70"/>
      <c r="F58" s="70"/>
      <c r="G58" s="112"/>
    </row>
    <row r="59" spans="1:7" ht="15.75">
      <c r="A59" s="65"/>
      <c r="B59" s="65"/>
      <c r="C59" s="65"/>
      <c r="D59" s="71"/>
      <c r="E59" s="108"/>
      <c r="F59" s="71"/>
      <c r="G59" s="112"/>
    </row>
    <row r="60" spans="1:7" ht="15.75">
      <c r="A60" s="486"/>
      <c r="B60" s="65"/>
      <c r="C60" s="65"/>
      <c r="D60" s="71" t="s">
        <v>807</v>
      </c>
      <c r="E60" s="71"/>
      <c r="F60" s="71"/>
      <c r="G60" s="112"/>
    </row>
    <row r="61" spans="1:6" ht="15.75">
      <c r="A61" s="68" t="s">
        <v>263</v>
      </c>
      <c r="B61" s="65"/>
      <c r="C61" s="65"/>
      <c r="D61" s="781" t="s">
        <v>262</v>
      </c>
      <c r="E61" s="782"/>
      <c r="F61" s="782"/>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264</v>
      </c>
      <c r="B65" s="114"/>
      <c r="C65" s="114"/>
      <c r="D65" s="114"/>
      <c r="E65" s="114"/>
      <c r="F65" s="65"/>
    </row>
    <row r="66" spans="1:6" ht="15.75">
      <c r="A66" s="115" t="s">
        <v>265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2"/>
      <c r="B69" s="563"/>
      <c r="C69" s="563"/>
      <c r="D69" s="563"/>
      <c r="E69" s="563"/>
      <c r="F69" s="563"/>
    </row>
    <row r="70" spans="1:6" ht="15.75">
      <c r="A70" s="562"/>
      <c r="B70" s="563"/>
      <c r="C70" s="563"/>
      <c r="D70" s="563"/>
      <c r="E70" s="563"/>
      <c r="F70" s="563"/>
    </row>
    <row r="71" spans="1:6" ht="15.75">
      <c r="A71" s="562"/>
      <c r="B71" s="563"/>
      <c r="C71" s="563"/>
      <c r="D71" s="564"/>
      <c r="E71" s="561"/>
      <c r="F71" s="563"/>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Padonia Township</v>
      </c>
      <c r="D1" s="65"/>
      <c r="E1" s="65"/>
      <c r="F1" s="65"/>
      <c r="G1" s="65"/>
      <c r="H1" s="65"/>
      <c r="I1" s="65"/>
      <c r="J1" s="65">
        <f>inputPrYr!D9</f>
        <v>2014</v>
      </c>
    </row>
    <row r="2" spans="1:10" ht="15.75">
      <c r="A2" s="65"/>
      <c r="B2" s="65"/>
      <c r="C2" s="65"/>
      <c r="D2" s="65"/>
      <c r="E2" s="65"/>
      <c r="F2" s="65"/>
      <c r="G2" s="65"/>
      <c r="H2" s="65"/>
      <c r="I2" s="65"/>
      <c r="J2" s="65"/>
    </row>
    <row r="3" spans="1:10" ht="15.75">
      <c r="A3" s="800" t="str">
        <f>CONCATENATE("Computation to Determine Limit for ",J1,"")</f>
        <v>Computation to Determine Limit for 2014</v>
      </c>
      <c r="B3" s="786"/>
      <c r="C3" s="786"/>
      <c r="D3" s="786"/>
      <c r="E3" s="786"/>
      <c r="F3" s="786"/>
      <c r="G3" s="786"/>
      <c r="H3" s="786"/>
      <c r="I3" s="786"/>
      <c r="J3" s="786"/>
    </row>
    <row r="4" spans="1:10" ht="15.75">
      <c r="A4" s="65"/>
      <c r="B4" s="65"/>
      <c r="C4" s="65"/>
      <c r="D4" s="65"/>
      <c r="E4" s="786"/>
      <c r="F4" s="786"/>
      <c r="G4" s="786"/>
      <c r="H4" s="64"/>
      <c r="I4" s="65"/>
      <c r="J4" s="263" t="s">
        <v>32</v>
      </c>
    </row>
    <row r="5" spans="1:10" ht="15.75">
      <c r="A5" s="264" t="s">
        <v>33</v>
      </c>
      <c r="B5" s="65" t="str">
        <f>CONCATENATE("Total Tax Levy Amount in ",J1-1,"")</f>
        <v>Total Tax Levy Amount in 2013</v>
      </c>
      <c r="C5" s="65"/>
      <c r="D5" s="65"/>
      <c r="E5" s="190"/>
      <c r="F5" s="190"/>
      <c r="G5" s="190"/>
      <c r="H5" s="265" t="s">
        <v>279</v>
      </c>
      <c r="I5" s="190" t="s">
        <v>266</v>
      </c>
      <c r="J5" s="266">
        <f>inputPrYr!E32</f>
        <v>77696</v>
      </c>
    </row>
    <row r="6" spans="1:10" ht="15.75">
      <c r="A6" s="264" t="s">
        <v>34</v>
      </c>
      <c r="B6" s="65" t="str">
        <f>CONCATENATE("Debt Service Levy in ",J1-1,"")</f>
        <v>Debt Service Levy in 2013</v>
      </c>
      <c r="C6" s="65"/>
      <c r="D6" s="65"/>
      <c r="E6" s="190"/>
      <c r="F6" s="190"/>
      <c r="G6" s="190"/>
      <c r="H6" s="265" t="s">
        <v>35</v>
      </c>
      <c r="I6" s="190" t="s">
        <v>266</v>
      </c>
      <c r="J6" s="267">
        <f>inputPrYr!E21</f>
        <v>0</v>
      </c>
    </row>
    <row r="7" spans="1:10" ht="15.75">
      <c r="A7" s="264" t="s">
        <v>36</v>
      </c>
      <c r="B7" s="159" t="s">
        <v>59</v>
      </c>
      <c r="C7" s="65"/>
      <c r="D7" s="65"/>
      <c r="E7" s="190"/>
      <c r="F7" s="190"/>
      <c r="G7" s="190"/>
      <c r="H7" s="190"/>
      <c r="I7" s="190" t="s">
        <v>266</v>
      </c>
      <c r="J7" s="268">
        <f>J5-J6</f>
        <v>77696</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2013:</v>
      </c>
      <c r="C11" s="65"/>
      <c r="D11" s="65"/>
      <c r="E11" s="265"/>
      <c r="F11" s="265" t="s">
        <v>279</v>
      </c>
      <c r="G11" s="242">
        <f>inputOth!E16</f>
        <v>9545</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2013:</v>
      </c>
      <c r="C13" s="65"/>
      <c r="D13" s="65"/>
      <c r="E13" s="265"/>
      <c r="F13" s="265"/>
      <c r="G13" s="269"/>
      <c r="H13" s="269"/>
      <c r="I13" s="190"/>
      <c r="J13" s="190"/>
    </row>
    <row r="14" spans="1:10" ht="15.75">
      <c r="A14" s="65"/>
      <c r="B14" s="65" t="s">
        <v>39</v>
      </c>
      <c r="C14" s="65" t="str">
        <f>CONCATENATE("Personal Property ",J1-1,"")</f>
        <v>Personal Property 2013</v>
      </c>
      <c r="D14" s="264" t="s">
        <v>279</v>
      </c>
      <c r="E14" s="242">
        <f>inputOth!E21</f>
        <v>93168</v>
      </c>
      <c r="F14" s="265"/>
      <c r="G14" s="190"/>
      <c r="H14" s="190"/>
      <c r="I14" s="269"/>
      <c r="J14" s="190"/>
    </row>
    <row r="15" spans="1:10" ht="15.75">
      <c r="A15" s="264"/>
      <c r="B15" s="65" t="s">
        <v>40</v>
      </c>
      <c r="C15" s="65" t="str">
        <f>CONCATENATE("Personal Property ",J1-2,"")</f>
        <v>Personal Property 2012</v>
      </c>
      <c r="D15" s="264" t="s">
        <v>35</v>
      </c>
      <c r="E15" s="268">
        <f>inputOth!E31</f>
        <v>89895</v>
      </c>
      <c r="F15" s="265"/>
      <c r="G15" s="269"/>
      <c r="H15" s="269"/>
      <c r="I15" s="190"/>
      <c r="J15" s="190"/>
    </row>
    <row r="16" spans="1:10" ht="15.75">
      <c r="A16" s="264"/>
      <c r="B16" s="65" t="s">
        <v>41</v>
      </c>
      <c r="C16" s="65" t="s">
        <v>60</v>
      </c>
      <c r="D16" s="65"/>
      <c r="E16" s="190"/>
      <c r="F16" s="190" t="s">
        <v>279</v>
      </c>
      <c r="G16" s="242">
        <f>IF(E14&gt;E15,E14-E15,0)</f>
        <v>3273</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2013:</v>
      </c>
      <c r="C18" s="65"/>
      <c r="D18" s="65"/>
      <c r="E18" s="190"/>
      <c r="F18" s="265" t="s">
        <v>279</v>
      </c>
      <c r="G18" s="242">
        <f>inputOth!E26</f>
        <v>46376</v>
      </c>
      <c r="H18" s="190"/>
      <c r="I18" s="190"/>
      <c r="J18" s="190"/>
    </row>
    <row r="19" spans="1:10" ht="15.75">
      <c r="A19" s="65" t="s">
        <v>247</v>
      </c>
      <c r="B19" s="65"/>
      <c r="C19" s="65"/>
      <c r="D19" s="264"/>
      <c r="E19" s="269"/>
      <c r="F19" s="269"/>
      <c r="G19" s="269"/>
      <c r="H19" s="190"/>
      <c r="I19" s="190"/>
      <c r="J19" s="190"/>
    </row>
    <row r="20" spans="1:10" ht="15.75">
      <c r="A20" s="264" t="s">
        <v>43</v>
      </c>
      <c r="B20" s="159" t="s">
        <v>61</v>
      </c>
      <c r="C20" s="65"/>
      <c r="D20" s="65"/>
      <c r="E20" s="190"/>
      <c r="F20" s="190"/>
      <c r="G20" s="242">
        <f>G11+G16+G18</f>
        <v>59194</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1,2013</v>
      </c>
      <c r="C22" s="65"/>
      <c r="D22" s="65"/>
      <c r="E22" s="242">
        <f>inputOth!E11</f>
        <v>6122569</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6063375</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0.009762549735089781</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279</v>
      </c>
      <c r="I28" s="65" t="s">
        <v>266</v>
      </c>
      <c r="J28" s="242">
        <f>ROUND(G26*J7,0)</f>
        <v>759</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266</v>
      </c>
      <c r="J30" s="273">
        <f>J7+J28</f>
        <v>78455</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2014</v>
      </c>
      <c r="C32" s="65"/>
      <c r="D32" s="65"/>
      <c r="E32" s="65"/>
      <c r="F32" s="65"/>
      <c r="G32" s="65"/>
      <c r="H32" s="65"/>
      <c r="I32" s="65"/>
      <c r="J32" s="242">
        <f>blank1!E40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78455</v>
      </c>
    </row>
    <row r="35" spans="1:10" ht="16.5" thickTop="1">
      <c r="A35" s="65"/>
      <c r="B35" s="65"/>
      <c r="C35" s="65"/>
      <c r="D35" s="65"/>
      <c r="E35" s="65"/>
      <c r="F35" s="65"/>
      <c r="G35" s="65"/>
      <c r="H35" s="65"/>
      <c r="I35" s="65"/>
      <c r="J35" s="65"/>
    </row>
    <row r="36" spans="1:10" s="274" customFormat="1" ht="18.75">
      <c r="A36" s="799" t="str">
        <f>CONCATENATE("If the ",J1," budget includes tax levies exceeding the total on line 14, you must")</f>
        <v>If the 2014 budget includes tax levies exceeding the total on line 14, you must</v>
      </c>
      <c r="B36" s="799"/>
      <c r="C36" s="799"/>
      <c r="D36" s="799"/>
      <c r="E36" s="799"/>
      <c r="F36" s="799"/>
      <c r="G36" s="799"/>
      <c r="H36" s="799"/>
      <c r="I36" s="799"/>
      <c r="J36" s="799"/>
    </row>
    <row r="37" spans="1:10" s="274" customFormat="1" ht="18.75">
      <c r="A37" s="799" t="s">
        <v>65</v>
      </c>
      <c r="B37" s="799"/>
      <c r="C37" s="799"/>
      <c r="D37" s="799"/>
      <c r="E37" s="799"/>
      <c r="F37" s="799"/>
      <c r="G37" s="799"/>
      <c r="H37" s="799"/>
      <c r="I37" s="799"/>
      <c r="J37" s="79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Padonia Township</v>
      </c>
      <c r="C1" s="65"/>
      <c r="D1" s="65"/>
      <c r="E1" s="65"/>
      <c r="F1" s="65"/>
      <c r="G1" s="65"/>
      <c r="H1" s="65"/>
      <c r="I1" s="65"/>
      <c r="J1" s="65"/>
      <c r="K1" s="226">
        <f>inputPrYr!D9</f>
        <v>2014</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1" t="s">
        <v>784</v>
      </c>
      <c r="C6" s="782"/>
      <c r="D6" s="782"/>
      <c r="E6" s="782"/>
      <c r="F6" s="782"/>
      <c r="G6" s="782"/>
      <c r="H6" s="782"/>
      <c r="I6" s="782"/>
      <c r="J6" s="782"/>
      <c r="K6" s="782"/>
    </row>
    <row r="7" spans="1:11" ht="16.5">
      <c r="A7" s="65"/>
      <c r="B7" s="786"/>
      <c r="C7" s="802"/>
      <c r="D7" s="802"/>
      <c r="E7" s="802"/>
      <c r="F7" s="802"/>
      <c r="G7" s="802"/>
      <c r="H7" s="802"/>
      <c r="I7" s="802"/>
      <c r="J7" s="802"/>
      <c r="K7" s="802"/>
    </row>
    <row r="8" spans="1:11" ht="15.75">
      <c r="A8" s="65"/>
      <c r="B8" s="65"/>
      <c r="C8" s="228"/>
      <c r="D8" s="228"/>
      <c r="E8" s="228"/>
      <c r="F8" s="228"/>
      <c r="G8" s="229"/>
      <c r="H8" s="66"/>
      <c r="I8" s="66"/>
      <c r="J8" s="65"/>
      <c r="K8" s="65"/>
    </row>
    <row r="9" spans="1:11" ht="21" customHeight="1">
      <c r="A9" s="65"/>
      <c r="B9" s="250" t="s">
        <v>785</v>
      </c>
      <c r="C9" s="230"/>
      <c r="D9" s="568" t="s">
        <v>786</v>
      </c>
      <c r="E9" s="803" t="str">
        <f>CONCATENATE("Budget Tax Levy Rate for ",K1-1,"")</f>
        <v>Budget Tax Levy Rate for 2013</v>
      </c>
      <c r="F9" s="83"/>
      <c r="G9" s="805" t="str">
        <f>CONCATENATE("Allocation for Year ",K1,"")</f>
        <v>Allocation for Year 2014</v>
      </c>
      <c r="H9" s="806"/>
      <c r="I9" s="806"/>
      <c r="J9" s="807"/>
      <c r="K9" s="211"/>
    </row>
    <row r="10" spans="1:11" ht="15.75">
      <c r="A10" s="65"/>
      <c r="B10" s="567" t="str">
        <f>CONCATENATE("for ",K1-1,"")</f>
        <v>for 2013</v>
      </c>
      <c r="C10" s="232"/>
      <c r="D10" s="120" t="str">
        <f>CONCATENATE("Amount for ",K1,"")</f>
        <v>Amount for 2014</v>
      </c>
      <c r="E10" s="804"/>
      <c r="F10" s="79"/>
      <c r="G10" s="79" t="s">
        <v>30</v>
      </c>
      <c r="H10" s="79"/>
      <c r="I10" s="79" t="s">
        <v>31</v>
      </c>
      <c r="J10" s="83" t="s">
        <v>73</v>
      </c>
      <c r="K10" s="211"/>
    </row>
    <row r="11" spans="1:11" ht="15.75">
      <c r="A11" s="65"/>
      <c r="B11" s="90" t="str">
        <f>inputPrYr!B20</f>
        <v>General</v>
      </c>
      <c r="C11" s="233"/>
      <c r="D11" s="90">
        <f>IF(inputPrYr!E20&gt;0,inputPrYr!E20,"  ")</f>
        <v>5952</v>
      </c>
      <c r="E11" s="234">
        <f>IF(inputOth!D37&gt;0,inputOth!D37,"  ")</f>
        <v>1.069</v>
      </c>
      <c r="F11" s="235"/>
      <c r="G11" s="90">
        <f>IF(inputPrYr!E20=0,0,G25-SUM(G12:G22))</f>
        <v>558</v>
      </c>
      <c r="H11" s="236"/>
      <c r="I11" s="90">
        <f>IF(inputPrYr!E20=0,0,I27-SUM(I12:I22))</f>
        <v>7</v>
      </c>
      <c r="J11" s="90">
        <f>IF(inputPrYr!E20=0,0,J29-SUM(J12:J22))</f>
        <v>127</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69758</v>
      </c>
      <c r="E14" s="234">
        <f>IF(inputOth!D40&gt;0,inputOth!D40,"  ")</f>
        <v>12.738</v>
      </c>
      <c r="F14" s="235"/>
      <c r="G14" s="90">
        <f>IF(inputPrYr!E23=0,0,ROUND(D14*$G$31,0))</f>
        <v>6542</v>
      </c>
      <c r="H14" s="236"/>
      <c r="I14" s="90">
        <f>IF(inputPrYr!$E$23=0,0,ROUND($D$14*$I$33,0))</f>
        <v>81</v>
      </c>
      <c r="J14" s="90">
        <f>IF(inputPrYr!E23=0,0,ROUND($D14*$J$35,0))</f>
        <v>1493</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f>IF(inputPrYr!E26&gt;0,inputPrYr!E26,"  ")</f>
        <v>1986</v>
      </c>
      <c r="E17" s="234">
        <f>IF(inputOth!D43&gt;0,inputOth!D43,"  ")</f>
        <v>0.363</v>
      </c>
      <c r="F17" s="235"/>
      <c r="G17" s="90">
        <f>IF(inputPrYr!E26=0,0,ROUND(D17*$G$31,0))</f>
        <v>186</v>
      </c>
      <c r="H17" s="236"/>
      <c r="I17" s="90">
        <f>IF(inputPrYr!$E$26=0,0,ROUND($D$17*$I$33,0))</f>
        <v>2</v>
      </c>
      <c r="J17" s="90">
        <f>IF(inputPrYr!E26=0,0,ROUND($D17*$J$35,0))</f>
        <v>43</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245</v>
      </c>
      <c r="C23" s="237"/>
      <c r="D23" s="238">
        <f aca="true" t="shared" si="0" ref="D23:J23">SUM(D11:D22)</f>
        <v>77696</v>
      </c>
      <c r="E23" s="239">
        <f>SUM(E11:E22)</f>
        <v>14.169999999999998</v>
      </c>
      <c r="F23" s="240"/>
      <c r="G23" s="238">
        <f t="shared" si="0"/>
        <v>7286</v>
      </c>
      <c r="H23" s="238"/>
      <c r="I23" s="238">
        <f t="shared" si="0"/>
        <v>90</v>
      </c>
      <c r="J23" s="238">
        <f t="shared" si="0"/>
        <v>1663</v>
      </c>
      <c r="K23" s="211"/>
    </row>
    <row r="24" spans="1:11" ht="16.5" thickTop="1">
      <c r="A24" s="65"/>
      <c r="B24" s="65"/>
      <c r="C24" s="65"/>
      <c r="D24" s="65"/>
      <c r="E24" s="65"/>
      <c r="F24" s="65"/>
      <c r="G24" s="65"/>
      <c r="H24" s="65"/>
      <c r="I24" s="65"/>
      <c r="J24" s="65"/>
      <c r="K24" s="65"/>
    </row>
    <row r="25" spans="1:11" ht="15.75">
      <c r="A25" s="65"/>
      <c r="B25" s="72" t="s">
        <v>269</v>
      </c>
      <c r="C25" s="208"/>
      <c r="D25" s="65"/>
      <c r="E25" s="65"/>
      <c r="F25" s="65"/>
      <c r="G25" s="241">
        <f>SUM(inputOth!E59,inputOth!E63,inputOth!E67)</f>
        <v>7286</v>
      </c>
      <c r="H25" s="65"/>
      <c r="I25" s="65"/>
      <c r="J25" s="65"/>
      <c r="K25" s="65"/>
    </row>
    <row r="26" spans="1:11" ht="15.75">
      <c r="A26" s="65"/>
      <c r="B26" s="65"/>
      <c r="C26" s="65"/>
      <c r="D26" s="65"/>
      <c r="E26" s="65"/>
      <c r="F26" s="65"/>
      <c r="G26" s="65"/>
      <c r="H26" s="65"/>
      <c r="I26" s="65"/>
      <c r="J26" s="65"/>
      <c r="K26" s="65"/>
    </row>
    <row r="27" spans="1:11" ht="15.75">
      <c r="A27" s="65"/>
      <c r="B27" s="72" t="s">
        <v>270</v>
      </c>
      <c r="C27" s="65"/>
      <c r="D27" s="65"/>
      <c r="E27" s="65"/>
      <c r="F27" s="65"/>
      <c r="G27" s="65"/>
      <c r="H27" s="241">
        <f>inputPrYr!E83</f>
        <v>0</v>
      </c>
      <c r="I27" s="241">
        <f>SUM(inputOth!E60,inputOth!E64,inputOth!E68)</f>
        <v>90</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1663</v>
      </c>
      <c r="K29" s="178"/>
    </row>
    <row r="30" spans="1:11" ht="15.75">
      <c r="A30" s="65"/>
      <c r="B30" s="65"/>
      <c r="C30" s="65"/>
      <c r="D30" s="65"/>
      <c r="E30" s="65"/>
      <c r="F30" s="65"/>
      <c r="G30" s="65"/>
      <c r="H30" s="65"/>
      <c r="I30" s="65"/>
      <c r="J30" s="65"/>
      <c r="K30" s="65"/>
    </row>
    <row r="31" spans="1:11" ht="15.75">
      <c r="A31" s="65"/>
      <c r="B31" s="72" t="s">
        <v>271</v>
      </c>
      <c r="C31" s="65"/>
      <c r="D31" s="65"/>
      <c r="E31" s="65"/>
      <c r="F31" s="65"/>
      <c r="G31" s="243">
        <f>IF(D23=0,0,G25/D23)</f>
        <v>0.09377574135090609</v>
      </c>
      <c r="H31" s="65"/>
      <c r="I31" s="65"/>
      <c r="J31" s="65"/>
      <c r="K31" s="65"/>
    </row>
    <row r="32" spans="1:11" ht="15.75">
      <c r="A32" s="65"/>
      <c r="B32" s="65"/>
      <c r="C32" s="244"/>
      <c r="D32" s="65"/>
      <c r="E32" s="65"/>
      <c r="F32" s="65"/>
      <c r="G32" s="65"/>
      <c r="H32" s="65"/>
      <c r="I32" s="65"/>
      <c r="J32" s="65"/>
      <c r="K32" s="65"/>
    </row>
    <row r="33" spans="1:11" ht="15.75">
      <c r="A33" s="65"/>
      <c r="B33" s="72" t="s">
        <v>272</v>
      </c>
      <c r="C33" s="65"/>
      <c r="D33" s="65"/>
      <c r="E33" s="65"/>
      <c r="F33" s="65"/>
      <c r="G33" s="65"/>
      <c r="H33" s="245">
        <f>IF(D23=0,0,H27/D23)</f>
        <v>0</v>
      </c>
      <c r="I33" s="246">
        <f>IF(D23=0,0,I27/D23)</f>
        <v>0.0011583607907742998</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0.02140393327841845</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2014</v>
      </c>
    </row>
    <row r="2" spans="1:6" ht="15.75">
      <c r="A2" s="122" t="str">
        <f>inputPrYr!D3</f>
        <v>Padonia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86" t="s">
        <v>119</v>
      </c>
      <c r="B5" s="786"/>
      <c r="C5" s="786"/>
      <c r="D5" s="786"/>
      <c r="E5" s="786"/>
      <c r="F5" s="786"/>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2012</v>
      </c>
      <c r="D9" s="255">
        <f>F1-1</f>
        <v>2013</v>
      </c>
      <c r="E9" s="255">
        <f>F1</f>
        <v>2014</v>
      </c>
      <c r="F9" s="255" t="s">
        <v>240</v>
      </c>
    </row>
    <row r="10" spans="1:6" ht="15" customHeight="1" thickTop="1">
      <c r="A10" s="257"/>
      <c r="B10" s="257"/>
      <c r="C10" s="258"/>
      <c r="D10" s="258"/>
      <c r="E10" s="258"/>
      <c r="F10" s="257"/>
    </row>
    <row r="11" spans="1:6" ht="15" customHeight="1">
      <c r="A11" s="207" t="s">
        <v>195</v>
      </c>
      <c r="B11" s="207" t="s">
        <v>257</v>
      </c>
      <c r="C11" s="259">
        <f>gen!$C$35</f>
        <v>0</v>
      </c>
      <c r="D11" s="259">
        <f>gen!$D$35</f>
        <v>0</v>
      </c>
      <c r="E11" s="259">
        <f>gen!$E$35</f>
        <v>0</v>
      </c>
      <c r="F11" s="207">
        <f>IF(C11+D11+E11&gt;0,"80-1406b","")</f>
      </c>
    </row>
    <row r="12" spans="1:6" ht="15" customHeight="1">
      <c r="A12" s="207" t="s">
        <v>195</v>
      </c>
      <c r="B12" s="207" t="s">
        <v>257</v>
      </c>
      <c r="C12" s="259">
        <f>gen!$C$37</f>
        <v>0</v>
      </c>
      <c r="D12" s="259">
        <f>gen!$D$37</f>
        <v>0</v>
      </c>
      <c r="E12" s="259">
        <f>gen!$E$37</f>
        <v>0</v>
      </c>
      <c r="F12" s="207">
        <f>IF(C12+D12+E12&gt;0,"80-122","")</f>
      </c>
    </row>
    <row r="13" spans="1:6" ht="15" customHeight="1">
      <c r="A13" s="207" t="s">
        <v>244</v>
      </c>
      <c r="B13" s="207" t="s">
        <v>257</v>
      </c>
      <c r="C13" s="259">
        <f>road!$C$36</f>
        <v>0</v>
      </c>
      <c r="D13" s="259">
        <f>road!$D$36</f>
        <v>0</v>
      </c>
      <c r="E13" s="259">
        <f>road!$E$36</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245</v>
      </c>
      <c r="C27" s="262">
        <f>SUM(C10:C26)</f>
        <v>0</v>
      </c>
      <c r="D27" s="262">
        <f>SUM(D10:D26)</f>
        <v>0</v>
      </c>
      <c r="E27" s="262">
        <f>SUM(E10:E26)</f>
        <v>0</v>
      </c>
      <c r="F27" s="192"/>
    </row>
    <row r="28" spans="1:6" ht="15.75">
      <c r="A28" s="192"/>
      <c r="B28" s="88" t="s">
        <v>628</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632</v>
      </c>
      <c r="B32" s="391"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C17">
      <selection activeCell="G26" sqref="G26"/>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Padonia Township</v>
      </c>
      <c r="C1" s="276"/>
      <c r="D1" s="276"/>
      <c r="E1" s="276"/>
      <c r="F1" s="276"/>
      <c r="G1" s="276"/>
      <c r="H1" s="276"/>
      <c r="I1" s="276"/>
      <c r="J1" s="65"/>
      <c r="K1" s="65"/>
      <c r="L1" s="226">
        <f>inputPrYr!D9</f>
        <v>2014</v>
      </c>
    </row>
    <row r="2" spans="1:12" ht="15.75">
      <c r="A2" s="300"/>
      <c r="B2" s="275" t="str">
        <f>inputPrYr!$D$4</f>
        <v>Brown County</v>
      </c>
      <c r="C2" s="276"/>
      <c r="D2" s="276"/>
      <c r="E2" s="276"/>
      <c r="F2" s="276"/>
      <c r="G2" s="276"/>
      <c r="H2" s="276"/>
      <c r="I2" s="276"/>
      <c r="J2" s="65"/>
      <c r="K2" s="65"/>
      <c r="L2" s="211"/>
    </row>
    <row r="3" spans="1:12" ht="15.75">
      <c r="A3" s="300"/>
      <c r="B3" s="808" t="s">
        <v>26</v>
      </c>
      <c r="C3" s="797"/>
      <c r="D3" s="797"/>
      <c r="E3" s="797"/>
      <c r="F3" s="797"/>
      <c r="G3" s="797"/>
      <c r="H3" s="797"/>
      <c r="I3" s="797"/>
      <c r="J3" s="797"/>
      <c r="K3" s="797"/>
      <c r="L3" s="797"/>
    </row>
    <row r="4" spans="1:12" ht="15.75">
      <c r="A4" s="300"/>
      <c r="B4" s="276"/>
      <c r="C4" s="276"/>
      <c r="D4" s="276"/>
      <c r="E4" s="276"/>
      <c r="F4" s="276"/>
      <c r="G4" s="276"/>
      <c r="H4" s="276"/>
      <c r="I4" s="276"/>
      <c r="J4" s="276"/>
      <c r="K4" s="276"/>
      <c r="L4" s="276"/>
    </row>
    <row r="5" spans="1:12" ht="15.75">
      <c r="A5" s="300"/>
      <c r="B5" s="230" t="s">
        <v>787</v>
      </c>
      <c r="C5" s="230" t="s">
        <v>6</v>
      </c>
      <c r="D5" s="230" t="s">
        <v>13</v>
      </c>
      <c r="E5" s="230"/>
      <c r="F5" s="230" t="s">
        <v>268</v>
      </c>
      <c r="G5" s="278"/>
      <c r="H5" s="279"/>
      <c r="I5" s="278" t="s">
        <v>7</v>
      </c>
      <c r="J5" s="279"/>
      <c r="K5" s="278" t="s">
        <v>7</v>
      </c>
      <c r="L5" s="279"/>
    </row>
    <row r="6" spans="1:12" ht="15.75">
      <c r="A6" s="300"/>
      <c r="B6" s="280" t="s">
        <v>8</v>
      </c>
      <c r="C6" s="280" t="s">
        <v>8</v>
      </c>
      <c r="D6" s="280" t="s">
        <v>267</v>
      </c>
      <c r="E6" s="280" t="s">
        <v>268</v>
      </c>
      <c r="F6" s="280" t="s">
        <v>74</v>
      </c>
      <c r="G6" s="281" t="s">
        <v>9</v>
      </c>
      <c r="H6" s="282"/>
      <c r="I6" s="281">
        <f>L1-1</f>
        <v>2013</v>
      </c>
      <c r="J6" s="282"/>
      <c r="K6" s="281">
        <f>L1</f>
        <v>2014</v>
      </c>
      <c r="L6" s="282"/>
    </row>
    <row r="7" spans="1:12" ht="15.75">
      <c r="A7" s="300"/>
      <c r="B7" s="232" t="s">
        <v>788</v>
      </c>
      <c r="C7" s="232" t="s">
        <v>10</v>
      </c>
      <c r="D7" s="232" t="s">
        <v>293</v>
      </c>
      <c r="E7" s="232" t="s">
        <v>11</v>
      </c>
      <c r="F7" s="283" t="str">
        <f>CONCATENATE("Jan 1,",L1-1,"")</f>
        <v>Jan 1,2013</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106</v>
      </c>
      <c r="C11" s="292"/>
      <c r="D11" s="293"/>
      <c r="E11" s="262"/>
      <c r="F11" s="177">
        <f>SUM(F9:F10)</f>
        <v>0</v>
      </c>
      <c r="G11" s="294"/>
      <c r="H11" s="294"/>
      <c r="I11" s="177">
        <f>SUM(I9:I10)</f>
        <v>0</v>
      </c>
      <c r="J11" s="177">
        <f>SUM(J9:J10)</f>
        <v>0</v>
      </c>
      <c r="K11" s="177">
        <f>SUM(K9:K10)</f>
        <v>0</v>
      </c>
      <c r="L11" s="177">
        <f>SUM(L9:L10)</f>
        <v>0</v>
      </c>
    </row>
    <row r="12" spans="1:12" ht="15.75">
      <c r="A12" s="300"/>
      <c r="B12" s="207" t="s">
        <v>285</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107</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69"/>
      <c r="D16" s="570"/>
      <c r="E16" s="571"/>
      <c r="F16" s="298">
        <f>SUM(F11+F15)</f>
        <v>0</v>
      </c>
      <c r="G16" s="569"/>
      <c r="H16" s="572"/>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08" t="s">
        <v>25</v>
      </c>
      <c r="C18" s="797"/>
      <c r="D18" s="797"/>
      <c r="E18" s="797"/>
      <c r="F18" s="797"/>
      <c r="G18" s="797"/>
      <c r="H18" s="797"/>
      <c r="I18" s="797"/>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245</v>
      </c>
      <c r="G20" s="206"/>
      <c r="H20" s="206"/>
      <c r="I20" s="206"/>
      <c r="J20" s="304"/>
      <c r="K20" s="305"/>
      <c r="L20" s="300"/>
    </row>
    <row r="21" spans="1:12" s="301" customFormat="1" ht="15.75">
      <c r="A21" s="300"/>
      <c r="B21" s="75"/>
      <c r="C21" s="280"/>
      <c r="D21" s="280" t="s">
        <v>8</v>
      </c>
      <c r="E21" s="280" t="s">
        <v>13</v>
      </c>
      <c r="F21" s="280" t="s">
        <v>268</v>
      </c>
      <c r="G21" s="280" t="s">
        <v>14</v>
      </c>
      <c r="H21" s="280" t="s">
        <v>15</v>
      </c>
      <c r="I21" s="280" t="s">
        <v>15</v>
      </c>
      <c r="J21" s="300"/>
      <c r="K21" s="300"/>
      <c r="L21" s="300"/>
    </row>
    <row r="22" spans="1:12" s="301" customFormat="1" ht="15.75">
      <c r="A22" s="300"/>
      <c r="B22" s="280" t="s">
        <v>789</v>
      </c>
      <c r="C22" s="280" t="s">
        <v>16</v>
      </c>
      <c r="D22" s="280" t="s">
        <v>17</v>
      </c>
      <c r="E22" s="280" t="s">
        <v>267</v>
      </c>
      <c r="F22" s="280" t="s">
        <v>18</v>
      </c>
      <c r="G22" s="280" t="s">
        <v>58</v>
      </c>
      <c r="H22" s="280" t="s">
        <v>19</v>
      </c>
      <c r="I22" s="280" t="s">
        <v>19</v>
      </c>
      <c r="J22" s="300"/>
      <c r="K22" s="300"/>
      <c r="L22" s="300"/>
    </row>
    <row r="23" spans="1:12" s="301" customFormat="1" ht="15.75">
      <c r="A23" s="300"/>
      <c r="B23" s="232" t="s">
        <v>790</v>
      </c>
      <c r="C23" s="232" t="s">
        <v>6</v>
      </c>
      <c r="D23" s="306" t="s">
        <v>20</v>
      </c>
      <c r="E23" s="232" t="s">
        <v>293</v>
      </c>
      <c r="F23" s="306" t="s">
        <v>75</v>
      </c>
      <c r="G23" s="283" t="str">
        <f>CONCATENATE("Jan 1,",L1-1,"")</f>
        <v>Jan 1,2013</v>
      </c>
      <c r="H23" s="232">
        <f>L1-1</f>
        <v>2013</v>
      </c>
      <c r="I23" s="232">
        <f>L1</f>
        <v>2014</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t="s">
        <v>950</v>
      </c>
      <c r="C25" s="288">
        <v>40009</v>
      </c>
      <c r="D25" s="307">
        <v>72</v>
      </c>
      <c r="E25" s="289">
        <v>4.25</v>
      </c>
      <c r="F25" s="171">
        <v>95000</v>
      </c>
      <c r="G25" s="171">
        <f>95000/6*3-333</f>
        <v>47167</v>
      </c>
      <c r="H25" s="171">
        <v>18012</v>
      </c>
      <c r="I25" s="171">
        <v>18012</v>
      </c>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3" t="s">
        <v>28</v>
      </c>
      <c r="G36" s="298">
        <f>SUM(G24:G35)</f>
        <v>47167</v>
      </c>
      <c r="H36" s="298">
        <f>SUM(H24:H35)</f>
        <v>18012</v>
      </c>
      <c r="I36" s="298">
        <f>SUM(I24:I35)</f>
        <v>18012</v>
      </c>
      <c r="J36" s="276"/>
      <c r="K36" s="276"/>
      <c r="L36" s="309"/>
    </row>
    <row r="37" spans="1:12" ht="15.75">
      <c r="A37" s="300"/>
      <c r="B37" s="276"/>
      <c r="C37" s="276"/>
      <c r="D37" s="276"/>
      <c r="E37" s="276"/>
      <c r="F37" s="276"/>
      <c r="G37" s="276"/>
      <c r="H37" s="276"/>
      <c r="I37" s="276"/>
      <c r="J37" s="276"/>
      <c r="K37" s="276"/>
      <c r="L37" s="276"/>
    </row>
    <row r="38" spans="1:12" ht="15.7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2013-07-10T19:19:37Z</cp:lastPrinted>
  <dcterms:created xsi:type="dcterms:W3CDTF">1998-08-26T16:30:41Z</dcterms:created>
  <dcterms:modified xsi:type="dcterms:W3CDTF">2013-07-10T19:22:47Z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