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<sst xmlns="http://schemas.openxmlformats.org/spreadsheetml/2006/main" count="1582" uniqueCount="954">
  <si>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</si>
  <si>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</si>
  <si>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</si>
  <si>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</si>
  <si>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</si>
  <si>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</si>
  <si>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</si>
  <si>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</si>
  <si>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</si>
  <si>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</si>
  <si>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</si>
  <si>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</si>
  <si>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</si>
  <si>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</si>
  <si>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</si>
  <si>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</si>
  <si>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</si>
  <si>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</si>
  <si>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</si>
  <si>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</si>
  <si>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</si>
  <si>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</si>
  <si>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</si>
  <si>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</si>
  <si>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</si>
  <si>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</si>
  <si>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</si>
  <si>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</si>
  <si>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</si>
  <si>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</si>
  <si>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</si>
  <si>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</si>
  <si>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</si>
  <si>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</si>
  <si>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</si>
  <si>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</si>
  <si>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</si>
  <si>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</si>
  <si>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</si>
  <si>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</si>
  <si>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</si>
  <si>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</si>
  <si>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</si>
  <si>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</si>
  <si>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</si>
  <si>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</si>
  <si>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</si>
  <si>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</si>
  <si>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</si>
  <si>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</si>
  <si>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</si>
  <si>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</si>
  <si>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</si>
  <si>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</si>
  <si>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</si>
  <si>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</si>
  <si>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</si>
  <si>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</si>
  <si>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</si>
  <si>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</si>
  <si>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</si>
  <si>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</si>
  <si>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</si>
  <si>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</si>
  <si>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</si>
  <si>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</si>
  <si>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</si>
  <si>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</si>
  <si>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</si>
  <si>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</si>
  <si>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</si>
  <si>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</si>
  <si>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</si>
  <si>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</si>
  <si>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</si>
  <si>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</si>
  <si>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</si>
  <si>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</si>
  <si>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</si>
  <si>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</si>
  <si>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</si>
  <si>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</si>
  <si>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</si>
  <si>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</si>
  <si>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</si>
  <si>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</si>
  <si>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</si>
  <si>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</si>
  <si>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</si>
  <si>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</si>
  <si>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</si>
  <si>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</si>
  <si>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</si>
  <si>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</si>
  <si>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</si>
  <si>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</si>
  <si>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</si>
  <si>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</si>
  <si>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</si>
  <si>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</si>
  <si>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</si>
  <si>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</si>
  <si>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</si>
  <si>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</si>
  <si>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</si>
  <si>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</si>
  <si>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</si>
  <si>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</si>
  <si>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</si>
  <si>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</si>
  <si>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</si>
  <si>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</si>
  <si>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</si>
  <si>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</si>
  <si>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</si>
  <si>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</si>
  <si>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</si>
  <si>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</si>
  <si>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</si>
  <si>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</si>
  <si>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</si>
  <si>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</si>
  <si>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</si>
  <si>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</si>
  <si>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</si>
  <si>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</si>
  <si>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</si>
  <si>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</si>
  <si>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</si>
  <si>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</si>
  <si>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</si>
  <si>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</si>
  <si>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</si>
  <si>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</si>
  <si>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</si>
  <si>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</si>
  <si>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</si>
  <si>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</si>
  <si>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</si>
  <si>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</si>
  <si>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</si>
  <si>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</si>
  <si>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</si>
  <si>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</si>
  <si>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</si>
  <si>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</si>
  <si>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</si>
  <si>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</si>
  <si>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</si>
  <si>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</si>
  <si>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</si>
  <si>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</si>
  <si>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</si>
  <si>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</si>
  <si>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</si>
  <si>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</si>
  <si>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</si>
  <si>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</si>
  <si>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</si>
  <si>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</si>
  <si>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</si>
  <si>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</si>
  <si>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</si>
  <si>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</si>
  <si>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</si>
  <si>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</si>
  <si>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</si>
  <si>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</si>
  <si>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</si>
  <si>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</si>
  <si>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</si>
  <si>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</si>
  <si>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</si>
  <si>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</si>
  <si>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</si>
  <si>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</si>
  <si>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</si>
  <si>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</si>
  <si>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</si>
  <si>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</si>
  <si>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</si>
  <si>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</si>
  <si>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</si>
  <si>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</si>
  <si>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</si>
  <si>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</si>
  <si>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</si>
  <si>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</si>
  <si>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</si>
  <si>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</si>
  <si>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</si>
  <si>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</si>
  <si>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</si>
  <si>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</si>
  <si>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</si>
  <si>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</si>
  <si>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</si>
  <si>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</si>
  <si>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</si>
  <si>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</si>
  <si>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</si>
  <si>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</si>
  <si>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</si>
  <si>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</si>
  <si>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</si>
  <si>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</si>
  <si>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</si>
  <si>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</si>
  <si>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</si>
  <si>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</si>
  <si>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</si>
  <si>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</si>
  <si>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</si>
  <si>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</si>
  <si>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</si>
  <si>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</si>
  <si>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</si>
  <si>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</si>
  <si>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</si>
  <si>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</si>
  <si>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</si>
  <si>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</si>
  <si>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</si>
  <si>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</si>
  <si>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</si>
  <si>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</si>
  <si>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</si>
  <si>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</si>
  <si>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</si>
  <si>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</si>
  <si>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</si>
  <si>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</si>
  <si>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</si>
  <si>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</si>
  <si>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</si>
  <si>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</si>
  <si>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</si>
  <si>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</si>
  <si>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</si>
  <si>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</si>
  <si>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</si>
  <si>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</si>
  <si>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</si>
  <si>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</si>
  <si>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</si>
  <si>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</si>
  <si>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</si>
  <si>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</si>
  <si>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</si>
  <si>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</si>
  <si>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</si>
  <si>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</si>
  <si>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</si>
  <si>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</si>
  <si>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</si>
  <si>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</si>
  <si>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</si>
  <si>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</si>
  <si>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</si>
  <si>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</si>
  <si>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</si>
  <si>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</si>
  <si>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</si>
  <si>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</si>
  <si>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</si>
  <si>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</si>
  <si>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</si>
  <si>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</si>
  <si>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</si>
  <si>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</si>
  <si>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</si>
  <si>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</si>
  <si>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</si>
  <si>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</si>
  <si>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</si>
  <si>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</si>
  <si>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</si>
  <si>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</si>
  <si>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</si>
  <si>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</si>
  <si>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</si>
  <si>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</si>
  <si>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</si>
  <si>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</si>
  <si>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</si>
  <si>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</si>
  <si>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</si>
  <si>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</si>
  <si>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</si>
  <si>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</si>
  <si>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</si>
  <si>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</si>
  <si>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</si>
  <si>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</si>
  <si>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</si>
  <si>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</si>
  <si>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</si>
  <si>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</si>
  <si>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</si>
  <si>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</si>
  <si>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</si>
  <si>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</si>
  <si>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</si>
  <si>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</si>
  <si>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</si>
  <si>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</si>
  <si>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</si>
  <si>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</si>
  <si>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</si>
  <si>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</si>
  <si>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</si>
  <si>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</si>
  <si>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</si>
  <si>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</si>
  <si>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</si>
  <si>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</si>
  <si>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</si>
  <si>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</si>
  <si>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</si>
  <si>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</si>
  <si>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</si>
  <si>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</si>
  <si>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</si>
  <si>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</si>
  <si>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</si>
  <si>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</si>
  <si>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</si>
  <si>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</si>
  <si>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</si>
  <si>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</si>
  <si>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</si>
  <si>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</si>
  <si>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</si>
  <si>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</si>
  <si>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</si>
  <si>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</si>
  <si>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</si>
  <si>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</si>
  <si>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</si>
  <si>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</si>
  <si>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</si>
  <si>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</si>
  <si>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</si>
  <si>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</si>
  <si>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</si>
  <si>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</si>
  <si>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</si>
  <si>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</si>
  <si>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</si>
  <si>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</si>
  <si>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</si>
  <si>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</si>
  <si>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</si>
  <si>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</si>
  <si>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</si>
  <si>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</si>
  <si>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</si>
  <si>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</si>
  <si>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</si>
  <si>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</si>
  <si>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</si>
  <si>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</si>
  <si>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</si>
  <si>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</si>
  <si>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</si>
  <si>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</si>
  <si>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</si>
  <si>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</si>
  <si>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</si>
  <si>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</si>
  <si>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</si>
  <si>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</si>
  <si>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</si>
  <si>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</si>
  <si>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</si>
  <si>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</si>
  <si>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</si>
  <si>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</si>
  <si>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</si>
  <si>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</si>
  <si>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</si>
  <si>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</si>
  <si>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</si>
  <si>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</si>
  <si>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</si>
  <si>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</si>
  <si>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</si>
  <si>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</si>
  <si>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</si>
  <si>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</si>
  <si>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</si>
  <si>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</si>
  <si>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</si>
  <si>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</si>
  <si>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</si>
  <si>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</si>
  <si>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</si>
  <si>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</si>
  <si>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</si>
  <si>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</si>
  <si>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</si>
  <si>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</si>
  <si>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</si>
  <si>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</si>
  <si>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</si>
  <si>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</si>
  <si>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</si>
  <si>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</si>
  <si>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</si>
  <si>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</si>
  <si>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</si>
  <si>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</si>
  <si>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</si>
  <si>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</si>
  <si>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</si>
  <si>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</si>
  <si>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</si>
  <si>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</si>
  <si>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</si>
  <si>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</si>
  <si>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</si>
  <si>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</si>
  <si>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</si>
  <si>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</si>
  <si>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</si>
  <si>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</si>
  <si>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</si>
  <si>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</si>
  <si>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</si>
  <si>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</si>
  <si>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</si>
  <si>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</si>
  <si>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</si>
  <si>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</si>
  <si>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</si>
  <si>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</si>
  <si>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</si>
  <si>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</si>
  <si>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</si>
  <si>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</si>
  <si>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</si>
  <si>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</si>
  <si>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</si>
  <si>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</si>
  <si>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</si>
  <si>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</si>
  <si>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</si>
  <si>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</si>
  <si>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</si>
  <si>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</si>
  <si>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</si>
  <si>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</si>
  <si>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</si>
  <si>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</si>
  <si>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</si>
  <si>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</si>
  <si>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</si>
  <si>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</si>
  <si>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</si>
  <si>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</si>
  <si>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</si>
  <si>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</si>
  <si>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</si>
  <si>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</si>
  <si>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</si>
  <si>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</si>
  <si>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</si>
  <si>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</si>
  <si>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</si>
  <si>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</si>
  <si>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</si>
  <si>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</si>
  <si>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</si>
  <si>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</si>
  <si>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</si>
  <si>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</si>
  <si>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</si>
  <si>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</si>
  <si>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</si>
  <si>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</si>
  <si>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</si>
  <si>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</si>
  <si>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</si>
  <si>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</si>
  <si>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</si>
  <si>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</si>
  <si>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</si>
  <si>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</si>
  <si>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</si>
  <si>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</si>
  <si>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</si>
  <si>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</si>
  <si>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</si>
  <si>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</si>
  <si>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</si>
  <si>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</si>
  <si>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</si>
  <si>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</si>
  <si>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</si>
  <si>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</si>
  <si>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</si>
  <si>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</si>
  <si>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</si>
  <si>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</si>
  <si>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</si>
  <si>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</si>
  <si>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</si>
  <si>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</si>
  <si>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</si>
  <si>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</si>
  <si>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</si>
  <si>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</si>
  <si>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</si>
  <si>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</si>
  <si>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</si>
  <si>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</si>
  <si>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</si>
  <si>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</si>
  <si>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</si>
  <si>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</si>
  <si>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</si>
  <si>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</si>
  <si>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</si>
  <si>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</si>
  <si>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</si>
  <si>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</si>
  <si>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</si>
  <si>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</si>
  <si>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</si>
  <si>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</si>
  <si>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</si>
  <si>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</si>
  <si>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</si>
  <si>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</si>
  <si>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</si>
  <si>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</si>
  <si>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</si>
  <si>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</si>
  <si>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</si>
  <si>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</si>
  <si>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</si>
  <si>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</si>
  <si>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</si>
  <si>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</si>
  <si>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</si>
  <si>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</si>
  <si>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</si>
  <si>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</si>
  <si>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</si>
  <si>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</si>
  <si>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</si>
  <si>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</si>
  <si>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</si>
  <si>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</si>
  <si>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</si>
  <si>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</si>
  <si>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</si>
  <si>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</si>
  <si>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</si>
  <si>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</si>
  <si>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</si>
  <si>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</si>
  <si>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</si>
  <si>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</si>
  <si>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</si>
  <si>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</si>
  <si>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</si>
  <si>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</si>
  <si>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</si>
  <si>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</si>
  <si>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</si>
  <si>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</si>
  <si>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</si>
  <si>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</si>
  <si>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</si>
  <si>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</si>
  <si>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</si>
  <si>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</si>
  <si>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</si>
  <si>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</si>
  <si>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</si>
  <si>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</si>
  <si>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</si>
  <si>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</si>
  <si>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</si>
  <si>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</si>
  <si>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</si>
  <si>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</si>
  <si>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</si>
  <si>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</si>
  <si>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</si>
  <si>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</si>
  <si>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</si>
  <si>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</si>
  <si>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</si>
  <si>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</si>
  <si>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</si>
  <si>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</si>
  <si>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</si>
  <si>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</si>
  <si>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</si>
  <si>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</si>
  <si>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</si>
  <si>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</si>
  <si>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</si>
  <si>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</si>
  <si>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</si>
  <si>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</si>
  <si>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</si>
  <si>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</si>
  <si>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</si>
  <si>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</si>
  <si>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</si>
  <si>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</si>
  <si>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</si>
  <si>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</si>
  <si>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</si>
  <si>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</si>
  <si>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</si>
  <si>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</si>
  <si>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</si>
  <si>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</si>
  <si>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</si>
  <si>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</si>
  <si>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</si>
  <si>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</si>
  <si>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</si>
  <si>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</si>
  <si>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</si>
  <si>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</si>
  <si>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</si>
  <si>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</si>
  <si>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</si>
  <si>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</si>
  <si>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</si>
  <si>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</si>
  <si>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</si>
  <si>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</si>
  <si>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</si>
  <si>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</si>
  <si>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</si>
  <si>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</si>
  <si>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</si>
  <si>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</si>
  <si>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</si>
  <si>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</si>
  <si>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</si>
  <si>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</si>
  <si>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</si>
  <si>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</si>
  <si>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</si>
  <si>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</si>
  <si>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</si>
  <si>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</si>
  <si>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</si>
  <si>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</si>
  <si>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</si>
  <si>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</si>
  <si>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</si>
  <si>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</si>
  <si>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</si>
  <si>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</si>
  <si>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</si>
  <si>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</si>
  <si>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</si>
  <si>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</si>
  <si>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</si>
  <si>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</si>
  <si>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</si>
  <si>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</si>
  <si>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</si>
  <si>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</si>
  <si>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</si>
  <si>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</si>
  <si>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</si>
  <si>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</si>
  <si>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</si>
  <si>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</si>
  <si>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</si>
  <si>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</si>
  <si>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</si>
  <si>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</si>
  <si>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</si>
  <si>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</si>
  <si>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</si>
  <si>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</si>
  <si>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</si>
  <si>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</si>
  <si>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</si>
  <si>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</si>
  <si>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</si>
  <si>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</si>
  <si>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</si>
  <si>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</si>
  <si>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</si>
  <si>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</si>
  <si>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</si>
  <si>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</si>
  <si>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</si>
  <si>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</si>
  <si>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</si>
  <si>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</si>
  <si>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</si>
  <si>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</si>
  <si>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</si>
  <si>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</si>
  <si>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</si>
  <si>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</si>
  <si>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</si>
  <si>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</si>
  <si>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</si>
  <si>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</si>
  <si>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</si>
  <si>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</si>
  <si>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</si>
  <si>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</si>
  <si>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</si>
  <si>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</si>
  <si>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</si>
  <si>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</si>
  <si>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</si>
  <si>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</si>
  <si>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</si>
  <si>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</si>
  <si>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</si>
  <si>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</si>
  <si>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</si>
  <si>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</si>
  <si>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</si>
  <si>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</si>
  <si>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</si>
  <si>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</si>
  <si>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</si>
  <si>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</si>
  <si>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</si>
  <si>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</si>
  <si>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</si>
  <si>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</si>
  <si>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</si>
  <si>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</si>
  <si>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</si>
  <si>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</si>
  <si>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</si>
  <si>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</si>
  <si>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</si>
  <si>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</si>
  <si>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</si>
  <si>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</si>
  <si>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</si>
  <si>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</si>
  <si>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</si>
  <si>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</si>
  <si>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</si>
  <si>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</si>
  <si>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</si>
  <si>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</si>
  <si>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</si>
  <si>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</si>
  <si>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</si>
  <si>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</si>
  <si>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</si>
  <si>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</si>
  <si>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</si>
  <si>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</si>
  <si>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</si>
  <si>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</si>
  <si>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</si>
  <si>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</si>
  <si>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</si>
  <si>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</si>
  <si>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</si>
  <si>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</si>
  <si>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</si>
  <si>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</si>
  <si>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</si>
  <si>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</si>
  <si>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</si>
  <si>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</si>
  <si>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</si>
  <si>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</si>
  <si>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</si>
  <si>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</si>
  <si>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</si>
  <si>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</si>
  <si>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</si>
  <si>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</si>
  <si>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</si>
  <si>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</si>
  <si>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</si>
  <si>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</si>
  <si>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</si>
  <si>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</si>
  <si>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</si>
  <si>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</si>
  <si>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</si>
  <si>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</si>
  <si>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</si>
  <si>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</si>
  <si>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</si>
  <si>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</si>
  <si>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</si>
  <si>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</si>
  <si>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</si>
  <si>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</si>
  <si>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</si>
  <si>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</si>
  <si>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</si>
  <si>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</si>
  <si>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</si>
  <si>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</si>
  <si>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</si>
  <si>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</si>
  <si>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</si>
  <si>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</si>
  <si>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</si>
  <si>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</si>
  <si>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</si>
  <si>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</si>
  <si>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</si>
  <si>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</si>
  <si>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</si>
  <si>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</si>
  <si>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</si>
  <si>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</si>
  <si>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</si>
  <si>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</si>
  <si>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</si>
  <si>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</si>
  <si>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</si>
  <si>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</si>
  <si>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</si>
  <si>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</si>
  <si>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</si>
  <si>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</si>
  <si>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</si>
  <si>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</si>
  <si>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</si>
  <si>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</si>
  <si>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</si>
  <si>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</si>
  <si>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</si>
  <si>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</si>
  <si>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</si>
  <si>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</si>
  <si>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</si>
  <si>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</si>
  <si>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</si>
  <si>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</si>
  <si>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</si>
  <si>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</si>
  <si>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</si>
  <si>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</si>
  <si>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</si>
  <si>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</si>
  <si>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</si>
  <si>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</si>
  <si>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</si>
  <si>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</si>
  <si>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</si>
  <si>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</si>
  <si>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</si>
  <si>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</si>
  <si>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</si>
  <si>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</si>
  <si>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</si>
  <si>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</si>
  <si>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</si>
  <si>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</si>
  <si>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</si>
  <si>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</si>
  <si>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</si>
  <si>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</si>
  <si>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</si>
  <si>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</si>
  <si>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</si>
  <si>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</si>
  <si>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</si>
  <si>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</si>
  <si>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</si>
  <si>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</si>
  <si>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</si>
  <si>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</si>
  <si>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</si>
  <si>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</si>
  <si>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</si>
  <si>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</si>
  <si>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</si>
  <si>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</si>
  <si>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</si>
  <si>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</si>
  <si>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</si>
  <si>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</si>
  <si>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</si>
  <si>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</si>
  <si>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</si>
  <si>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</si>
  <si>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</si>
  <si>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</si>
  <si>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</si>
  <si>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</si>
  <si>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</si>
  <si>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</si>
  <si>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</si>
  <si>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</si>
  <si>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</si>
  <si>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</si>
  <si>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</si>
  <si>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</si>
  <si>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</si>
  <si>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</si>
  <si>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</si>
  <si>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</si>
  <si>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</si>
  <si>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</si>
  <si>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</si>
  <si>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</si>
  <si>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</si>
  <si>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</si>
  <si>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</si>
  <si>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</si>
  <si>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</si>
  <si>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</si>
  <si>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</si>
  <si>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</si>
  <si>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</si>
  <si>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</si>
  <si>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</si>
  <si>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</si>
  <si>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</si>
  <si>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</si>
  <si>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</si>
  <si>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</si>
  <si>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</si>
  <si>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</si>
  <si>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</si>
  <si>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</si>
  <si>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</si>
  <si>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</si>
  <si>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</si>
  <si>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</si>
  <si>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</si>
  <si>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Marysville Township</t>
  </si>
  <si>
    <t xml:space="preserve">Marshall County </t>
  </si>
  <si>
    <t>Fire</t>
  </si>
  <si>
    <t>Sue Grauer</t>
  </si>
  <si>
    <t>Treasurer</t>
  </si>
  <si>
    <t xml:space="preserve">Per Diem </t>
  </si>
  <si>
    <t>Machine Hire</t>
  </si>
  <si>
    <t>Repairs and Maintenance</t>
  </si>
  <si>
    <t>Fire Contract</t>
  </si>
  <si>
    <t>August 19, 2013</t>
  </si>
  <si>
    <t>1:00 p.m.</t>
  </si>
  <si>
    <t>Marysville City Library</t>
  </si>
  <si>
    <t>1029 Keystone Rd., Marysville, KS  66508</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</si>
</sst>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J33" sqref="J3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Marysville Township</v>
      </c>
      <c r="C1" s="167"/>
      <c r="D1" s="167"/>
      <c r="E1" s="167"/>
      <c r="F1" s="167"/>
      <c r="G1" s="167"/>
      <c r="H1" s="167"/>
      <c r="I1" s="167"/>
      <c r="J1" s="14"/>
      <c r="K1" s="14"/>
      <c r="L1" s="15">
        <f>inputPrYr!D5</f>
        <v>2014</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J33" sqref="J33"/>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Marysville Township</v>
      </c>
      <c r="C7" s="556"/>
      <c r="D7" s="556"/>
      <c r="E7" s="556"/>
      <c r="F7" s="556"/>
      <c r="G7" s="556"/>
      <c r="H7" s="556"/>
      <c r="I7" s="556"/>
    </row>
    <row r="8" spans="2:9" ht="15.75">
      <c r="B8" s="557" t="str">
        <f>inputPrYr!D3</f>
        <v>Marshall County </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4902634</v>
      </c>
      <c r="F27" s="556"/>
      <c r="G27" s="561">
        <f>summ!G37</f>
        <v>5155051</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J33" sqref="J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Marysville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63469.13</v>
      </c>
      <c r="D6" s="387">
        <f>C51</f>
        <v>68095.4</v>
      </c>
      <c r="E6" s="32">
        <f>D51</f>
        <v>54538.399999999994</v>
      </c>
    </row>
    <row r="7" spans="2:5" ht="15.75">
      <c r="B7" s="27" t="s">
        <v>120</v>
      </c>
      <c r="C7" s="387"/>
      <c r="D7" s="387"/>
      <c r="E7" s="33"/>
    </row>
    <row r="8" spans="2:5" ht="15.75">
      <c r="B8" s="27" t="s">
        <v>16</v>
      </c>
      <c r="C8" s="29"/>
      <c r="D8" s="387">
        <f>IF(inputPrYr!H15&gt;0,inputPrYr!G16,inputPrYr!E16)</f>
        <v>0</v>
      </c>
      <c r="E8" s="33" t="s">
        <v>289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10556.98</v>
      </c>
      <c r="D14" s="29">
        <v>8543</v>
      </c>
      <c r="E14" s="32">
        <f>inputOth!E12</f>
        <v>9686.97</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10556.98</v>
      </c>
      <c r="D26" s="389">
        <f>SUM(D8:D24)</f>
        <v>8543</v>
      </c>
      <c r="E26" s="42">
        <f>SUM(E8:E24)</f>
        <v>9686.97</v>
      </c>
    </row>
    <row r="27" spans="2:5" ht="15.75">
      <c r="B27" s="43" t="s">
        <v>24</v>
      </c>
      <c r="C27" s="389">
        <f>C26+C6</f>
        <v>74026.11</v>
      </c>
      <c r="D27" s="389">
        <f>D26+D6</f>
        <v>76638.4</v>
      </c>
      <c r="E27" s="42">
        <f>E26+E6</f>
        <v>64225.369999999995</v>
      </c>
    </row>
    <row r="28" spans="2:5" ht="15.75">
      <c r="B28" s="27" t="s">
        <v>25</v>
      </c>
      <c r="C28" s="387"/>
      <c r="D28" s="387"/>
      <c r="E28" s="32"/>
    </row>
    <row r="29" spans="2:5" ht="15.75">
      <c r="B29" s="37" t="s">
        <v>946</v>
      </c>
      <c r="C29" s="29">
        <v>2276.28</v>
      </c>
      <c r="D29" s="29">
        <v>2300</v>
      </c>
      <c r="E29" s="34">
        <v>2300</v>
      </c>
    </row>
    <row r="30" spans="2:5" ht="15.75">
      <c r="B30" s="38" t="s">
        <v>101</v>
      </c>
      <c r="C30" s="29"/>
      <c r="D30" s="29"/>
      <c r="E30" s="34"/>
    </row>
    <row r="31" spans="2:5" ht="15.75">
      <c r="B31" s="38" t="s">
        <v>125</v>
      </c>
      <c r="C31" s="29"/>
      <c r="D31" s="29"/>
      <c r="E31" s="34"/>
    </row>
    <row r="32" spans="2:5" ht="15.75">
      <c r="B32" s="38" t="s">
        <v>102</v>
      </c>
      <c r="C32" s="29">
        <v>1164.04</v>
      </c>
      <c r="D32" s="29">
        <v>2500</v>
      </c>
      <c r="E32" s="34">
        <v>2500</v>
      </c>
    </row>
    <row r="33" spans="2:5" ht="15.75">
      <c r="B33" s="38" t="s">
        <v>36</v>
      </c>
      <c r="C33" s="29">
        <v>328.39</v>
      </c>
      <c r="D33" s="29">
        <v>500</v>
      </c>
      <c r="E33" s="34">
        <v>500</v>
      </c>
    </row>
    <row r="34" spans="2:5" ht="15.75">
      <c r="B34" s="37" t="s">
        <v>103</v>
      </c>
      <c r="C34" s="29"/>
      <c r="D34" s="29">
        <v>14200</v>
      </c>
      <c r="E34" s="34">
        <v>14200</v>
      </c>
    </row>
    <row r="35" spans="2:5" ht="15.75">
      <c r="B35" s="37" t="s">
        <v>126</v>
      </c>
      <c r="C35" s="29"/>
      <c r="D35" s="29"/>
      <c r="E35" s="34"/>
    </row>
    <row r="36" spans="2:5" ht="15.75">
      <c r="B36" s="38" t="s">
        <v>128</v>
      </c>
      <c r="C36" s="29">
        <v>2162</v>
      </c>
      <c r="D36" s="29">
        <v>2600</v>
      </c>
      <c r="E36" s="34">
        <v>2600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5930.71</v>
      </c>
      <c r="D50" s="381">
        <f>SUM(D29:D48)</f>
        <v>22100</v>
      </c>
      <c r="E50" s="47">
        <f>SUM(E29:E43,E45,E47:E48)</f>
        <v>22100</v>
      </c>
      <c r="G50" s="484">
        <f>D51</f>
        <v>54538.399999999994</v>
      </c>
      <c r="H50" s="485" t="str">
        <f>CONCATENATE("",E1-1," Ending Cash Balance (est.)")</f>
        <v>2013 Ending Cash Balance (est.)</v>
      </c>
      <c r="I50" s="486"/>
      <c r="J50" s="257"/>
    </row>
    <row r="51" spans="2:10" ht="15.75">
      <c r="B51" s="27" t="s">
        <v>119</v>
      </c>
      <c r="C51" s="382">
        <f>C27-C50</f>
        <v>68095.4</v>
      </c>
      <c r="D51" s="382">
        <f>SUM(D27-D50)</f>
        <v>54538.399999999994</v>
      </c>
      <c r="E51" s="33" t="s">
        <v>289</v>
      </c>
      <c r="G51" s="484">
        <f>E26</f>
        <v>9686.97</v>
      </c>
      <c r="H51" s="487" t="str">
        <f>CONCATENATE("",E1," Non-AV Receipts (est.)")</f>
        <v>2014 Non-AV Receipts (est.)</v>
      </c>
      <c r="I51" s="486"/>
      <c r="J51" s="257"/>
    </row>
    <row r="52" spans="2:11" ht="15.75">
      <c r="B52" s="48" t="str">
        <f>CONCATENATE("",E1-2,"/",E1-1," Budget Authority Amount:")</f>
        <v>2012/2013 Budget Authority Amount:</v>
      </c>
      <c r="C52" s="132">
        <f>inputOth!B46</f>
        <v>22100</v>
      </c>
      <c r="D52" s="161">
        <f>inputPrYr!D16</f>
        <v>22100</v>
      </c>
      <c r="E52" s="33" t="s">
        <v>289</v>
      </c>
      <c r="F52" s="50"/>
      <c r="G52" s="488">
        <f>IF(D56&gt;0,E55,E57)</f>
        <v>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64225.369999999995</v>
      </c>
      <c r="H53" s="487" t="str">
        <f>CONCATENATE("Total ",E1," Resources Available")</f>
        <v>Total 2014 Resources Available</v>
      </c>
      <c r="I53" s="486"/>
      <c r="J53" s="257"/>
    </row>
    <row r="54" spans="2:10" ht="15.75">
      <c r="B54" s="395" t="str">
        <f>CONCATENATE(C72,"     ",D72)</f>
        <v>     </v>
      </c>
      <c r="C54" s="803" t="s">
        <v>623</v>
      </c>
      <c r="D54" s="804"/>
      <c r="E54" s="32">
        <f>E50+E53</f>
        <v>22100</v>
      </c>
      <c r="G54" s="489"/>
      <c r="H54" s="487"/>
      <c r="I54" s="487"/>
      <c r="J54" s="257"/>
    </row>
    <row r="55" spans="2:10" ht="15.75">
      <c r="B55" s="395" t="str">
        <f>CONCATENATE(C73,"     ",D73)</f>
        <v>     </v>
      </c>
      <c r="C55" s="60"/>
      <c r="D55" s="52" t="s">
        <v>28</v>
      </c>
      <c r="E55" s="46">
        <f>IF(E54-E27&gt;0,E54-E27,0)</f>
        <v>0</v>
      </c>
      <c r="G55" s="488">
        <f>ROUND(C50*0.05+C50,0)</f>
        <v>6227</v>
      </c>
      <c r="H55" s="487" t="str">
        <f>CONCATENATE("Less ",E1-2," Expenditures + 5%")</f>
        <v>Less 2012 Expenditures + 5%</v>
      </c>
      <c r="I55" s="486"/>
      <c r="J55" s="257"/>
    </row>
    <row r="56" spans="2:10" ht="15.75">
      <c r="B56" s="52"/>
      <c r="C56" s="399" t="s">
        <v>624</v>
      </c>
      <c r="D56" s="689">
        <f>inputOth!$E$40</f>
        <v>0</v>
      </c>
      <c r="E56" s="32">
        <f>ROUND(IF(D56&gt;0,(E55*D56),0),0)</f>
        <v>0</v>
      </c>
      <c r="G56" s="490">
        <f>G53-G55</f>
        <v>57998.369999999995</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13.883</v>
      </c>
      <c r="H62" s="485" t="str">
        <f>CONCATENATE("Total ",E1," Mill Rate")</f>
        <v>Total 2014 Mill Rate</v>
      </c>
      <c r="I62" s="691"/>
      <c r="J62" s="703"/>
    </row>
    <row r="63" spans="2:10" ht="15.75">
      <c r="B63" s="12"/>
      <c r="G63" s="705">
        <f>summ!F32</f>
        <v>13.936</v>
      </c>
      <c r="H63" s="707" t="str">
        <f>CONCATENATE("Total ",E1-1," Mill Rate")</f>
        <v>Total 2013 Mill Rate</v>
      </c>
      <c r="I63" s="708"/>
      <c r="J63" s="709"/>
    </row>
    <row r="64" spans="7:10" ht="15.75">
      <c r="G64" s="692"/>
      <c r="H64" s="494"/>
      <c r="I64" s="494"/>
      <c r="J64" s="694"/>
    </row>
    <row r="65" spans="7:10" ht="15.75">
      <c r="G65" s="744" t="s">
        <v>933</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33" sqref="J33"/>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Marysville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21"/>
      <c r="I31" s="821"/>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13.883</v>
      </c>
      <c r="H45" s="632" t="str">
        <f>CONCATENATE("Total ",E1," Mill Rate")</f>
        <v>Total 2014 Mill Rate</v>
      </c>
      <c r="I45" s="656"/>
      <c r="J45" s="657"/>
    </row>
    <row r="46" spans="2:10" ht="15.75">
      <c r="B46" s="594" t="s">
        <v>144</v>
      </c>
      <c r="C46" s="599">
        <v>0</v>
      </c>
      <c r="D46" s="596">
        <f>C74</f>
        <v>0</v>
      </c>
      <c r="E46" s="597">
        <f>D74</f>
        <v>0</v>
      </c>
      <c r="F46" s="635"/>
      <c r="G46" s="659">
        <f>summ!F32</f>
        <v>13.936</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14"/>
      <c r="I71" s="814"/>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13.883</v>
      </c>
      <c r="H85" s="632" t="str">
        <f>CONCATENATE("Total ",E1," Mill Rate")</f>
        <v>Total 2014 Mill Rate</v>
      </c>
      <c r="I85" s="656"/>
      <c r="J85" s="657"/>
    </row>
    <row r="86" spans="7:10" ht="15.75">
      <c r="G86" s="659">
        <f>summ!F32</f>
        <v>13.936</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Yes</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10"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5">
      <selection activeCell="J33" sqref="J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Marysville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848.7</v>
      </c>
      <c r="D6" s="387">
        <f>C44</f>
        <v>1749.2900000000009</v>
      </c>
      <c r="E6" s="32">
        <f>D44</f>
        <v>2648.290000000001</v>
      </c>
    </row>
    <row r="7" spans="2:5" ht="15.75">
      <c r="B7" s="27" t="s">
        <v>120</v>
      </c>
      <c r="C7" s="387"/>
      <c r="D7" s="387"/>
      <c r="E7" s="33"/>
    </row>
    <row r="8" spans="2:5" ht="15.75">
      <c r="B8" s="27" t="s">
        <v>16</v>
      </c>
      <c r="C8" s="29">
        <v>49883.11</v>
      </c>
      <c r="D8" s="387">
        <f>IF(inputPrYr!H15&gt;0,inputPrYr!G19,inputPrYr!E19)</f>
        <v>51164</v>
      </c>
      <c r="E8" s="33" t="s">
        <v>289</v>
      </c>
    </row>
    <row r="9" spans="2:5" ht="15.75">
      <c r="B9" s="27" t="s">
        <v>17</v>
      </c>
      <c r="C9" s="29">
        <v>639.78</v>
      </c>
      <c r="D9" s="29"/>
      <c r="E9" s="34"/>
    </row>
    <row r="10" spans="2:5" ht="15.75">
      <c r="B10" s="27" t="s">
        <v>18</v>
      </c>
      <c r="C10" s="29">
        <v>5991.32</v>
      </c>
      <c r="D10" s="29">
        <v>5873</v>
      </c>
      <c r="E10" s="32">
        <f>mvalloc!G14</f>
        <v>5766</v>
      </c>
    </row>
    <row r="11" spans="2:5" ht="15.75">
      <c r="B11" s="27" t="s">
        <v>19</v>
      </c>
      <c r="C11" s="29">
        <v>98.77</v>
      </c>
      <c r="D11" s="29">
        <v>149</v>
      </c>
      <c r="E11" s="32">
        <f>mvalloc!I14</f>
        <v>91</v>
      </c>
    </row>
    <row r="12" spans="2:5" ht="15.75">
      <c r="B12" s="27" t="s">
        <v>99</v>
      </c>
      <c r="C12" s="29">
        <v>436.96</v>
      </c>
      <c r="D12" s="29">
        <v>428</v>
      </c>
      <c r="E12" s="32">
        <f>mvalloc!J14</f>
        <v>424</v>
      </c>
    </row>
    <row r="13" spans="2:5" ht="15.75">
      <c r="B13" s="27" t="s">
        <v>100</v>
      </c>
      <c r="C13" s="29">
        <v>1598.23</v>
      </c>
      <c r="D13" s="29">
        <v>1500</v>
      </c>
      <c r="E13" s="32">
        <f>inputOth!E36</f>
        <v>1500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58648.17</v>
      </c>
      <c r="D23" s="389">
        <f>SUM(D8:D21)</f>
        <v>59114</v>
      </c>
      <c r="E23" s="42">
        <f>SUM(E8:E21)</f>
        <v>7781</v>
      </c>
    </row>
    <row r="24" spans="2:5" ht="15.75">
      <c r="B24" s="43" t="s">
        <v>24</v>
      </c>
      <c r="C24" s="389">
        <f>C23+C6</f>
        <v>59496.869999999995</v>
      </c>
      <c r="D24" s="389">
        <f>D23+D6</f>
        <v>60863.29</v>
      </c>
      <c r="E24" s="42">
        <f>E23+E6</f>
        <v>10429.29</v>
      </c>
    </row>
    <row r="25" spans="2:5" ht="15.75">
      <c r="B25" s="27" t="s">
        <v>25</v>
      </c>
      <c r="C25" s="387"/>
      <c r="D25" s="387"/>
      <c r="E25" s="32"/>
    </row>
    <row r="26" spans="2:5" ht="15.75">
      <c r="B26" s="38" t="s">
        <v>946</v>
      </c>
      <c r="C26" s="29">
        <v>554.16</v>
      </c>
      <c r="D26" s="29">
        <v>1000</v>
      </c>
      <c r="E26" s="34">
        <v>1000</v>
      </c>
    </row>
    <row r="27" spans="2:5" ht="15.75">
      <c r="B27" s="38" t="s">
        <v>125</v>
      </c>
      <c r="C27" s="29">
        <v>5672.8</v>
      </c>
      <c r="D27" s="29">
        <v>5000</v>
      </c>
      <c r="E27" s="34">
        <v>6000</v>
      </c>
    </row>
    <row r="28" spans="2:5" ht="15.75">
      <c r="B28" s="37" t="s">
        <v>102</v>
      </c>
      <c r="C28" s="29"/>
      <c r="D28" s="29"/>
      <c r="E28" s="34"/>
    </row>
    <row r="29" spans="2:5" ht="15.75">
      <c r="B29" s="38" t="s">
        <v>127</v>
      </c>
      <c r="C29" s="29">
        <v>2514.65</v>
      </c>
      <c r="D29" s="29">
        <v>2200</v>
      </c>
      <c r="E29" s="34">
        <v>2500</v>
      </c>
    </row>
    <row r="30" spans="2:5" ht="15.75">
      <c r="B30" s="38" t="s">
        <v>105</v>
      </c>
      <c r="C30" s="29">
        <v>23238.56</v>
      </c>
      <c r="D30" s="29">
        <v>10000</v>
      </c>
      <c r="E30" s="34">
        <v>24000</v>
      </c>
    </row>
    <row r="31" spans="2:5" ht="15.75">
      <c r="B31" s="38" t="s">
        <v>103</v>
      </c>
      <c r="C31" s="29">
        <v>14000</v>
      </c>
      <c r="D31" s="29">
        <v>25000</v>
      </c>
      <c r="E31" s="34">
        <v>15000</v>
      </c>
    </row>
    <row r="32" spans="2:5" ht="15.75">
      <c r="B32" s="38" t="s">
        <v>947</v>
      </c>
      <c r="C32" s="29">
        <v>1864.24</v>
      </c>
      <c r="D32" s="29">
        <v>5000</v>
      </c>
      <c r="E32" s="34">
        <v>3000</v>
      </c>
    </row>
    <row r="33" spans="2:5" ht="15.75">
      <c r="B33" s="38" t="s">
        <v>948</v>
      </c>
      <c r="C33" s="29">
        <v>8703.17</v>
      </c>
      <c r="D33" s="29">
        <v>9000</v>
      </c>
      <c r="E33" s="34">
        <v>10000</v>
      </c>
    </row>
    <row r="34" spans="2:10" ht="15.75">
      <c r="B34" s="37" t="s">
        <v>21</v>
      </c>
      <c r="C34" s="29">
        <v>1200</v>
      </c>
      <c r="D34" s="29">
        <v>500</v>
      </c>
      <c r="E34" s="34">
        <v>1500</v>
      </c>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v>515</v>
      </c>
      <c r="E40" s="46">
        <f>nhood!E9</f>
        <v>956</v>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57747.579999999994</v>
      </c>
      <c r="D43" s="389">
        <f>SUM(D26:D38,D40:D41)</f>
        <v>58215</v>
      </c>
      <c r="E43" s="42">
        <f>SUM(E26:E38,E40:E41)</f>
        <v>63956</v>
      </c>
      <c r="G43" s="484">
        <f>D44</f>
        <v>2648.290000000001</v>
      </c>
      <c r="H43" s="485" t="str">
        <f>CONCATENATE("",E1-1," Ending Cash Balance (est.)")</f>
        <v>2013 Ending Cash Balance (est.)</v>
      </c>
      <c r="I43" s="486"/>
      <c r="J43" s="257"/>
    </row>
    <row r="44" spans="2:10" ht="15.75">
      <c r="B44" s="27" t="s">
        <v>119</v>
      </c>
      <c r="C44" s="382">
        <f>C24-C43</f>
        <v>1749.2900000000009</v>
      </c>
      <c r="D44" s="382">
        <f>D24-D43</f>
        <v>2648.290000000001</v>
      </c>
      <c r="E44" s="33" t="s">
        <v>289</v>
      </c>
      <c r="G44" s="484">
        <f>E23</f>
        <v>7781</v>
      </c>
      <c r="H44" s="487" t="str">
        <f>CONCATENATE("",E1," Non-AV Receipts (est.)")</f>
        <v>2014 Non-AV Receipts (est.)</v>
      </c>
      <c r="I44" s="486"/>
      <c r="J44" s="257"/>
    </row>
    <row r="45" spans="2:11" ht="15.75">
      <c r="B45" s="48" t="str">
        <f>CONCATENATE("",E1-2,"/",E1-1," Budget Authority Amount:")</f>
        <v>2012/2013 Budget Authority Amount:</v>
      </c>
      <c r="C45" s="132">
        <f>inputOth!B49</f>
        <v>58472</v>
      </c>
      <c r="D45" s="161">
        <f>inputPrYr!D19</f>
        <v>58215</v>
      </c>
      <c r="E45" s="33" t="s">
        <v>289</v>
      </c>
      <c r="F45" s="50"/>
      <c r="G45" s="488">
        <f>IF(D49&gt;0,E48,E50)</f>
        <v>53526.71</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63956</v>
      </c>
      <c r="H46" s="487" t="str">
        <f>CONCATENATE("Total ",E1," Resources Available")</f>
        <v>Total 2014 Resources Available</v>
      </c>
      <c r="I46" s="486"/>
      <c r="J46" s="257"/>
    </row>
    <row r="47" spans="2:10" ht="15.75">
      <c r="B47" s="395" t="str">
        <f>CONCATENATE(C74,"     ",D74)</f>
        <v>     </v>
      </c>
      <c r="C47" s="803" t="s">
        <v>623</v>
      </c>
      <c r="D47" s="804"/>
      <c r="E47" s="32">
        <f>E43+E46</f>
        <v>63956</v>
      </c>
      <c r="G47" s="489"/>
      <c r="H47" s="487"/>
      <c r="I47" s="487"/>
      <c r="J47" s="257"/>
    </row>
    <row r="48" spans="2:10" ht="15.75">
      <c r="B48" s="395" t="str">
        <f>CONCATENATE(C75,"     ",D75)</f>
        <v>     </v>
      </c>
      <c r="C48" s="60"/>
      <c r="D48" s="52" t="s">
        <v>28</v>
      </c>
      <c r="E48" s="46">
        <f>IF(E47-E24&gt;0,E47-E24,0)</f>
        <v>53526.71</v>
      </c>
      <c r="G48" s="488">
        <f>ROUND(C43*0.05+C43,0)</f>
        <v>60635</v>
      </c>
      <c r="H48" s="487" t="str">
        <f>CONCATENATE("Less ",E1-2," Expenditures + 5%")</f>
        <v>Less 2012 Expenditures + 5%</v>
      </c>
      <c r="I48" s="486"/>
      <c r="J48" s="257"/>
    </row>
    <row r="49" spans="2:10" ht="15.75">
      <c r="B49" s="52"/>
      <c r="C49" s="399" t="s">
        <v>624</v>
      </c>
      <c r="D49" s="689">
        <f>inputOth!$E$40</f>
        <v>0</v>
      </c>
      <c r="E49" s="32">
        <f>ROUND(IF(D49&gt;0,(E48*D49),0),0)</f>
        <v>0</v>
      </c>
      <c r="G49" s="490">
        <f>G46-G48</f>
        <v>3321</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53526.71</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10.383</v>
      </c>
      <c r="H53" s="485" t="str">
        <f>CONCATENATE("",E1," Fund Mill Rate")</f>
        <v>2014 Fund Mill Rate</v>
      </c>
      <c r="I53" s="691"/>
      <c r="J53" s="703"/>
    </row>
    <row r="54" spans="2:10" ht="15.75">
      <c r="B54" s="71" t="s">
        <v>31</v>
      </c>
      <c r="C54" s="400" t="str">
        <f>CONCATENATE("",E1-2," Actual Year")</f>
        <v>2012 Actual Year</v>
      </c>
      <c r="D54" s="14"/>
      <c r="E54" s="14"/>
      <c r="G54" s="705">
        <f>summ!F21</f>
        <v>10.436</v>
      </c>
      <c r="H54" s="485" t="str">
        <f>CONCATENATE("",E1-1," Fund Mill Rate")</f>
        <v>2013 Fund Mill Rate</v>
      </c>
      <c r="I54" s="691"/>
      <c r="J54" s="703"/>
    </row>
    <row r="55" spans="2:10" ht="15.75">
      <c r="B55" s="72" t="s">
        <v>14</v>
      </c>
      <c r="C55" s="130">
        <v>8591.72</v>
      </c>
      <c r="D55" s="14"/>
      <c r="E55" s="14"/>
      <c r="G55" s="706">
        <f>summ!I32</f>
        <v>13.883</v>
      </c>
      <c r="H55" s="485" t="str">
        <f>CONCATENATE("Total ",E1," Mill Rate")</f>
        <v>Total 2014 Mill Rate</v>
      </c>
      <c r="I55" s="691"/>
      <c r="J55" s="703"/>
    </row>
    <row r="56" spans="2:10" ht="15.75">
      <c r="B56" s="72" t="s">
        <v>33</v>
      </c>
      <c r="C56" s="132"/>
      <c r="D56" s="14"/>
      <c r="E56" s="14"/>
      <c r="G56" s="705">
        <f>summ!F32</f>
        <v>13.936</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Yes</v>
      </c>
    </row>
    <row r="59" spans="2:5" ht="15.75">
      <c r="B59" s="75" t="s">
        <v>247</v>
      </c>
      <c r="C59" s="398">
        <f>gen!C45</f>
        <v>0</v>
      </c>
      <c r="D59" s="824"/>
      <c r="E59" s="823"/>
    </row>
    <row r="60" spans="2:5" ht="15.75">
      <c r="B60" s="76"/>
      <c r="C60" s="130"/>
      <c r="D60" s="14"/>
      <c r="E60" s="14"/>
    </row>
    <row r="61" spans="2:5" ht="15.75">
      <c r="B61" s="76" t="s">
        <v>22</v>
      </c>
      <c r="C61" s="130">
        <v>257.44</v>
      </c>
      <c r="D61" s="14"/>
      <c r="E61" s="14"/>
    </row>
    <row r="62" spans="2:5" ht="15.75">
      <c r="B62" s="76" t="s">
        <v>21</v>
      </c>
      <c r="C62" s="130"/>
      <c r="D62" s="14"/>
      <c r="E62" s="14"/>
    </row>
    <row r="63" spans="2:5" ht="15.75">
      <c r="B63" s="77" t="s">
        <v>24</v>
      </c>
      <c r="C63" s="132">
        <f>SUM(C55:C62)</f>
        <v>8849.16</v>
      </c>
      <c r="D63" s="14"/>
      <c r="E63" s="14"/>
    </row>
    <row r="64" spans="2:5" ht="15.75">
      <c r="B64" s="77" t="s">
        <v>26</v>
      </c>
      <c r="C64" s="130"/>
      <c r="D64" s="14"/>
      <c r="E64" s="14"/>
    </row>
    <row r="65" spans="2:5" ht="15.75">
      <c r="B65" s="77" t="s">
        <v>27</v>
      </c>
      <c r="C65" s="397">
        <f>SUM(C63-C64)</f>
        <v>8849.16</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10"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3">
      <selection activeCell="J33" sqref="J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Marysville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Fire</v>
      </c>
      <c r="C5" s="386" t="str">
        <f>gen!C5</f>
        <v>Actual for 2012</v>
      </c>
      <c r="D5" s="386" t="str">
        <f>gen!D5</f>
        <v>Estimate for 2013</v>
      </c>
      <c r="E5" s="26" t="str">
        <f>gen!E5</f>
        <v>Year for 2014</v>
      </c>
    </row>
    <row r="6" spans="2:5" ht="15.75">
      <c r="B6" s="27" t="s">
        <v>118</v>
      </c>
      <c r="C6" s="29">
        <v>10804.97</v>
      </c>
      <c r="D6" s="387">
        <f>C34</f>
        <v>13149.039999999997</v>
      </c>
      <c r="E6" s="32">
        <f>D34</f>
        <v>3622.0399999999972</v>
      </c>
    </row>
    <row r="7" spans="2:5" ht="15.75">
      <c r="B7" s="27" t="s">
        <v>120</v>
      </c>
      <c r="C7" s="387"/>
      <c r="D7" s="387"/>
      <c r="E7" s="33"/>
    </row>
    <row r="8" spans="2:5" ht="15.75">
      <c r="B8" s="27" t="s">
        <v>16</v>
      </c>
      <c r="C8" s="29">
        <v>15317.67</v>
      </c>
      <c r="D8" s="387">
        <f>IF(inputPrYr!H15&gt;0,inputPrYr!G20,inputPrYr!E20)</f>
        <v>17332</v>
      </c>
      <c r="E8" s="33" t="s">
        <v>289</v>
      </c>
    </row>
    <row r="9" spans="2:5" ht="15.75">
      <c r="B9" s="27" t="s">
        <v>17</v>
      </c>
      <c r="C9" s="29">
        <v>80.7</v>
      </c>
      <c r="D9" s="29"/>
      <c r="E9" s="34"/>
    </row>
    <row r="10" spans="2:5" ht="15.75">
      <c r="B10" s="27" t="s">
        <v>18</v>
      </c>
      <c r="C10" s="29">
        <v>2335.68</v>
      </c>
      <c r="D10" s="29">
        <v>1802</v>
      </c>
      <c r="E10" s="32">
        <f>mvalloc!G15</f>
        <v>1953</v>
      </c>
    </row>
    <row r="11" spans="2:5" ht="15.75">
      <c r="B11" s="27" t="s">
        <v>19</v>
      </c>
      <c r="C11" s="29">
        <v>37.65</v>
      </c>
      <c r="D11" s="29">
        <v>46</v>
      </c>
      <c r="E11" s="32">
        <f>mvalloc!I15</f>
        <v>31</v>
      </c>
    </row>
    <row r="12" spans="2:5" ht="15.75">
      <c r="B12" s="35" t="s">
        <v>69</v>
      </c>
      <c r="C12" s="29">
        <v>147.53</v>
      </c>
      <c r="D12" s="29">
        <v>131</v>
      </c>
      <c r="E12" s="32">
        <f>mvalloc!J15</f>
        <v>143</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17919.23</v>
      </c>
      <c r="D20" s="389">
        <f>SUM(D8:D18)</f>
        <v>19311</v>
      </c>
      <c r="E20" s="42">
        <f>SUM(E8:E18)</f>
        <v>2127</v>
      </c>
    </row>
    <row r="21" spans="2:5" ht="15.75">
      <c r="B21" s="43" t="s">
        <v>24</v>
      </c>
      <c r="C21" s="389">
        <f>C20+C6</f>
        <v>28724.199999999997</v>
      </c>
      <c r="D21" s="389">
        <f>D20+D6</f>
        <v>32460.039999999997</v>
      </c>
      <c r="E21" s="42">
        <f>E20+E6</f>
        <v>5749.039999999997</v>
      </c>
    </row>
    <row r="22" spans="2:5" ht="15.75">
      <c r="B22" s="27" t="s">
        <v>25</v>
      </c>
      <c r="C22" s="387"/>
      <c r="D22" s="387"/>
      <c r="E22" s="32"/>
    </row>
    <row r="23" spans="2:5" ht="15.75">
      <c r="B23" s="38" t="s">
        <v>949</v>
      </c>
      <c r="C23" s="29">
        <v>15575.16</v>
      </c>
      <c r="D23" s="29">
        <v>28663</v>
      </c>
      <c r="E23" s="34">
        <v>23470</v>
      </c>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v>175</v>
      </c>
      <c r="E30" s="46">
        <f>nhood!E10</f>
        <v>322</v>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15575.16</v>
      </c>
      <c r="D33" s="389">
        <f>SUM(D23:D31)</f>
        <v>28838</v>
      </c>
      <c r="E33" s="42">
        <f>SUM(E23:E31)</f>
        <v>23792</v>
      </c>
      <c r="G33" s="631">
        <f>D34</f>
        <v>3622.0399999999972</v>
      </c>
      <c r="H33" s="632" t="str">
        <f>CONCATENATE("",E1-1," Ending Cash Balance (est.)")</f>
        <v>2013 Ending Cash Balance (est.)</v>
      </c>
      <c r="I33" s="633"/>
      <c r="J33" s="628"/>
      <c r="K33" s="582"/>
    </row>
    <row r="34" spans="2:11" ht="15.75">
      <c r="B34" s="27" t="s">
        <v>119</v>
      </c>
      <c r="C34" s="382">
        <f>C21-C33</f>
        <v>13149.039999999997</v>
      </c>
      <c r="D34" s="382">
        <f>D21-D33</f>
        <v>3622.0399999999972</v>
      </c>
      <c r="E34" s="33" t="s">
        <v>289</v>
      </c>
      <c r="G34" s="631">
        <f>E20</f>
        <v>2127</v>
      </c>
      <c r="H34" s="615" t="str">
        <f>CONCATENATE("",E1," Non-AV Receipts (est.)")</f>
        <v>2014 Non-AV Receipts (est.)</v>
      </c>
      <c r="I34" s="633"/>
      <c r="J34" s="628"/>
      <c r="K34" s="582"/>
    </row>
    <row r="35" spans="2:11" ht="15.75">
      <c r="B35" s="48" t="str">
        <f>CONCATENATE("",E1-2,"/",E1-1," Budget Authority Amount:")</f>
        <v>2012/2013 Budget Authority Amount:</v>
      </c>
      <c r="C35" s="132">
        <f>inputOth!B50</f>
        <v>19278</v>
      </c>
      <c r="D35" s="161">
        <f>inputPrYr!D20</f>
        <v>28838</v>
      </c>
      <c r="E35" s="33" t="s">
        <v>289</v>
      </c>
      <c r="F35" s="50"/>
      <c r="G35" s="640">
        <f>IF(E39&gt;0,E38,E40)</f>
        <v>18042.960000000003</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23792</v>
      </c>
      <c r="H36" s="615" t="str">
        <f>CONCATENATE("Total ",E1," Resources Available")</f>
        <v>Total 2014 Resources Available</v>
      </c>
      <c r="I36" s="633"/>
      <c r="J36" s="628"/>
      <c r="K36" s="582"/>
    </row>
    <row r="37" spans="2:11" ht="15.75">
      <c r="B37" s="395" t="str">
        <f>CONCATENATE(C92,"     ",D92)</f>
        <v>     </v>
      </c>
      <c r="C37" s="803" t="s">
        <v>623</v>
      </c>
      <c r="D37" s="804"/>
      <c r="E37" s="32">
        <f>E33+E36</f>
        <v>23792</v>
      </c>
      <c r="G37" s="644"/>
      <c r="H37" s="615"/>
      <c r="I37" s="615"/>
      <c r="J37" s="628"/>
      <c r="K37" s="582"/>
    </row>
    <row r="38" spans="2:11" ht="15.75">
      <c r="B38" s="395" t="str">
        <f>CONCATENATE(C93,"     ",D93)</f>
        <v>     </v>
      </c>
      <c r="C38" s="60"/>
      <c r="D38" s="52" t="s">
        <v>28</v>
      </c>
      <c r="E38" s="46">
        <f>IF(E37-E21&gt;0,E37-E21,0)</f>
        <v>18042.960000000003</v>
      </c>
      <c r="G38" s="640">
        <f>C33*0.05+C33</f>
        <v>16353.918</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7438.082</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18042.960000000003</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3.5</v>
      </c>
      <c r="H43" s="632" t="str">
        <f>CONCATENATE("",E1," Fund Mill Rate")</f>
        <v>2014 Fund Mill Rate</v>
      </c>
      <c r="I43" s="656"/>
      <c r="J43" s="657"/>
      <c r="K43" s="582"/>
    </row>
    <row r="44" spans="2:11" ht="15.75">
      <c r="B44" s="14"/>
      <c r="C44" s="385" t="s">
        <v>11</v>
      </c>
      <c r="D44" s="388" t="s">
        <v>12</v>
      </c>
      <c r="E44" s="23" t="s">
        <v>13</v>
      </c>
      <c r="G44" s="659">
        <f>summ!F22</f>
        <v>3.5</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13.883</v>
      </c>
      <c r="H45" s="632" t="str">
        <f>CONCATENATE("Total ",E1," Mill Rate")</f>
        <v>Total 2014 Mill Rate</v>
      </c>
      <c r="I45" s="656"/>
      <c r="J45" s="657"/>
      <c r="K45" s="582"/>
    </row>
    <row r="46" spans="2:11" ht="15.75">
      <c r="B46" s="27" t="s">
        <v>118</v>
      </c>
      <c r="C46" s="29"/>
      <c r="D46" s="387">
        <f>C74</f>
        <v>0</v>
      </c>
      <c r="E46" s="32">
        <f>D74</f>
        <v>0</v>
      </c>
      <c r="G46" s="659">
        <f>summ!F32</f>
        <v>13.936</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v>8</v>
      </c>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13.883</v>
      </c>
      <c r="H85" s="632" t="str">
        <f>CONCATENATE("Total ",E1," Mill Rate")</f>
        <v>Total 2014 Mill Rate</v>
      </c>
      <c r="I85" s="656"/>
      <c r="J85" s="657"/>
      <c r="K85" s="582"/>
    </row>
    <row r="86" spans="7:11" ht="15.75">
      <c r="G86" s="659">
        <f>summ!F32</f>
        <v>13.936</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10"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J33" sqref="J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Marysville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13.883</v>
      </c>
      <c r="H45" s="632" t="str">
        <f>CONCATENATE("Total ",E1," Mill Rate")</f>
        <v>Total 2014 Mill Rate</v>
      </c>
      <c r="I45" s="656"/>
      <c r="J45" s="657"/>
      <c r="K45" s="582"/>
    </row>
    <row r="46" spans="2:11" ht="15.75">
      <c r="B46" s="27" t="s">
        <v>118</v>
      </c>
      <c r="C46" s="29"/>
      <c r="D46" s="387">
        <f>C74</f>
        <v>0</v>
      </c>
      <c r="E46" s="32">
        <f>D74</f>
        <v>0</v>
      </c>
      <c r="G46" s="659">
        <f>summ!F32</f>
        <v>13.936</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13.883</v>
      </c>
      <c r="H85" s="632" t="str">
        <f>CONCATENATE("Total ",E1," Mill Rate")</f>
        <v>Total 2014 Mill Rate</v>
      </c>
      <c r="I85" s="656"/>
      <c r="J85" s="657"/>
      <c r="K85" s="582"/>
    </row>
    <row r="86" spans="7:11" ht="15.75">
      <c r="G86" s="659">
        <f>summ!F32</f>
        <v>13.936</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10"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J33" sqref="J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Marysville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13.883</v>
      </c>
      <c r="H45" s="632" t="str">
        <f>CONCATENATE("Total ",E1," Mill Rate")</f>
        <v>Total 2014 Mill Rate</v>
      </c>
      <c r="I45" s="656"/>
      <c r="J45" s="657"/>
      <c r="K45" s="582"/>
    </row>
    <row r="46" spans="2:11" ht="15.75">
      <c r="B46" s="27" t="s">
        <v>118</v>
      </c>
      <c r="C46" s="29"/>
      <c r="D46" s="387">
        <f>C74</f>
        <v>0</v>
      </c>
      <c r="E46" s="32">
        <f>D74</f>
        <v>0</v>
      </c>
      <c r="G46" s="659">
        <f>summ!F32</f>
        <v>13.936</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13.883</v>
      </c>
      <c r="H85" s="632" t="str">
        <f>CONCATENATE("Total ",E1," Mill Rate")</f>
        <v>Total 2014 Mill Rate</v>
      </c>
      <c r="I85" s="656"/>
      <c r="J85" s="657"/>
      <c r="K85" s="582"/>
    </row>
    <row r="86" spans="7:11" ht="15.75">
      <c r="G86" s="659">
        <f>summ!F32</f>
        <v>13.936</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10"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J33" sqref="J33"/>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Marysville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33" sqref="J3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Marysville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31">
      <selection activeCell="C69" sqref="C69"/>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22100</v>
      </c>
      <c r="E16" s="187"/>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58215</v>
      </c>
      <c r="E19" s="187">
        <v>51164</v>
      </c>
      <c r="G19" s="32">
        <f>IF(H15&gt;0,ROUND(E19-(E19*H15),0),0)</f>
        <v>0</v>
      </c>
    </row>
    <row r="20" spans="1:7" ht="15.75">
      <c r="A20" s="14"/>
      <c r="B20" s="379" t="s">
        <v>943</v>
      </c>
      <c r="C20" s="380" t="s">
        <v>273</v>
      </c>
      <c r="D20" s="187">
        <v>28838</v>
      </c>
      <c r="E20" s="187">
        <v>17332</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68496</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109153</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11.398</v>
      </c>
      <c r="E45" s="14"/>
    </row>
    <row r="46" spans="1:5" ht="15.75">
      <c r="A46" s="14"/>
      <c r="B46" s="72" t="str">
        <f t="shared" si="0"/>
        <v>Fire</v>
      </c>
      <c r="C46" s="14"/>
      <c r="D46" s="322">
        <v>3.5</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14.898</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66289</v>
      </c>
    </row>
    <row r="55" spans="1:5" ht="15.75">
      <c r="A55" s="327" t="str">
        <f>CONCATENATE("Assessed Valuation (",D5-2," budget column)")</f>
        <v>Assessed Valuation (2012 budget column)</v>
      </c>
      <c r="B55" s="328"/>
      <c r="C55" s="267"/>
      <c r="D55" s="28"/>
      <c r="E55" s="187">
        <v>4450045</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scale="10"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J33" sqref="J33"/>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A1" sqref="A1:J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Marysville Township</v>
      </c>
      <c r="C5" s="784"/>
      <c r="D5" s="784"/>
      <c r="E5" s="784"/>
      <c r="F5" s="784"/>
      <c r="G5" s="784"/>
      <c r="H5" s="784"/>
      <c r="I5" s="784"/>
    </row>
    <row r="6" spans="2:9" ht="15.75">
      <c r="B6" s="784" t="str">
        <f>inputPrYr!D3</f>
        <v>Marshall County </v>
      </c>
      <c r="C6" s="784"/>
      <c r="D6" s="784"/>
      <c r="E6" s="784"/>
      <c r="F6" s="784"/>
      <c r="G6" s="784"/>
      <c r="H6" s="784"/>
      <c r="I6" s="784"/>
    </row>
    <row r="7" spans="2:9" ht="15.75">
      <c r="B7" s="775" t="str">
        <f>CONCATENATE("will meet on ",inputBudSum!B8," at ",inputBudSum!B10," at ",inputBudSum!B12," for the purpose of hearing and")</f>
        <v>will meet on August 19, 2013 at 1:00 p.m. at Marysville City Library for the purpose of hearing and</v>
      </c>
      <c r="C7" s="775"/>
      <c r="D7" s="775"/>
      <c r="E7" s="775"/>
      <c r="F7" s="775"/>
      <c r="G7" s="775"/>
      <c r="H7" s="775"/>
      <c r="I7" s="775"/>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1029 Keystone Rd., Marysville, KS  66508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208</v>
      </c>
      <c r="H16" s="838"/>
      <c r="I16" s="156" t="s">
        <v>41</v>
      </c>
      <c r="J16" s="149"/>
    </row>
    <row r="17" spans="2:10" ht="15.75">
      <c r="B17" s="25" t="s">
        <v>285</v>
      </c>
      <c r="C17" s="26" t="s">
        <v>42</v>
      </c>
      <c r="D17" s="26" t="s">
        <v>43</v>
      </c>
      <c r="E17" s="26" t="s">
        <v>42</v>
      </c>
      <c r="F17" s="26" t="s">
        <v>43</v>
      </c>
      <c r="G17" s="26" t="s">
        <v>719</v>
      </c>
      <c r="H17" s="839"/>
      <c r="I17" s="26" t="s">
        <v>43</v>
      </c>
      <c r="J17" s="149"/>
    </row>
    <row r="18" spans="2:10" ht="15.75">
      <c r="B18" s="85" t="str">
        <f>inputPrYr!B16</f>
        <v>General</v>
      </c>
      <c r="C18" s="63">
        <f>IF(gen!$C$50&lt;&gt;0,gen!$C$50,"  ")</f>
        <v>5930.71</v>
      </c>
      <c r="D18" s="524" t="str">
        <f>IF(inputPrYr!D42&gt;0,inputPrYr!D42,"  ")</f>
        <v>  </v>
      </c>
      <c r="E18" s="32">
        <f>IF(gen!$D$50&lt;&gt;0,gen!$D$50,"  ")</f>
        <v>22100</v>
      </c>
      <c r="F18" s="235" t="str">
        <f>IF(inputOth!D17&gt;0,inputOth!D17,"  ")</f>
        <v>  </v>
      </c>
      <c r="G18" s="32">
        <f>IF(gen!$E$50&lt;&gt;0,gen!$E$50,"  ")</f>
        <v>22100</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57747.579999999994</v>
      </c>
      <c r="D21" s="524">
        <f>IF(inputPrYr!D45&gt;0,inputPrYr!D45,"  ")</f>
        <v>11.398</v>
      </c>
      <c r="E21" s="32">
        <f>IF(road!$D$43&lt;&gt;0,road!$D$43,"  ")</f>
        <v>58215</v>
      </c>
      <c r="F21" s="235">
        <f>IF(inputOth!D20&gt;0,inputOth!D20,"  ")</f>
        <v>10.436</v>
      </c>
      <c r="G21" s="32">
        <f>IF(road!$E$43&lt;&gt;0,road!$E$43,"  ")</f>
        <v>63956</v>
      </c>
      <c r="H21" s="32">
        <f>IF(road!$E$50&lt;&gt;0,road!$E$50,"  ")</f>
        <v>53526.71</v>
      </c>
      <c r="I21" s="526">
        <f>IF(road!E50&gt;0,ROUND(H21/$G$37*1000,3)," ")</f>
        <v>10.383</v>
      </c>
      <c r="K21" s="831" t="str">
        <f>CONCATENATE("Estimated Value Of One Mill For ",I1,"")</f>
        <v>Estimated Value Of One Mill For 2014</v>
      </c>
      <c r="L21" s="836"/>
      <c r="M21" s="836"/>
      <c r="N21" s="837"/>
    </row>
    <row r="22" spans="2:14" ht="15.75">
      <c r="B22" s="85" t="str">
        <f>IF(inputPrYr!$B20&gt;"  ",inputPrYr!$B20,"  ")</f>
        <v>Fire</v>
      </c>
      <c r="C22" s="32">
        <f>IF(levypage9!$C$33&lt;&gt;0,levypage9!$C$33,"  ")</f>
        <v>15575.16</v>
      </c>
      <c r="D22" s="524">
        <f>IF(inputPrYr!D46&gt;0,inputPrYr!D46,"  ")</f>
        <v>3.5</v>
      </c>
      <c r="E22" s="32">
        <f>IF(levypage9!$D$33&lt;&gt;0,levypage9!$D$33,"  ")</f>
        <v>28838</v>
      </c>
      <c r="F22" s="235">
        <f>IF(inputOth!D21&gt;0,inputOth!D21,"  ")</f>
        <v>3.5</v>
      </c>
      <c r="G22" s="32">
        <f>IF(levypage9!$E$33&lt;&gt;0,levypage9!$E$33,"  ")</f>
        <v>23792</v>
      </c>
      <c r="H22" s="32">
        <f>IF(levypage9!$E$40&lt;&gt;0,levypage9!$E$40,"  ")</f>
        <v>18042.960000000003</v>
      </c>
      <c r="I22" s="526">
        <f>IF(levypage9!E40&gt;0,ROUND(H22/$G$37*1000,3)," ")</f>
        <v>3.5</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5155</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13.936</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271.33000000000175</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79253.45</v>
      </c>
      <c r="D32" s="478">
        <f t="shared" si="0"/>
        <v>14.898</v>
      </c>
      <c r="E32" s="527">
        <f t="shared" si="0"/>
        <v>109153</v>
      </c>
      <c r="F32" s="478">
        <f t="shared" si="0"/>
        <v>13.936</v>
      </c>
      <c r="G32" s="527">
        <f t="shared" si="0"/>
        <v>109848</v>
      </c>
      <c r="H32" s="527">
        <f t="shared" si="0"/>
        <v>71569.67</v>
      </c>
      <c r="I32" s="530">
        <f t="shared" si="0"/>
        <v>13.883</v>
      </c>
      <c r="K32" s="831" t="str">
        <f>CONCATENATE("Impact On Keeping The Same Mill Rate As For ",I1-1,"")</f>
        <v>Impact On Keeping The Same Mill Rate As For 2013</v>
      </c>
      <c r="L32" s="832"/>
      <c r="M32" s="832"/>
      <c r="N32" s="833"/>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79253.45</v>
      </c>
      <c r="D34" s="14"/>
      <c r="E34" s="528">
        <f>E32-E33</f>
        <v>109153</v>
      </c>
      <c r="F34" s="14"/>
      <c r="G34" s="528">
        <f>G32-G33</f>
        <v>109848</v>
      </c>
      <c r="H34" s="14"/>
      <c r="I34" s="14"/>
      <c r="K34" s="507" t="str">
        <f>CONCATENATE("",I1," Ad Valorem Tax Revenue:")</f>
        <v>2014 Ad Valorem Tax Revenue:</v>
      </c>
      <c r="L34" s="501"/>
      <c r="M34" s="501"/>
      <c r="N34" s="502">
        <f>H32</f>
        <v>71569.67</v>
      </c>
    </row>
    <row r="35" spans="2:14" ht="16.5" thickTop="1">
      <c r="B35" s="274" t="s">
        <v>46</v>
      </c>
      <c r="C35" s="529">
        <f>inputPrYr!E54</f>
        <v>66289</v>
      </c>
      <c r="D35" s="61"/>
      <c r="E35" s="529">
        <f>inputPrYr!E26</f>
        <v>68496</v>
      </c>
      <c r="F35" s="14"/>
      <c r="G35" s="520" t="s">
        <v>289</v>
      </c>
      <c r="H35" s="14"/>
      <c r="I35" s="14"/>
      <c r="K35" s="507" t="str">
        <f>CONCATENATE("",I1-1," Ad Valorem Tax Revenue:")</f>
        <v>2013 Ad Valorem Tax Revenue:</v>
      </c>
      <c r="L35" s="501"/>
      <c r="M35" s="501"/>
      <c r="N35" s="515">
        <f>ROUND(G37*N27/1000,0)</f>
        <v>71841</v>
      </c>
    </row>
    <row r="36" spans="2:14" ht="15.75">
      <c r="B36" s="274" t="s">
        <v>47</v>
      </c>
      <c r="C36" s="55"/>
      <c r="D36" s="61"/>
      <c r="E36" s="55"/>
      <c r="F36" s="61"/>
      <c r="G36" s="14"/>
      <c r="H36" s="14"/>
      <c r="I36" s="14"/>
      <c r="K36" s="512" t="s">
        <v>717</v>
      </c>
      <c r="L36" s="513"/>
      <c r="M36" s="513"/>
      <c r="N36" s="505">
        <f>N34-N35</f>
        <v>-271.33000000000175</v>
      </c>
    </row>
    <row r="37" spans="2:14" ht="15.75">
      <c r="B37" s="274" t="s">
        <v>48</v>
      </c>
      <c r="C37" s="32">
        <f>inputPrYr!E55</f>
        <v>4450045</v>
      </c>
      <c r="D37" s="14"/>
      <c r="E37" s="32">
        <f>inputOth!E29</f>
        <v>4902634</v>
      </c>
      <c r="F37" s="14"/>
      <c r="G37" s="32">
        <f>inputOth!E7</f>
        <v>5155051</v>
      </c>
      <c r="H37" s="14"/>
      <c r="I37" s="14"/>
      <c r="K37" s="506"/>
      <c r="L37" s="506"/>
      <c r="M37" s="506"/>
      <c r="N37" s="514"/>
    </row>
    <row r="38" spans="2:14" ht="15.75">
      <c r="B38" s="22" t="s">
        <v>49</v>
      </c>
      <c r="C38" s="14"/>
      <c r="D38" s="14"/>
      <c r="E38" s="14"/>
      <c r="F38" s="14"/>
      <c r="G38" s="14"/>
      <c r="H38" s="14"/>
      <c r="I38" s="14"/>
      <c r="K38" s="831" t="s">
        <v>718</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13.883</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t="str">
        <f>inputBudSum!B4</f>
        <v>Sue Grauer</v>
      </c>
      <c r="C46" s="830"/>
      <c r="D46" s="14"/>
      <c r="E46" s="14"/>
      <c r="F46" s="14"/>
      <c r="G46" s="14"/>
      <c r="H46" s="14"/>
      <c r="I46" s="14"/>
    </row>
    <row r="47" spans="2:9" ht="15.75">
      <c r="B47" s="828" t="str">
        <f>inputBudSum!B6</f>
        <v>Treasurer</v>
      </c>
      <c r="C47" s="829"/>
      <c r="D47" s="14"/>
      <c r="E47" s="14"/>
      <c r="F47" s="14"/>
      <c r="G47" s="14"/>
      <c r="H47" s="14"/>
      <c r="I47" s="14"/>
    </row>
    <row r="48" spans="2:9" ht="15.75">
      <c r="B48" s="14"/>
      <c r="C48" s="14"/>
      <c r="D48" s="14"/>
      <c r="E48" s="14"/>
      <c r="F48" s="14"/>
      <c r="G48" s="14"/>
      <c r="H48" s="14"/>
      <c r="I48" s="14"/>
    </row>
    <row r="49" spans="2:9" ht="15.75">
      <c r="B49" s="14"/>
      <c r="C49" s="52" t="s">
        <v>9</v>
      </c>
      <c r="D49" s="81">
        <v>9</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10"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3">
      <selection activeCell="J33" sqref="J33"/>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Marysville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52571</v>
      </c>
      <c r="D9" s="131">
        <f t="shared" si="0"/>
        <v>10.19795924424414</v>
      </c>
      <c r="E9" s="132">
        <f t="shared" si="1"/>
        <v>956</v>
      </c>
      <c r="F9" s="129"/>
    </row>
    <row r="10" spans="1:6" ht="15.75">
      <c r="A10" s="14"/>
      <c r="B10" s="72" t="str">
        <f>inputPrYr!B20</f>
        <v>Fire</v>
      </c>
      <c r="C10" s="130">
        <v>17726</v>
      </c>
      <c r="D10" s="131">
        <f t="shared" si="0"/>
        <v>3.438569278946028</v>
      </c>
      <c r="E10" s="132">
        <f t="shared" si="1"/>
        <v>322</v>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70297</v>
      </c>
      <c r="D16" s="135">
        <f>SUM(D6:D15)</f>
        <v>13.636528523190169</v>
      </c>
      <c r="E16" s="134">
        <f>SUM(E6:E15)</f>
        <v>1278</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5155051</v>
      </c>
      <c r="E19" s="14"/>
      <c r="F19" s="129"/>
    </row>
    <row r="20" spans="1:6" ht="15.75">
      <c r="A20" s="14"/>
      <c r="B20" s="14"/>
      <c r="C20" s="14"/>
      <c r="D20" s="14"/>
      <c r="E20" s="14"/>
      <c r="F20" s="129"/>
    </row>
    <row r="21" spans="1:6" ht="15.75">
      <c r="A21" s="14"/>
      <c r="B21" s="842" t="s">
        <v>365</v>
      </c>
      <c r="C21" s="842"/>
      <c r="D21" s="137">
        <f>IF(D19&gt;0,(D19*0.001),"")</f>
        <v>5155.051</v>
      </c>
      <c r="E21" s="14"/>
      <c r="F21" s="129"/>
    </row>
    <row r="22" spans="1:6" ht="15.75">
      <c r="A22" s="14"/>
      <c r="B22" s="48"/>
      <c r="C22" s="48"/>
      <c r="D22" s="138"/>
      <c r="E22" s="14"/>
      <c r="F22" s="129"/>
    </row>
    <row r="23" spans="1:6" ht="15.75">
      <c r="A23" s="840" t="s">
        <v>367</v>
      </c>
      <c r="B23" s="765"/>
      <c r="C23" s="765"/>
      <c r="D23" s="139">
        <f>inputOth!E13</f>
        <v>93760</v>
      </c>
      <c r="E23" s="140"/>
      <c r="F23" s="140"/>
    </row>
    <row r="24" spans="1:6" ht="15.75">
      <c r="A24" s="140"/>
      <c r="B24" s="140"/>
      <c r="C24" s="140"/>
      <c r="D24" s="141"/>
      <c r="E24" s="140"/>
      <c r="F24" s="140"/>
    </row>
    <row r="25" spans="1:6" ht="15.75">
      <c r="A25" s="140"/>
      <c r="B25" s="840" t="s">
        <v>368</v>
      </c>
      <c r="C25" s="841"/>
      <c r="D25" s="142">
        <f>IF(D23&gt;0,(D23*0.001),"")</f>
        <v>93.76</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10</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9">
      <selection activeCell="J33" sqref="J33"/>
    </sheetView>
  </sheetViews>
  <sheetFormatPr defaultColWidth="8.796875" defaultRowHeight="15.75"/>
  <sheetData>
    <row r="1" spans="1:7" ht="15.75">
      <c r="A1" s="846" t="s">
        <v>129</v>
      </c>
      <c r="B1" s="846"/>
      <c r="C1" s="846"/>
      <c r="D1" s="846"/>
      <c r="E1" s="846"/>
      <c r="F1" s="846"/>
      <c r="G1" s="846"/>
    </row>
    <row r="2" ht="15.75">
      <c r="A2" s="1"/>
    </row>
    <row r="3" spans="1:7" ht="15.75">
      <c r="A3" s="847" t="s">
        <v>130</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Marysville Township </v>
      </c>
      <c r="I6">
        <f>CONCATENATE(I7)</f>
      </c>
    </row>
    <row r="7" spans="1:7" ht="15.75">
      <c r="A7" s="848" t="str">
        <f>CONCATENATE("   with respect to financing the ",inputPrYr!D5," annual budget for ",(inputPrYr!D2)," , ",(inputPrYr!D3)," , Kansas.")</f>
        <v>   with respect to financing the 2014 annual budget for Marysville Township , Marshall County  , Kansas.</v>
      </c>
      <c r="B7" s="844"/>
      <c r="C7" s="844"/>
      <c r="D7" s="844"/>
      <c r="E7" s="844"/>
      <c r="F7" s="844"/>
      <c r="G7" s="844"/>
    </row>
    <row r="8" spans="1:7" ht="15.75">
      <c r="A8" s="844"/>
      <c r="B8" s="844"/>
      <c r="C8" s="844"/>
      <c r="D8" s="844"/>
      <c r="E8" s="844"/>
      <c r="F8" s="844"/>
      <c r="G8" s="844"/>
    </row>
    <row r="9" ht="15.75">
      <c r="A9" s="1"/>
    </row>
    <row r="10" ht="15.75">
      <c r="A10" s="9" t="s">
        <v>131</v>
      </c>
    </row>
    <row r="11" ht="15.75">
      <c r="A11" s="7" t="str">
        <f>CONCATENATE("to finance the ",inputPrYr!D5," ",(inputPrYr!D2)," budget exceed the amount levied to finance the ",inputPrYr!D5-1,"")</f>
        <v>to finance the 2014 Marysville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Marysville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136</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132</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Marysville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Marysville Township of Marshall County , Kansas that is our desire to notify the public of increased property taxes to finance the 2014 Marysville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Marysville Township Board, Marshall County ,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Marysville Township Board</v>
      </c>
      <c r="E33" s="850"/>
      <c r="F33" s="850"/>
      <c r="G33" s="850"/>
    </row>
    <row r="35" spans="4:7" ht="15.75">
      <c r="D35" s="851" t="s">
        <v>134</v>
      </c>
      <c r="E35" s="851"/>
      <c r="F35" s="851"/>
      <c r="G35" s="851"/>
    </row>
    <row r="36" spans="1:7" ht="15.75">
      <c r="A36" s="5"/>
      <c r="D36" s="851" t="s">
        <v>138</v>
      </c>
      <c r="E36" s="851"/>
      <c r="F36" s="851"/>
      <c r="G36" s="851"/>
    </row>
    <row r="37" spans="4:7" ht="15.75">
      <c r="D37" s="851"/>
      <c r="E37" s="851"/>
      <c r="F37" s="851"/>
      <c r="G37" s="851"/>
    </row>
    <row r="38" spans="4:7" ht="15.75">
      <c r="D38" s="851" t="s">
        <v>134</v>
      </c>
      <c r="E38" s="851"/>
      <c r="F38" s="851"/>
      <c r="G38" s="851"/>
    </row>
    <row r="39" spans="1:7" ht="15.75">
      <c r="A39" s="4"/>
      <c r="D39" s="851" t="s">
        <v>139</v>
      </c>
      <c r="E39" s="851"/>
      <c r="F39" s="851"/>
      <c r="G39" s="851"/>
    </row>
    <row r="40" spans="4:7" ht="15.75">
      <c r="D40" s="851"/>
      <c r="E40" s="851"/>
      <c r="F40" s="851"/>
      <c r="G40" s="851"/>
    </row>
    <row r="41" spans="4:7" ht="15.75">
      <c r="D41" s="851" t="s">
        <v>137</v>
      </c>
      <c r="E41" s="851"/>
      <c r="F41" s="851"/>
      <c r="G41" s="851"/>
    </row>
    <row r="42" spans="1:7" ht="15.75">
      <c r="A42" s="4"/>
      <c r="D42" s="851" t="s">
        <v>140</v>
      </c>
      <c r="E42" s="851"/>
      <c r="F42" s="851"/>
      <c r="G42" s="851"/>
    </row>
    <row r="43" ht="15.75">
      <c r="A43" s="6"/>
    </row>
    <row r="44" ht="15.75">
      <c r="A44" s="6"/>
    </row>
    <row r="45" ht="15.75">
      <c r="A45" s="6" t="s">
        <v>135</v>
      </c>
    </row>
    <row r="50" spans="3:4" ht="15.75">
      <c r="C50" s="10" t="s">
        <v>9</v>
      </c>
      <c r="D50" s="11">
        <v>11</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4.25">
      <c r="A8" s="402"/>
      <c r="B8" s="857" t="s">
        <v>628</v>
      </c>
      <c r="C8" s="857"/>
      <c r="D8" s="857"/>
      <c r="E8" s="857"/>
      <c r="F8" s="857"/>
      <c r="G8" s="857"/>
      <c r="H8" s="857"/>
      <c r="I8" s="857"/>
      <c r="J8" s="857"/>
      <c r="K8" s="857"/>
      <c r="L8" s="402"/>
    </row>
    <row r="9" spans="1:12" ht="14.25">
      <c r="A9" s="402"/>
      <c r="L9" s="402"/>
    </row>
    <row r="10" spans="1:12" ht="14.25">
      <c r="A10" s="402"/>
      <c r="B10" s="857" t="s">
        <v>629</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59">
        <v>312000000</v>
      </c>
      <c r="G23" s="859"/>
      <c r="L23" s="402"/>
    </row>
    <row r="24" spans="1:12" ht="14.25">
      <c r="A24" s="402"/>
      <c r="L24" s="402"/>
    </row>
    <row r="25" spans="1:12" ht="14.25">
      <c r="A25" s="402"/>
      <c r="C25" s="860">
        <f>F23</f>
        <v>312000000</v>
      </c>
      <c r="D25" s="86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4.25">
      <c r="A31" s="402"/>
      <c r="B31" s="857" t="s">
        <v>639</v>
      </c>
      <c r="C31" s="857"/>
      <c r="D31" s="857"/>
      <c r="E31" s="857"/>
      <c r="F31" s="857"/>
      <c r="G31" s="857"/>
      <c r="H31" s="857"/>
      <c r="I31" s="857"/>
      <c r="J31" s="857"/>
      <c r="K31" s="857"/>
      <c r="L31" s="402"/>
    </row>
    <row r="32" spans="1:12" ht="14.25">
      <c r="A32" s="402"/>
      <c r="L32" s="402"/>
    </row>
    <row r="33" spans="1:12" ht="14.25">
      <c r="A33" s="402"/>
      <c r="B33" s="857" t="s">
        <v>640</v>
      </c>
      <c r="C33" s="857"/>
      <c r="D33" s="857"/>
      <c r="E33" s="857"/>
      <c r="F33" s="857"/>
      <c r="G33" s="857"/>
      <c r="H33" s="857"/>
      <c r="I33" s="857"/>
      <c r="J33" s="857"/>
      <c r="K33" s="857"/>
      <c r="L33" s="402"/>
    </row>
    <row r="34" spans="1:12" ht="14.25">
      <c r="A34" s="402"/>
      <c r="L34" s="402"/>
    </row>
    <row r="35" spans="1:12" ht="89.25" customHeight="1">
      <c r="A35" s="402"/>
      <c r="B35" s="858" t="s">
        <v>641</v>
      </c>
      <c r="C35" s="862"/>
      <c r="D35" s="862"/>
      <c r="E35" s="862"/>
      <c r="F35" s="862"/>
      <c r="G35" s="862"/>
      <c r="H35" s="862"/>
      <c r="I35" s="862"/>
      <c r="J35" s="862"/>
      <c r="K35" s="862"/>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63">
        <v>312000000</v>
      </c>
      <c r="D41" s="863"/>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64">
        <v>312000000</v>
      </c>
      <c r="C48" s="859"/>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65" t="s">
        <v>649</v>
      </c>
      <c r="H50" s="866"/>
      <c r="I50" s="546" t="s">
        <v>635</v>
      </c>
      <c r="J50" s="422">
        <f>B50/F50</f>
        <v>0.16025641025641027</v>
      </c>
      <c r="K50" s="414"/>
      <c r="L50" s="402"/>
    </row>
    <row r="51" spans="1:15" ht="1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4.25">
      <c r="A53" s="402"/>
      <c r="B53" s="857" t="s">
        <v>651</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59">
        <v>312000000</v>
      </c>
      <c r="D74" s="859"/>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59">
        <v>50000</v>
      </c>
      <c r="D77" s="859"/>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59">
        <v>100000</v>
      </c>
      <c r="D80" s="859"/>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4.25">
      <c r="A86" s="402"/>
      <c r="B86" s="853" t="s">
        <v>669</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670</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59">
        <v>312000000</v>
      </c>
      <c r="D114" s="859"/>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59">
        <v>2500000</v>
      </c>
      <c r="D120" s="859"/>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4.25">
      <c r="A126" s="402"/>
      <c r="B126" s="853" t="s">
        <v>676</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677</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74" t="s">
        <v>679</v>
      </c>
      <c r="D133" s="874"/>
      <c r="E133" s="412"/>
      <c r="F133" s="546" t="s">
        <v>680</v>
      </c>
      <c r="G133" s="412"/>
      <c r="H133" s="874" t="s">
        <v>665</v>
      </c>
      <c r="I133" s="874"/>
      <c r="J133" s="412"/>
      <c r="K133" s="414"/>
      <c r="L133" s="402"/>
    </row>
    <row r="134" spans="1:12" ht="14.25">
      <c r="A134" s="402"/>
      <c r="B134" s="420" t="s">
        <v>658</v>
      </c>
      <c r="C134" s="859">
        <v>100000</v>
      </c>
      <c r="D134" s="859"/>
      <c r="E134" s="546" t="s">
        <v>289</v>
      </c>
      <c r="F134" s="546">
        <v>0.115</v>
      </c>
      <c r="G134" s="546" t="s">
        <v>635</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665</v>
      </c>
      <c r="D136" s="876"/>
      <c r="E136" s="430"/>
      <c r="F136" s="548" t="s">
        <v>681</v>
      </c>
      <c r="G136" s="548"/>
      <c r="H136" s="430"/>
      <c r="I136" s="430"/>
      <c r="J136" s="430" t="s">
        <v>682</v>
      </c>
      <c r="K136" s="431"/>
      <c r="L136" s="402"/>
    </row>
    <row r="137" spans="1:12" ht="14.2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75" t="s">
        <v>686</v>
      </c>
      <c r="D147" s="875"/>
      <c r="E147" s="546"/>
      <c r="F147" s="466" t="s">
        <v>687</v>
      </c>
      <c r="G147" s="546"/>
      <c r="H147" s="546"/>
      <c r="I147" s="546"/>
      <c r="J147" s="880" t="s">
        <v>688</v>
      </c>
      <c r="K147" s="881"/>
      <c r="L147" s="402"/>
    </row>
    <row r="148" spans="1:12" ht="14.25">
      <c r="A148" s="402"/>
      <c r="B148" s="420"/>
      <c r="C148" s="882">
        <v>52.869</v>
      </c>
      <c r="D148" s="882"/>
      <c r="E148" s="546" t="s">
        <v>289</v>
      </c>
      <c r="F148" s="542">
        <v>312000000</v>
      </c>
      <c r="G148" s="471" t="s">
        <v>636</v>
      </c>
      <c r="H148" s="546">
        <v>1000</v>
      </c>
      <c r="I148" s="546" t="s">
        <v>635</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9">
      <selection activeCell="E37" sqref="E3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Marysville Township</v>
      </c>
      <c r="B1" s="90"/>
      <c r="C1" s="90"/>
      <c r="D1" s="90"/>
      <c r="E1" s="90">
        <f>inputPrYr!D5</f>
        <v>2014</v>
      </c>
    </row>
    <row r="2" spans="1:5" ht="15.75">
      <c r="A2" s="88" t="str">
        <f>inputPrYr!D3</f>
        <v>Marshall County </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5155051</v>
      </c>
    </row>
    <row r="8" spans="1:5" ht="15.75">
      <c r="A8" s="22" t="str">
        <f>CONCATENATE("New Improvements for ",E1-1,"")</f>
        <v>New Improvements for 2013</v>
      </c>
      <c r="B8" s="19"/>
      <c r="C8" s="19"/>
      <c r="D8" s="19"/>
      <c r="E8" s="283">
        <v>59983</v>
      </c>
    </row>
    <row r="9" spans="1:5" ht="15.75">
      <c r="A9" s="22" t="str">
        <f>CONCATENATE("Personal Property excluding oil, gas, and mobile homes - ",E1-1,"")</f>
        <v>Personal Property excluding oil, gas, and mobile homes - 2013</v>
      </c>
      <c r="B9" s="19"/>
      <c r="C9" s="19"/>
      <c r="D9" s="19"/>
      <c r="E9" s="283">
        <v>87284</v>
      </c>
    </row>
    <row r="10" spans="1:5" ht="15.75">
      <c r="A10" s="22" t="str">
        <f>CONCATENATE("Property that has changed in use for ",E1-1,"")</f>
        <v>Property that has changed in use for 2013</v>
      </c>
      <c r="B10" s="19"/>
      <c r="C10" s="19"/>
      <c r="D10" s="19"/>
      <c r="E10" s="283">
        <v>45568</v>
      </c>
    </row>
    <row r="11" spans="1:5" ht="15.75">
      <c r="A11" s="22" t="str">
        <f>CONCATENATE("Personal Property excluding oil, gas, and mobile homes- ",E1-2,"")</f>
        <v>Personal Property excluding oil, gas, and mobile homes- 2012</v>
      </c>
      <c r="B11" s="19"/>
      <c r="C11" s="19"/>
      <c r="D11" s="19"/>
      <c r="E11" s="283">
        <v>89047</v>
      </c>
    </row>
    <row r="12" spans="1:5" ht="15.75">
      <c r="A12" s="22" t="str">
        <f>CONCATENATE("Gross earnings (intangible) tax estimate for ",E1,"")</f>
        <v>Gross earnings (intangible) tax estimate for 2014</v>
      </c>
      <c r="B12" s="19"/>
      <c r="C12" s="19"/>
      <c r="D12" s="19"/>
      <c r="E12" s="283">
        <v>9686.97</v>
      </c>
    </row>
    <row r="13" spans="1:5" ht="15.75">
      <c r="A13" s="22" t="str">
        <f>CONCATENATE("Neighborhood Revitalization - ",E1,"")</f>
        <v>Neighborhood Revitalization - 2014</v>
      </c>
      <c r="B13" s="19"/>
      <c r="C13" s="19"/>
      <c r="D13" s="19"/>
      <c r="E13" s="283">
        <v>93760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10.436</v>
      </c>
      <c r="E20" s="286"/>
    </row>
    <row r="21" spans="1:5" ht="15.75">
      <c r="A21" s="71" t="str">
        <f>inputPrYr!B20</f>
        <v>Fire</v>
      </c>
      <c r="B21" s="267"/>
      <c r="C21" s="19"/>
      <c r="D21" s="289">
        <v>3.5</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13.936</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4902634</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7719.46</v>
      </c>
    </row>
    <row r="33" spans="1:5" ht="15.75">
      <c r="A33" s="296" t="s">
        <v>276</v>
      </c>
      <c r="B33" s="267"/>
      <c r="C33" s="267"/>
      <c r="D33" s="31"/>
      <c r="E33" s="34">
        <v>122.21</v>
      </c>
    </row>
    <row r="34" spans="1:5" ht="15.75">
      <c r="A34" s="296" t="s">
        <v>160</v>
      </c>
      <c r="B34" s="267"/>
      <c r="C34" s="267"/>
      <c r="D34" s="31"/>
      <c r="E34" s="34">
        <v>567.04</v>
      </c>
    </row>
    <row r="35" spans="1:5" ht="15.75">
      <c r="A35" s="296" t="s">
        <v>161</v>
      </c>
      <c r="B35" s="267"/>
      <c r="C35" s="267"/>
      <c r="D35" s="31"/>
      <c r="E35" s="34"/>
    </row>
    <row r="36" spans="1:5" ht="15.75">
      <c r="A36" s="296" t="s">
        <v>100</v>
      </c>
      <c r="B36" s="20"/>
      <c r="C36" s="20"/>
      <c r="D36" s="295"/>
      <c r="E36" s="34">
        <v>1500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22100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58472</v>
      </c>
      <c r="C49" s="140"/>
      <c r="D49" s="140"/>
      <c r="E49" s="140"/>
    </row>
    <row r="50" spans="1:5" ht="15.75">
      <c r="A50" s="304" t="str">
        <f>inputPrYr!B20</f>
        <v>Fire</v>
      </c>
      <c r="B50" s="36">
        <v>19278</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944</v>
      </c>
      <c r="C4" s="710"/>
      <c r="J4" s="711" t="s">
        <v>843</v>
      </c>
    </row>
    <row r="5" spans="1:10" ht="15.75">
      <c r="A5" s="474"/>
      <c r="B5" s="710"/>
      <c r="J5" s="711" t="s">
        <v>844</v>
      </c>
    </row>
    <row r="6" spans="1:10" ht="15.75">
      <c r="A6" s="474" t="s">
        <v>839</v>
      </c>
      <c r="B6" s="356" t="s">
        <v>945</v>
      </c>
      <c r="J6" s="711" t="s">
        <v>845</v>
      </c>
    </row>
    <row r="7" spans="1:10" ht="15.75">
      <c r="A7" s="353"/>
      <c r="B7" s="353"/>
      <c r="C7" s="353"/>
      <c r="D7" s="355"/>
      <c r="E7" s="353"/>
      <c r="F7" s="353"/>
      <c r="J7" s="711" t="s">
        <v>846</v>
      </c>
    </row>
    <row r="8" spans="1:10" ht="15.75">
      <c r="A8" s="354" t="s">
        <v>372</v>
      </c>
      <c r="B8" s="356" t="s">
        <v>950</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9, 2013</v>
      </c>
      <c r="E9" s="353"/>
      <c r="F9" s="353"/>
      <c r="J9" s="711" t="s">
        <v>848</v>
      </c>
    </row>
    <row r="10" spans="1:10" ht="15.75">
      <c r="A10" s="354" t="s">
        <v>373</v>
      </c>
      <c r="B10" s="356" t="s">
        <v>951</v>
      </c>
      <c r="C10" s="360"/>
      <c r="D10" s="354"/>
      <c r="E10" s="353"/>
      <c r="F10" s="353"/>
      <c r="J10" s="711" t="s">
        <v>849</v>
      </c>
    </row>
    <row r="11" spans="1:10" ht="15.75">
      <c r="A11" s="354"/>
      <c r="B11" s="354"/>
      <c r="C11" s="354"/>
      <c r="D11" s="354"/>
      <c r="E11" s="353"/>
      <c r="F11" s="353"/>
      <c r="J11" s="711" t="s">
        <v>850</v>
      </c>
    </row>
    <row r="12" spans="1:10" ht="15.75">
      <c r="A12" s="354" t="s">
        <v>374</v>
      </c>
      <c r="B12" s="361" t="s">
        <v>952</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953</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41495</v>
      </c>
    </row>
    <row r="22" spans="1:7" ht="15.75">
      <c r="A22" s="354" t="s">
        <v>373</v>
      </c>
      <c r="B22" s="354" t="s">
        <v>378</v>
      </c>
      <c r="C22" s="354"/>
      <c r="D22" s="354"/>
      <c r="E22" s="354"/>
      <c r="G22" s="714">
        <f>IF(B8="","",MONTH(G21))</f>
        <v>8</v>
      </c>
    </row>
    <row r="23" spans="1:7" ht="15.75">
      <c r="A23" s="354"/>
      <c r="B23" s="354"/>
      <c r="C23" s="354"/>
      <c r="D23" s="354"/>
      <c r="E23" s="354"/>
      <c r="G23" s="715">
        <f>IF(B8="","",DAY(G21))</f>
        <v>9</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Marshall County , State of Kansas</v>
      </c>
      <c r="C3" s="774"/>
      <c r="D3" s="774"/>
      <c r="E3" s="774"/>
      <c r="F3" s="774"/>
      <c r="G3" s="774"/>
      <c r="H3" s="774"/>
    </row>
    <row r="4" spans="2:7" s="14" customFormat="1" ht="15.75">
      <c r="B4" s="775" t="s">
        <v>152</v>
      </c>
      <c r="C4" s="783"/>
      <c r="D4" s="783"/>
      <c r="E4" s="783"/>
      <c r="F4" s="783"/>
      <c r="G4" s="783"/>
    </row>
    <row r="5" spans="2:7" s="14" customFormat="1" ht="15.75">
      <c r="B5" s="784" t="str">
        <f>inputPrYr!D2</f>
        <v>Marysville Township</v>
      </c>
      <c r="C5" s="783"/>
      <c r="D5" s="783"/>
      <c r="E5" s="783"/>
      <c r="F5" s="783"/>
      <c r="G5" s="783"/>
    </row>
    <row r="6" spans="2:7" s="14" customFormat="1" ht="15.7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277</v>
      </c>
      <c r="F12" s="767" t="str">
        <f>CONCATENATE("Amount of ",H1-1," Ad Valorem Tax")</f>
        <v>Amount of 2013 Ad Valorem Tax</v>
      </c>
      <c r="G12" s="23" t="s">
        <v>278</v>
      </c>
    </row>
    <row r="13" spans="4:7" s="14" customFormat="1" ht="15.75">
      <c r="D13" s="23" t="s">
        <v>279</v>
      </c>
      <c r="E13" s="522" t="s">
        <v>208</v>
      </c>
      <c r="F13" s="768"/>
      <c r="G13" s="156" t="s">
        <v>280</v>
      </c>
    </row>
    <row r="14" spans="2:7" s="14" customFormat="1" ht="15.75">
      <c r="B14" s="71" t="s">
        <v>281</v>
      </c>
      <c r="C14" s="20"/>
      <c r="D14" s="26" t="s">
        <v>282</v>
      </c>
      <c r="E14" s="523" t="s">
        <v>719</v>
      </c>
      <c r="F14" s="76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22100</v>
      </c>
      <c r="F21" s="722">
        <f>IF(gen!$E$57&lt;&gt;0,gen!$E$57,0)</f>
        <v>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63956</v>
      </c>
      <c r="F24" s="722">
        <f>IF(road!$E$50&lt;&gt;0,road!$E$50,"  ")</f>
        <v>53526.71</v>
      </c>
      <c r="G24" s="723" t="str">
        <f>IF(AND(road!E50=0,$C$40&gt;=0)," ",IF(AND(F24&gt;0,$C$40=0)," ",IF(AND(F24&gt;0,$C$40&gt;0),ROUND(F24/$C$40*1000,3))))</f>
        <v> </v>
      </c>
    </row>
    <row r="25" spans="2:7" s="14" customFormat="1" ht="15.75">
      <c r="B25" s="85" t="str">
        <f>IF(inputPrYr!$B20&gt;"  ",inputPrYr!$B20,"  ")</f>
        <v>Fire</v>
      </c>
      <c r="C25" s="260" t="str">
        <f>IF(inputPrYr!C20&gt;0,inputPrYr!C20,"  ")</f>
        <v>79-1962</v>
      </c>
      <c r="D25" s="261">
        <f>IF(levypage9!C81&gt;0,levypage9!C81,"  ")</f>
        <v>8</v>
      </c>
      <c r="E25" s="722">
        <f>IF(levypage9!$E$33&lt;&gt;0,levypage9!$E$33,"  ")</f>
        <v>23792</v>
      </c>
      <c r="F25" s="722">
        <f>IF(levypage9!$E$40&lt;&gt;0,levypage9!$E$40,"  ")</f>
        <v>18042.960000000003</v>
      </c>
      <c r="G25" s="723" t="str">
        <f>IF(AND(levypage9!E40=0,$C$40&gt;=0)," ",IF(AND(F25&gt;0,$C$40=0)," ",IF(AND(F25&gt;0,$C$40&gt;0),ROUND(F25/$C$40*1000,3))))</f>
        <v> </v>
      </c>
    </row>
    <row r="26" spans="2:7" s="14" customFormat="1" ht="15.75">
      <c r="B26" s="85" t="str">
        <f>IF(inputPrYr!$B21&gt;"  ",inputPrYr!$B21,"  ")</f>
        <v>  </v>
      </c>
      <c r="C26" s="260" t="str">
        <f>IF(inputPrYr!C21&gt;0,inputPrYr!C21,"  ")</f>
        <v>  </v>
      </c>
      <c r="D26" s="261">
        <f>IF(levypage9!C81&gt;0,levypage9!C81,"  ")</f>
        <v>8</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f>IF(road!C67&gt;0,road!C67,"  ")</f>
        <v>7</v>
      </c>
      <c r="E34" s="236"/>
      <c r="F34" s="236"/>
      <c r="G34" s="723"/>
    </row>
    <row r="35" spans="2:7" s="14" customFormat="1" ht="16.5" thickBot="1">
      <c r="B35" s="266" t="s">
        <v>288</v>
      </c>
      <c r="C35" s="267"/>
      <c r="D35" s="159" t="s">
        <v>289</v>
      </c>
      <c r="E35" s="724">
        <f>SUM(E21:E30)</f>
        <v>109848</v>
      </c>
      <c r="F35" s="724">
        <f>SUM(F21:F30)</f>
        <v>71569.67</v>
      </c>
      <c r="G35" s="725">
        <f>IF(SUM(G21:G30)&gt;0,SUM(G21:G30),"")</f>
      </c>
    </row>
    <row r="36" spans="2:4" s="14" customFormat="1" ht="16.5" thickTop="1">
      <c r="B36" s="27" t="s">
        <v>168</v>
      </c>
      <c r="C36" s="259"/>
      <c r="D36" s="264">
        <f>summ!D49</f>
        <v>9</v>
      </c>
    </row>
    <row r="37" spans="2:6" s="14" customFormat="1" ht="15.75">
      <c r="B37" s="27" t="s">
        <v>214</v>
      </c>
      <c r="C37" s="28"/>
      <c r="D37" s="264">
        <f>IF(nhood!C38&gt;0,nhood!C38,"")</f>
        <v>10</v>
      </c>
      <c r="E37" s="268" t="s">
        <v>157</v>
      </c>
      <c r="F37" s="269" t="str">
        <f>IF(F35&gt;computation!J34,"Yes","No")</f>
        <v>Yes</v>
      </c>
    </row>
    <row r="38" spans="2:6" s="14" customFormat="1" ht="15.75">
      <c r="B38" s="27" t="s">
        <v>156</v>
      </c>
      <c r="C38" s="28"/>
      <c r="D38" s="264">
        <f>IF(Resolution!D50&gt;0,Resolution!D50,"")</f>
        <v>11</v>
      </c>
      <c r="E38" s="270"/>
      <c r="F38" s="271"/>
    </row>
    <row r="39" spans="2:7" s="14" customFormat="1" ht="15.75">
      <c r="B39" s="64" t="s">
        <v>97</v>
      </c>
      <c r="C39" s="777" t="s">
        <v>124</v>
      </c>
      <c r="D39" s="778"/>
      <c r="E39" s="272"/>
      <c r="G39" s="22" t="s">
        <v>290</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4" t="s">
        <v>292</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10"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Marysville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68496</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68496</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59983</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87284</v>
      </c>
      <c r="F14" s="246"/>
      <c r="G14" s="55"/>
      <c r="H14" s="55"/>
      <c r="I14" s="53"/>
      <c r="J14" s="55"/>
    </row>
    <row r="15" spans="1:10" ht="15.75">
      <c r="A15" s="245"/>
      <c r="B15" s="14" t="s">
        <v>87</v>
      </c>
      <c r="C15" s="14" t="str">
        <f>CONCATENATE("Personal Property ",J1-2,"")</f>
        <v>Personal Property 2012</v>
      </c>
      <c r="D15" s="245" t="s">
        <v>82</v>
      </c>
      <c r="E15" s="249">
        <f>inputOth!E11</f>
        <v>89047</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45568</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105551</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5155051</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5049500</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0.02090325774829191</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1432</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69928</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69928</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33" sqref="J3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Marysville Township</v>
      </c>
      <c r="C1" s="14"/>
      <c r="D1" s="14"/>
      <c r="E1" s="14"/>
      <c r="F1" s="14"/>
      <c r="G1" s="14"/>
      <c r="H1" s="14"/>
      <c r="I1" s="14"/>
      <c r="J1" s="15">
        <f>inputPrYr!D5</f>
        <v>2014</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51164</v>
      </c>
      <c r="E14" s="131">
        <f>IF(inputOth!D20&gt;0,inputOth!D20,"  ")</f>
        <v>10.436</v>
      </c>
      <c r="F14" s="717"/>
      <c r="G14" s="161">
        <f>IF(inputPrYr!E19=0,0,ROUND(D14*$G$30,0))</f>
        <v>5766</v>
      </c>
      <c r="H14" s="718"/>
      <c r="I14" s="161">
        <f>IF(inputPrYr!$E$19=0,0,ROUND($D$14*$I$32,0))</f>
        <v>91</v>
      </c>
      <c r="J14" s="161">
        <f>IF(inputPrYr!E19=0,0,ROUND($D14*$J$34,0))</f>
        <v>424</v>
      </c>
      <c r="K14" s="90"/>
      <c r="L14" s="90"/>
      <c r="M14" s="550"/>
    </row>
    <row r="15" spans="2:13" ht="15.75">
      <c r="B15" s="85" t="str">
        <f>IF(inputPrYr!$B20&gt;"  ",inputPrYr!$B20,"  ")</f>
        <v>Fire</v>
      </c>
      <c r="C15" s="234"/>
      <c r="D15" s="161">
        <f>IF(inputPrYr!E20&gt;=0,inputPrYr!E20,"  ")</f>
        <v>17332</v>
      </c>
      <c r="E15" s="131">
        <f>IF(inputOth!D21&gt;0,inputOth!D21,"  ")</f>
        <v>3.5</v>
      </c>
      <c r="F15" s="717"/>
      <c r="G15" s="161">
        <f>IF(inputPrYr!E20=0,0,ROUND(D15*$G$30,0))</f>
        <v>1953</v>
      </c>
      <c r="H15" s="718"/>
      <c r="I15" s="161">
        <f>IF(inputPrYr!$E$20=0,0,ROUND($D$15*$I$32,0))</f>
        <v>31</v>
      </c>
      <c r="J15" s="161">
        <f>IF(inputPrYr!E20=0,0,ROUND($D15*$J$34,0))</f>
        <v>143</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68496</v>
      </c>
      <c r="E21" s="720">
        <f>SUM(E11:E20)</f>
        <v>13.936</v>
      </c>
      <c r="F21" s="721"/>
      <c r="G21" s="719">
        <f>SUM(G11:G20)</f>
        <v>7719</v>
      </c>
      <c r="H21" s="719"/>
      <c r="I21" s="719">
        <f>SUM(I11:I20)</f>
        <v>122</v>
      </c>
      <c r="J21" s="719">
        <f>SUM(J11:J20)</f>
        <v>567</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7719.46</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122.21</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567.04</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0.11269942770380752</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0.0017841917776220508</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0.008278439616911937</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33" sqref="J3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Marysville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J33" sqref="J33"/>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Sonya Stohs</cp:lastModifiedBy>
  <cp:lastPrinted>2013-07-28T17:35:57Z</cp:lastPrinted>
  <dcterms:created xsi:type="dcterms:W3CDTF">1998-08-26T16:30:41Z</dcterms:created>
  <dcterms:modified xsi:type="dcterms:W3CDTF">2013-07-31T18:46:01Z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