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4"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<sst xmlns="http://schemas.openxmlformats.org/spreadsheetml/2006/main" count="1582" uniqueCount="952">
  <si>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</si>
  <si>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</si>
  <si>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</si>
  <si>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</si>
  <si>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</si>
  <si>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</si>
  <si>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</si>
  <si>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</si>
  <si>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</si>
  <si>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</si>
  <si>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</si>
  <si>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</si>
  <si>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</si>
  <si>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</si>
  <si>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</si>
  <si>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</si>
  <si>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</si>
  <si>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</si>
  <si>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</si>
  <si>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</si>
  <si>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</si>
  <si>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</si>
  <si>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</si>
  <si>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</si>
  <si>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</si>
  <si>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</si>
  <si>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</si>
  <si>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</si>
  <si>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</si>
  <si>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</si>
  <si>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</si>
  <si>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</si>
  <si>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</si>
  <si>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</si>
  <si>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</si>
  <si>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</si>
  <si>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</si>
  <si>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</si>
  <si>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</si>
  <si>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</si>
  <si>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</si>
  <si>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</si>
  <si>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</si>
  <si>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</si>
  <si>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</si>
  <si>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</si>
  <si>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</si>
  <si>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</si>
  <si>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</si>
  <si>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</si>
  <si>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</si>
  <si>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</si>
  <si>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</si>
  <si>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</si>
  <si>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</si>
  <si>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</si>
  <si>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</si>
  <si>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</si>
  <si>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</si>
  <si>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</si>
  <si>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</si>
  <si>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</si>
  <si>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</si>
  <si>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</si>
  <si>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</si>
  <si>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</si>
  <si>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</si>
  <si>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</si>
  <si>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</si>
  <si>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</si>
  <si>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</si>
  <si>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</si>
  <si>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</si>
  <si>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</si>
  <si>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</si>
  <si>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</si>
  <si>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</si>
  <si>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</si>
  <si>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</si>
  <si>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</si>
  <si>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</si>
  <si>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</si>
  <si>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</si>
  <si>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</si>
  <si>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</si>
  <si>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</si>
  <si>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</si>
  <si>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</si>
  <si>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</si>
  <si>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</si>
  <si>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</si>
  <si>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</si>
  <si>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</si>
  <si>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</si>
  <si>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</si>
  <si>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</si>
  <si>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</si>
  <si>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</si>
  <si>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</si>
  <si>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</si>
  <si>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</si>
  <si>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</si>
  <si>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</si>
  <si>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</si>
  <si>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</si>
  <si>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</si>
  <si>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</si>
  <si>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</si>
  <si>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</si>
  <si>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</si>
  <si>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</si>
  <si>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</si>
  <si>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</si>
  <si>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</si>
  <si>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</si>
  <si>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</si>
  <si>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</si>
  <si>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</si>
  <si>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</si>
  <si>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</si>
  <si>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</si>
  <si>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</si>
  <si>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</si>
  <si>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</si>
  <si>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</si>
  <si>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</si>
  <si>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</si>
  <si>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</si>
  <si>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</si>
  <si>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</si>
  <si>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</si>
  <si>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</si>
  <si>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</si>
  <si>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</si>
  <si>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</si>
  <si>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</si>
  <si>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</si>
  <si>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</si>
  <si>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</si>
  <si>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</si>
  <si>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</si>
  <si>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</si>
  <si>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</si>
  <si>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</si>
  <si>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</si>
  <si>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</si>
  <si>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</si>
  <si>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</si>
  <si>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</si>
  <si>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</si>
  <si>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</si>
  <si>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</si>
  <si>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</si>
  <si>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</si>
  <si>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</si>
  <si>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</si>
  <si>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</si>
  <si>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</si>
  <si>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</si>
  <si>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</si>
  <si>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</si>
  <si>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</si>
  <si>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</si>
  <si>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</si>
  <si>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</si>
  <si>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</si>
  <si>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</si>
  <si>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</si>
  <si>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</si>
  <si>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</si>
  <si>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</si>
  <si>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</si>
  <si>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</si>
  <si>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</si>
  <si>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</si>
  <si>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</si>
  <si>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</si>
  <si>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</si>
  <si>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</si>
  <si>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</si>
  <si>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</si>
  <si>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</si>
  <si>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</si>
  <si>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</si>
  <si>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</si>
  <si>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</si>
  <si>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</si>
  <si>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</si>
  <si>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</si>
  <si>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</si>
  <si>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</si>
  <si>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</si>
  <si>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</si>
  <si>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</si>
  <si>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</si>
  <si>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</si>
  <si>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</si>
  <si>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</si>
  <si>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</si>
  <si>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</si>
  <si>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</si>
  <si>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</si>
  <si>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</si>
  <si>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</si>
  <si>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</si>
  <si>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</si>
  <si>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</si>
  <si>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</si>
  <si>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</si>
  <si>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</si>
  <si>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</si>
  <si>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</si>
  <si>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</si>
  <si>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</si>
  <si>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</si>
  <si>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</si>
  <si>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</si>
  <si>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</si>
  <si>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</si>
  <si>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</si>
  <si>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</si>
  <si>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</si>
  <si>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</si>
  <si>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</si>
  <si>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</si>
  <si>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</si>
  <si>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</si>
  <si>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</si>
  <si>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</si>
  <si>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</si>
  <si>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</si>
  <si>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</si>
  <si>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</si>
  <si>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</si>
  <si>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</si>
  <si>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</si>
  <si>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</si>
  <si>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</si>
  <si>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</si>
  <si>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</si>
  <si>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</si>
  <si>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</si>
  <si>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</si>
  <si>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</si>
  <si>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</si>
  <si>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</si>
  <si>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</si>
  <si>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</si>
  <si>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</si>
  <si>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</si>
  <si>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</si>
  <si>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</si>
  <si>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</si>
  <si>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</si>
  <si>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</si>
  <si>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</si>
  <si>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</si>
  <si>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</si>
  <si>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</si>
  <si>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</si>
  <si>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</si>
  <si>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</si>
  <si>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</si>
  <si>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</si>
  <si>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</si>
  <si>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</si>
  <si>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</si>
  <si>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</si>
  <si>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</si>
  <si>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</si>
  <si>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</si>
  <si>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</si>
  <si>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</si>
  <si>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</si>
  <si>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</si>
  <si>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</si>
  <si>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</si>
  <si>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</si>
  <si>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</si>
  <si>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</si>
  <si>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</si>
  <si>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</si>
  <si>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</si>
  <si>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</si>
  <si>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</si>
  <si>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</si>
  <si>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</si>
  <si>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</si>
  <si>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</si>
  <si>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</si>
  <si>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</si>
  <si>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</si>
  <si>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</si>
  <si>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</si>
  <si>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</si>
  <si>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</si>
  <si>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</si>
  <si>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</si>
  <si>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</si>
  <si>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</si>
  <si>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</si>
  <si>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</si>
  <si>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</si>
  <si>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</si>
  <si>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</si>
  <si>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</si>
  <si>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</si>
  <si>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</si>
  <si>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</si>
  <si>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</si>
  <si>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</si>
  <si>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</si>
  <si>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</si>
  <si>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</si>
  <si>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</si>
  <si>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</si>
  <si>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</si>
  <si>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</si>
  <si>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</si>
  <si>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</si>
  <si>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</si>
  <si>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</si>
  <si>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</si>
  <si>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</si>
  <si>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</si>
  <si>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</si>
  <si>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</si>
  <si>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</si>
  <si>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</si>
  <si>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</si>
  <si>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</si>
  <si>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</si>
  <si>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</si>
  <si>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</si>
  <si>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</si>
  <si>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</si>
  <si>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</si>
  <si>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</si>
  <si>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</si>
  <si>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</si>
  <si>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</si>
  <si>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</si>
  <si>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</si>
  <si>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</si>
  <si>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</si>
  <si>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</si>
  <si>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</si>
  <si>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</si>
  <si>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</si>
  <si>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</si>
  <si>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</si>
  <si>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</si>
  <si>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</si>
  <si>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</si>
  <si>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</si>
  <si>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</si>
  <si>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</si>
  <si>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</si>
  <si>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</si>
  <si>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</si>
  <si>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</si>
  <si>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</si>
  <si>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</si>
  <si>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</si>
  <si>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</si>
  <si>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</si>
  <si>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</si>
  <si>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</si>
  <si>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</si>
  <si>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</si>
  <si>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</si>
  <si>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</si>
  <si>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</si>
  <si>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</si>
  <si>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</si>
  <si>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</si>
  <si>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</si>
  <si>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</si>
  <si>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</si>
  <si>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</si>
  <si>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</si>
  <si>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</si>
  <si>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</si>
  <si>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</si>
  <si>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</si>
  <si>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</si>
  <si>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</si>
  <si>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</si>
  <si>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</si>
  <si>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</si>
  <si>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</si>
  <si>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</si>
  <si>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</si>
  <si>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</si>
  <si>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</si>
  <si>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</si>
  <si>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</si>
  <si>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</si>
  <si>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</si>
  <si>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</si>
  <si>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</si>
  <si>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</si>
  <si>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</si>
  <si>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</si>
  <si>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</si>
  <si>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</si>
  <si>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</si>
  <si>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</si>
  <si>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</si>
  <si>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</si>
  <si>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</si>
  <si>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</si>
  <si>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</si>
  <si>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</si>
  <si>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</si>
  <si>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</si>
  <si>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</si>
  <si>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</si>
  <si>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</si>
  <si>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</si>
  <si>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</si>
  <si>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</si>
  <si>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</si>
  <si>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</si>
  <si>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</si>
  <si>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</si>
  <si>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</si>
  <si>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</si>
  <si>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</si>
  <si>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</si>
  <si>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</si>
  <si>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</si>
  <si>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</si>
  <si>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</si>
  <si>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</si>
  <si>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</si>
  <si>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</si>
  <si>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</si>
  <si>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</si>
  <si>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</si>
  <si>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</si>
  <si>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</si>
  <si>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</si>
  <si>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</si>
  <si>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</si>
  <si>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</si>
  <si>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</si>
  <si>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</si>
  <si>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</si>
  <si>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</si>
  <si>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</si>
  <si>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</si>
  <si>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</si>
  <si>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</si>
  <si>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</si>
  <si>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</si>
  <si>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</si>
  <si>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</si>
  <si>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</si>
  <si>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</si>
  <si>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</si>
  <si>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</si>
  <si>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</si>
  <si>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</si>
  <si>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</si>
  <si>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</si>
  <si>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</si>
  <si>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</si>
  <si>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</si>
  <si>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</si>
  <si>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</si>
  <si>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</si>
  <si>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</si>
  <si>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</si>
  <si>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</si>
  <si>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</si>
  <si>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</si>
  <si>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</si>
  <si>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</si>
  <si>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</si>
  <si>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</si>
  <si>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</si>
  <si>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</si>
  <si>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</si>
  <si>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</si>
  <si>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</si>
  <si>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</si>
  <si>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</si>
  <si>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</si>
  <si>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</si>
  <si>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</si>
  <si>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</si>
  <si>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</si>
  <si>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</si>
  <si>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</si>
  <si>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</si>
  <si>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</si>
  <si>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</si>
  <si>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</si>
  <si>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</si>
  <si>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</si>
  <si>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</si>
  <si>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</si>
  <si>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</si>
  <si>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</si>
  <si>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</si>
  <si>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</si>
  <si>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</si>
  <si>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</si>
  <si>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</si>
  <si>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</si>
  <si>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</si>
  <si>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</si>
  <si>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</si>
  <si>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</si>
  <si>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</si>
  <si>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</si>
  <si>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</si>
  <si>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</si>
  <si>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</si>
  <si>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</si>
  <si>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</si>
  <si>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</si>
  <si>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</si>
  <si>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</si>
  <si>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</si>
  <si>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</si>
  <si>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</si>
  <si>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</si>
  <si>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</si>
  <si>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</si>
  <si>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</si>
  <si>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</si>
  <si>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</si>
  <si>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</si>
  <si>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</si>
  <si>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</si>
  <si>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</si>
  <si>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</si>
  <si>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</si>
  <si>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</si>
  <si>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</si>
  <si>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</si>
  <si>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</si>
  <si>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</si>
  <si>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</si>
  <si>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</si>
  <si>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</si>
  <si>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</si>
  <si>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</si>
  <si>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</si>
  <si>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</si>
  <si>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</si>
  <si>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</si>
  <si>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</si>
  <si>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</si>
  <si>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</si>
  <si>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</si>
  <si>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</si>
  <si>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</si>
  <si>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</si>
  <si>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</si>
  <si>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</si>
  <si>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</si>
  <si>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</si>
  <si>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</si>
  <si>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</si>
  <si>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</si>
  <si>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</si>
  <si>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</si>
  <si>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</si>
  <si>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</si>
  <si>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</si>
  <si>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</si>
  <si>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</si>
  <si>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</si>
  <si>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</si>
  <si>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</si>
  <si>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</si>
  <si>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</si>
  <si>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</si>
  <si>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</si>
  <si>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</si>
  <si>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</si>
  <si>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</si>
  <si>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</si>
  <si>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</si>
  <si>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</si>
  <si>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</si>
  <si>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</si>
  <si>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</si>
  <si>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</si>
  <si>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</si>
  <si>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</si>
  <si>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</si>
  <si>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</si>
  <si>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</si>
  <si>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</si>
  <si>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</si>
  <si>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</si>
  <si>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</si>
  <si>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</si>
  <si>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</si>
  <si>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</si>
  <si>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</si>
  <si>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</si>
  <si>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</si>
  <si>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</si>
  <si>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</si>
  <si>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</si>
  <si>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</si>
  <si>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</si>
  <si>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</si>
  <si>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</si>
  <si>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</si>
  <si>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</si>
  <si>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</si>
  <si>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</si>
  <si>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</si>
  <si>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</si>
  <si>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</si>
  <si>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</si>
  <si>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</si>
  <si>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</si>
  <si>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</si>
  <si>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</si>
  <si>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</si>
  <si>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</si>
  <si>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</si>
  <si>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</si>
  <si>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</si>
  <si>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</si>
  <si>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</si>
  <si>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</si>
  <si>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</si>
  <si>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</si>
  <si>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</si>
  <si>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</si>
  <si>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</si>
  <si>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</si>
  <si>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</si>
  <si>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</si>
  <si>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</si>
  <si>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</si>
  <si>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</si>
  <si>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</si>
  <si>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</si>
  <si>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</si>
  <si>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</si>
  <si>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</si>
  <si>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</si>
  <si>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</si>
  <si>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</si>
  <si>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</si>
  <si>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</si>
  <si>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</si>
  <si>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</si>
  <si>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</si>
  <si>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</si>
  <si>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</si>
  <si>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</si>
  <si>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</si>
  <si>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</si>
  <si>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</si>
  <si>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</si>
  <si>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</si>
  <si>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</si>
  <si>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</si>
  <si>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</si>
  <si>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</si>
  <si>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</si>
  <si>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</si>
  <si>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</si>
  <si>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</si>
  <si>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</si>
  <si>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</si>
  <si>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</si>
  <si>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</si>
  <si>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</si>
  <si>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</si>
  <si>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</si>
  <si>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</si>
  <si>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</si>
  <si>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</si>
  <si>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</si>
  <si>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</si>
  <si>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</si>
  <si>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</si>
  <si>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</si>
  <si>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</si>
  <si>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</si>
  <si>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</si>
  <si>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</si>
  <si>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</si>
  <si>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</si>
  <si>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</si>
  <si>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</si>
  <si>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</si>
  <si>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</si>
  <si>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</si>
  <si>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</si>
  <si>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</si>
  <si>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</si>
  <si>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</si>
  <si>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</si>
  <si>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</si>
  <si>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</si>
  <si>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</si>
  <si>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</si>
  <si>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</si>
  <si>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</si>
  <si>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</si>
  <si>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</si>
  <si>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</si>
  <si>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</si>
  <si>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</si>
  <si>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</si>
  <si>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</si>
  <si>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</si>
  <si>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</si>
  <si>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</si>
  <si>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</si>
  <si>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</si>
  <si>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</si>
  <si>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</si>
  <si>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</si>
  <si>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</si>
  <si>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</si>
  <si>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</si>
  <si>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</si>
  <si>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</si>
  <si>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</si>
  <si>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</si>
  <si>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</si>
  <si>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</si>
  <si>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</si>
  <si>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</si>
  <si>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</si>
  <si>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</si>
  <si>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</si>
  <si>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</si>
  <si>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</si>
  <si>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</si>
  <si>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</si>
  <si>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</si>
  <si>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</si>
  <si>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</si>
  <si>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</si>
  <si>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</si>
  <si>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</si>
  <si>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</si>
  <si>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</si>
  <si>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</si>
  <si>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</si>
  <si>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</si>
  <si>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</si>
  <si>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</si>
  <si>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</si>
  <si>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</si>
  <si>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</si>
  <si>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</si>
  <si>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</si>
  <si>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</si>
  <si>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</si>
  <si>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</si>
  <si>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</si>
  <si>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</si>
  <si>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</si>
  <si>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</si>
  <si>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</si>
  <si>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</si>
  <si>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</si>
  <si>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</si>
  <si>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</si>
  <si>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</si>
  <si>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</si>
  <si>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</si>
  <si>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</si>
  <si>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</si>
  <si>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</si>
  <si>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</si>
  <si>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</si>
  <si>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</si>
  <si>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</si>
  <si>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</si>
  <si>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</si>
  <si>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</si>
  <si>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</si>
  <si>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</si>
  <si>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</si>
  <si>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</si>
  <si>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</si>
  <si>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</si>
  <si>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</si>
  <si>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</si>
  <si>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</si>
  <si>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</si>
  <si>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</si>
  <si>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</si>
  <si>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</si>
  <si>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</si>
  <si>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</si>
  <si>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</si>
  <si>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</si>
  <si>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</si>
  <si>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</si>
  <si>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</si>
  <si>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</si>
  <si>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</si>
  <si>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</si>
  <si>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</si>
  <si>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</si>
  <si>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</si>
  <si>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</si>
  <si>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</si>
  <si>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</si>
  <si>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</si>
  <si>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</si>
  <si>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</si>
  <si>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</si>
  <si>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</si>
  <si>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</si>
  <si>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</si>
  <si>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</si>
  <si>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</si>
  <si>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</si>
  <si>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</si>
  <si>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</si>
  <si>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</si>
  <si>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</si>
  <si>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</si>
  <si>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</si>
  <si>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</si>
  <si>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</si>
  <si>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</si>
  <si>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</si>
  <si>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</si>
  <si>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</si>
  <si>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</si>
  <si>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</si>
  <si>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</si>
  <si>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</si>
  <si>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</si>
  <si>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</si>
  <si>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</si>
  <si>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</si>
  <si>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</si>
  <si>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</si>
  <si>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</si>
  <si>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</si>
  <si>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</si>
  <si>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</si>
  <si>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</si>
  <si>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</si>
  <si>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</si>
  <si>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</si>
  <si>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</si>
  <si>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</si>
  <si>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</si>
  <si>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</si>
  <si>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</si>
  <si>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</si>
  <si>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</si>
  <si>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</si>
  <si>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</si>
  <si>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</si>
  <si>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</si>
  <si>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</si>
  <si>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</si>
  <si>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</si>
  <si>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</si>
  <si>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</si>
  <si>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</si>
  <si>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</si>
  <si>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</si>
  <si>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</si>
  <si>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</si>
  <si>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</si>
  <si>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</si>
  <si>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</si>
  <si>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</si>
  <si>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</si>
  <si>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</si>
  <si>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</si>
  <si>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</si>
  <si>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</si>
  <si>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</si>
  <si>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</si>
  <si>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</si>
  <si>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</si>
  <si>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</si>
  <si>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</si>
  <si>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</si>
  <si>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</si>
  <si>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</si>
  <si>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</si>
  <si>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</si>
  <si>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</si>
  <si>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</si>
  <si>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</si>
  <si>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</si>
  <si>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</si>
  <si>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</si>
  <si>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</si>
  <si>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</si>
  <si>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</si>
  <si>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</si>
  <si>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</si>
  <si>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</si>
  <si>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</si>
  <si>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</si>
  <si>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</si>
  <si>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</si>
  <si>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</si>
  <si>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</si>
  <si>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</si>
  <si>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</si>
  <si>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</si>
  <si>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</si>
  <si>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</si>
  <si>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</si>
  <si>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</si>
  <si>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</si>
  <si>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</si>
  <si>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</si>
  <si>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</si>
  <si>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</si>
  <si>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</si>
  <si>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</si>
  <si>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</si>
  <si>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</si>
  <si>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</si>
  <si>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</si>
  <si>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</si>
  <si>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</si>
  <si>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</si>
  <si>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</si>
  <si>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</si>
  <si>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</si>
  <si>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</si>
  <si>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</si>
  <si>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</si>
  <si>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Hall</t>
  </si>
  <si>
    <t>Fire Protection</t>
  </si>
  <si>
    <t>80-1503</t>
  </si>
  <si>
    <t>80-115</t>
  </si>
  <si>
    <t>Montgomery County Clerk's Office, 217 E. Myrtle, Independence, KS</t>
  </si>
  <si>
    <t>Louisburg Township</t>
  </si>
  <si>
    <t>Publication</t>
  </si>
  <si>
    <t>August 12, 2013</t>
  </si>
  <si>
    <t>7:00 PM</t>
  </si>
  <si>
    <t>Louisburg Township Fire Barn, Elk City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</si>
</sst>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Louisburg Township</v>
      </c>
      <c r="C1" s="167"/>
      <c r="D1" s="167"/>
      <c r="E1" s="167"/>
      <c r="F1" s="167"/>
      <c r="G1" s="167"/>
      <c r="H1" s="167"/>
      <c r="I1" s="167"/>
      <c r="J1" s="14"/>
      <c r="K1" s="14"/>
      <c r="L1" s="15">
        <f>inputPrYr!D5</f>
        <v>2014</v>
      </c>
    </row>
    <row r="2" spans="2:12" ht="15.75">
      <c r="B2" s="166" t="str">
        <f>inputPrYr!$D$3</f>
        <v>Montgomery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Louisburg Township</v>
      </c>
      <c r="C7" s="556"/>
      <c r="D7" s="556"/>
      <c r="E7" s="556"/>
      <c r="F7" s="556"/>
      <c r="G7" s="556"/>
      <c r="H7" s="556"/>
      <c r="I7" s="556"/>
    </row>
    <row r="8" spans="2:9" ht="15.75">
      <c r="B8" s="557" t="str">
        <f>inputPrYr!D3</f>
        <v>Montgomery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9978817</v>
      </c>
      <c r="F27" s="556"/>
      <c r="G27" s="561">
        <f>summ!G37</f>
        <v>8642238</v>
      </c>
      <c r="H27" s="556"/>
      <c r="I27" s="556"/>
    </row>
    <row r="28" spans="2:9" ht="15.75">
      <c r="B28" s="556" t="s">
        <v>779</v>
      </c>
      <c r="C28" s="556"/>
      <c r="D28" s="556"/>
      <c r="E28" s="566" t="str">
        <f>IF(G27-E27&gt;=0,"No","Yes")</f>
        <v>Yes</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8">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Louisburg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0</v>
      </c>
      <c r="D6" s="387">
        <f>C51</f>
        <v>435.170000000001</v>
      </c>
      <c r="E6" s="32">
        <f>D51</f>
        <v>791.170000000001</v>
      </c>
    </row>
    <row r="7" spans="2:5" ht="15.75">
      <c r="B7" s="27" t="s">
        <v>120</v>
      </c>
      <c r="C7" s="387"/>
      <c r="D7" s="387"/>
      <c r="E7" s="33"/>
    </row>
    <row r="8" spans="2:5" ht="15.75">
      <c r="B8" s="27" t="s">
        <v>16</v>
      </c>
      <c r="C8" s="29">
        <v>4089.63</v>
      </c>
      <c r="D8" s="387">
        <f>IF(inputPrYr!H15&gt;0,inputPrYr!G16,inputPrYr!E16)</f>
        <v>5624</v>
      </c>
      <c r="E8" s="33" t="s">
        <v>289</v>
      </c>
    </row>
    <row r="9" spans="2:5" ht="15.75">
      <c r="B9" s="27" t="s">
        <v>17</v>
      </c>
      <c r="C9" s="29">
        <v>51.08</v>
      </c>
      <c r="D9" s="29">
        <v>25</v>
      </c>
      <c r="E9" s="34">
        <v>25</v>
      </c>
    </row>
    <row r="10" spans="2:5" ht="15.75">
      <c r="B10" s="27" t="s">
        <v>18</v>
      </c>
      <c r="C10" s="29">
        <v>370.23</v>
      </c>
      <c r="D10" s="29">
        <v>238</v>
      </c>
      <c r="E10" s="32">
        <f>mvalloc!G11</f>
        <v>317.71000000000004</v>
      </c>
    </row>
    <row r="11" spans="2:5" ht="15.75">
      <c r="B11" s="27" t="s">
        <v>19</v>
      </c>
      <c r="C11" s="29">
        <v>4.89</v>
      </c>
      <c r="D11" s="29">
        <v>3</v>
      </c>
      <c r="E11" s="32">
        <f>mvalloc!I11</f>
        <v>5</v>
      </c>
    </row>
    <row r="12" spans="2:5" ht="15.75">
      <c r="B12" s="35" t="s">
        <v>69</v>
      </c>
      <c r="C12" s="29">
        <v>44.34</v>
      </c>
      <c r="D12" s="29">
        <v>41</v>
      </c>
      <c r="E12" s="32">
        <f>mvalloc!J11</f>
        <v>55.06</v>
      </c>
    </row>
    <row r="13" spans="2:5" ht="15.75">
      <c r="B13" s="35" t="s">
        <v>161</v>
      </c>
      <c r="C13" s="29">
        <v>0</v>
      </c>
      <c r="D13" s="29">
        <v>0</v>
      </c>
      <c r="E13" s="32">
        <f>inputOth!E35</f>
        <v>0</v>
      </c>
    </row>
    <row r="14" spans="2:5" ht="15.75">
      <c r="B14" s="27" t="s">
        <v>20</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4560.170000000001</v>
      </c>
      <c r="D26" s="389">
        <f>SUM(D8:D24)</f>
        <v>5931</v>
      </c>
      <c r="E26" s="42">
        <f>SUM(E8:E24)</f>
        <v>402.77000000000004</v>
      </c>
    </row>
    <row r="27" spans="2:5" ht="15.75">
      <c r="B27" s="43" t="s">
        <v>24</v>
      </c>
      <c r="C27" s="389">
        <f>C26+C6</f>
        <v>4560.170000000001</v>
      </c>
      <c r="D27" s="389">
        <f>D26+D6</f>
        <v>6366.170000000001</v>
      </c>
      <c r="E27" s="42">
        <f>E26+E6</f>
        <v>1193.940000000001</v>
      </c>
    </row>
    <row r="28" spans="2:5" ht="15.75">
      <c r="B28" s="27" t="s">
        <v>25</v>
      </c>
      <c r="C28" s="387"/>
      <c r="D28" s="387"/>
      <c r="E28" s="32"/>
    </row>
    <row r="29" spans="2:5" ht="15.75">
      <c r="B29" s="37"/>
      <c r="C29" s="29"/>
      <c r="D29" s="29"/>
      <c r="E29" s="34"/>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c r="D33" s="29"/>
      <c r="E33" s="34"/>
    </row>
    <row r="34" spans="2:5" ht="15.75">
      <c r="B34" s="37" t="s">
        <v>103</v>
      </c>
      <c r="C34" s="29"/>
      <c r="D34" s="29"/>
      <c r="E34" s="34"/>
    </row>
    <row r="35" spans="2:5" ht="15.75">
      <c r="B35" s="37" t="s">
        <v>126</v>
      </c>
      <c r="C35" s="29"/>
      <c r="D35" s="29"/>
      <c r="E35" s="34"/>
    </row>
    <row r="36" spans="2:5" ht="15.75">
      <c r="B36" s="38" t="s">
        <v>128</v>
      </c>
      <c r="C36" s="29"/>
      <c r="D36" s="29"/>
      <c r="E36" s="34"/>
    </row>
    <row r="37" spans="2:5" ht="15.75">
      <c r="B37" s="38" t="s">
        <v>943</v>
      </c>
      <c r="C37" s="29">
        <v>4000</v>
      </c>
      <c r="D37" s="29">
        <v>5500</v>
      </c>
      <c r="E37" s="34">
        <v>5500</v>
      </c>
    </row>
    <row r="38" spans="2:5" ht="15.75">
      <c r="B38" s="37" t="s">
        <v>948</v>
      </c>
      <c r="C38" s="29">
        <v>125</v>
      </c>
      <c r="D38" s="29">
        <v>75</v>
      </c>
      <c r="E38" s="34">
        <v>150</v>
      </c>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v>0</v>
      </c>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4125</v>
      </c>
      <c r="D50" s="381">
        <f>SUM(D29:D48)</f>
        <v>5575</v>
      </c>
      <c r="E50" s="47">
        <f>SUM(E29:E43,E45,E47:E48)</f>
        <v>5650</v>
      </c>
      <c r="G50" s="484">
        <f>D51</f>
        <v>791.170000000001</v>
      </c>
      <c r="H50" s="485" t="str">
        <f>CONCATENATE("",E1-1," Ending Cash Balance (est.)")</f>
        <v>2013 Ending Cash Balance (est.)</v>
      </c>
      <c r="I50" s="486"/>
      <c r="J50" s="257"/>
    </row>
    <row r="51" spans="2:10" ht="15.75">
      <c r="B51" s="27" t="s">
        <v>119</v>
      </c>
      <c r="C51" s="382">
        <f>C27-C50</f>
        <v>435.170000000001</v>
      </c>
      <c r="D51" s="382">
        <f>SUM(D27-D50)</f>
        <v>791.170000000001</v>
      </c>
      <c r="E51" s="33" t="s">
        <v>289</v>
      </c>
      <c r="G51" s="484">
        <f>E26</f>
        <v>402.77000000000004</v>
      </c>
      <c r="H51" s="487" t="str">
        <f>CONCATENATE("",E1," Non-AV Receipts (est.)")</f>
        <v>2014 Non-AV Receipts (est.)</v>
      </c>
      <c r="I51" s="486"/>
      <c r="J51" s="257"/>
    </row>
    <row r="52" spans="2:11" ht="15.75">
      <c r="B52" s="48" t="str">
        <f>CONCATENATE("",E1-2,"/",E1-1," Budget Authority Amount:")</f>
        <v>2012/2013 Budget Authority Amount:</v>
      </c>
      <c r="C52" s="132">
        <f>inputOth!B46</f>
        <v>5575</v>
      </c>
      <c r="D52" s="161">
        <f>inputPrYr!D16</f>
        <v>5575</v>
      </c>
      <c r="E52" s="33" t="s">
        <v>289</v>
      </c>
      <c r="F52" s="50"/>
      <c r="G52" s="488">
        <f>IF(D56&gt;0,E55,E57)</f>
        <v>4456.0599999999995</v>
      </c>
      <c r="H52" s="487" t="str">
        <f>CONCATENATE("",E1," Ad Valorem Tax (est.)")</f>
        <v>2014 Ad Valorem Tax (est.)</v>
      </c>
      <c r="I52" s="486"/>
      <c r="J52" s="257"/>
      <c r="K52" s="701" t="str">
        <f>IF(G52=E57,"","Note: Does not include Delinquent Taxes")</f>
        <v>Note: Does not include Delinquent Taxes</v>
      </c>
    </row>
    <row r="53" spans="2:10" ht="15.75">
      <c r="B53" s="48"/>
      <c r="C53" s="801" t="s">
        <v>622</v>
      </c>
      <c r="D53" s="802"/>
      <c r="E53" s="34"/>
      <c r="F53" s="482">
        <f>IF(E50/0.95-E50&lt;E53,"Exceeds 5%","")</f>
      </c>
      <c r="G53" s="484">
        <f>SUM(G50:G52)</f>
        <v>5650</v>
      </c>
      <c r="H53" s="487" t="str">
        <f>CONCATENATE("Total ",E1," Resources Available")</f>
        <v>Total 2014 Resources Available</v>
      </c>
      <c r="I53" s="486"/>
      <c r="J53" s="257"/>
    </row>
    <row r="54" spans="2:10" ht="15.75">
      <c r="B54" s="395" t="str">
        <f>CONCATENATE(C72,"     ",D72)</f>
        <v>     </v>
      </c>
      <c r="C54" s="803" t="s">
        <v>623</v>
      </c>
      <c r="D54" s="804"/>
      <c r="E54" s="32">
        <f>E50+E53</f>
        <v>5650</v>
      </c>
      <c r="G54" s="489"/>
      <c r="H54" s="487"/>
      <c r="I54" s="487"/>
      <c r="J54" s="257"/>
    </row>
    <row r="55" spans="2:10" ht="15.75">
      <c r="B55" s="395" t="str">
        <f>CONCATENATE(C73,"     ",D73)</f>
        <v>     </v>
      </c>
      <c r="C55" s="60"/>
      <c r="D55" s="52" t="s">
        <v>28</v>
      </c>
      <c r="E55" s="46">
        <f>IF(E54-E27&gt;0,E54-E27,0)</f>
        <v>4456.0599999999995</v>
      </c>
      <c r="G55" s="488">
        <f>ROUND(C50*0.05+C50,0)</f>
        <v>4331</v>
      </c>
      <c r="H55" s="487" t="str">
        <f>CONCATENATE("Less ",E1-2," Expenditures + 5%")</f>
        <v>Less 2012 Expenditures + 5%</v>
      </c>
      <c r="I55" s="486"/>
      <c r="J55" s="257"/>
    </row>
    <row r="56" spans="2:10" ht="15.75">
      <c r="B56" s="52"/>
      <c r="C56" s="399" t="s">
        <v>624</v>
      </c>
      <c r="D56" s="689">
        <f>inputOth!$E$40</f>
        <v>0.01</v>
      </c>
      <c r="E56" s="32">
        <f>ROUND(IF(D56&gt;0,(E55*D56),0),0)</f>
        <v>45</v>
      </c>
      <c r="G56" s="490">
        <f>G53-G55</f>
        <v>1319</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4501.0599999999995</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0.521</v>
      </c>
      <c r="H60" s="485" t="str">
        <f>CONCATENATE("",E1," Fund Mill Rate")</f>
        <v>2014 Fund Mill Rate</v>
      </c>
      <c r="I60" s="691"/>
      <c r="J60" s="703"/>
      <c r="K60" s="16"/>
    </row>
    <row r="61" spans="2:10" ht="15.75">
      <c r="B61" s="52" t="s">
        <v>9</v>
      </c>
      <c r="C61" s="401">
        <f>IF(inputPrYr!D18&gt;0,7,6)</f>
        <v>6</v>
      </c>
      <c r="D61" s="14"/>
      <c r="E61" s="55"/>
      <c r="G61" s="705">
        <f>summ!F18</f>
        <v>0.563</v>
      </c>
      <c r="H61" s="485" t="str">
        <f>CONCATENATE("",E1-1," Fund Mill Rate")</f>
        <v>2013 Fund Mill Rate</v>
      </c>
      <c r="I61" s="691"/>
      <c r="J61" s="703"/>
    </row>
    <row r="62" spans="7:10" ht="15.75">
      <c r="G62" s="706">
        <f>summ!I32</f>
        <v>2.2720000000000002</v>
      </c>
      <c r="H62" s="485" t="str">
        <f>CONCATENATE("Total ",E1," Mill Rate")</f>
        <v>Total 2014 Mill Rate</v>
      </c>
      <c r="I62" s="691"/>
      <c r="J62" s="703"/>
    </row>
    <row r="63" spans="2:10" ht="15.75">
      <c r="B63" s="12"/>
      <c r="G63" s="705">
        <f>summ!F32</f>
        <v>1.912</v>
      </c>
      <c r="H63" s="707" t="str">
        <f>CONCATENATE("Total ",E1-1," Mill Rate")</f>
        <v>Total 2013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Louisburg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21"/>
      <c r="I31" s="821"/>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0.01</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2.2720000000000002</v>
      </c>
      <c r="H45" s="632" t="str">
        <f>CONCATENATE("Total ",E1," Mill Rate")</f>
        <v>Total 2014 Mill Rate</v>
      </c>
      <c r="I45" s="656"/>
      <c r="J45" s="657"/>
    </row>
    <row r="46" spans="2:10" ht="15.75">
      <c r="B46" s="594" t="s">
        <v>144</v>
      </c>
      <c r="C46" s="599">
        <v>0</v>
      </c>
      <c r="D46" s="596">
        <f>C74</f>
        <v>0</v>
      </c>
      <c r="E46" s="597">
        <f>D74</f>
        <v>0</v>
      </c>
      <c r="F46" s="635"/>
      <c r="G46" s="659">
        <f>summ!F32</f>
        <v>1.912</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0.01</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2.2720000000000002</v>
      </c>
      <c r="H85" s="632" t="str">
        <f>CONCATENATE("Total ",E1," Mill Rate")</f>
        <v>Total 2014 Mill Rate</v>
      </c>
      <c r="I85" s="656"/>
      <c r="J85" s="657"/>
    </row>
    <row r="86" spans="7:10" ht="15.75">
      <c r="G86" s="659">
        <f>summ!F32</f>
        <v>1.912</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Louisburg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119</v>
      </c>
      <c r="C44" s="382">
        <f>C24-C43</f>
        <v>0</v>
      </c>
      <c r="D44" s="382">
        <f>D24-D43</f>
        <v>0</v>
      </c>
      <c r="E44" s="33" t="s">
        <v>289</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623</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624</v>
      </c>
      <c r="D49" s="689">
        <f>inputOth!$E$40</f>
        <v>0.01</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2.2720000000000002</v>
      </c>
      <c r="H55" s="485" t="str">
        <f>CONCATENATE("Total ",E1," Mill Rate")</f>
        <v>Total 2014 Mill Rate</v>
      </c>
      <c r="I55" s="691"/>
      <c r="J55" s="703"/>
    </row>
    <row r="56" spans="2:10" ht="15.75">
      <c r="B56" s="72" t="s">
        <v>33</v>
      </c>
      <c r="C56" s="132"/>
      <c r="D56" s="14"/>
      <c r="E56" s="14"/>
      <c r="G56" s="705">
        <f>summ!F32</f>
        <v>1.912</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81" sqref="D8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Louisburg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Hall</v>
      </c>
      <c r="C5" s="386" t="str">
        <f>gen!C5</f>
        <v>Actual for 2012</v>
      </c>
      <c r="D5" s="386" t="str">
        <f>gen!D5</f>
        <v>Estimate for 2013</v>
      </c>
      <c r="E5" s="26" t="str">
        <f>gen!E5</f>
        <v>Year for 2014</v>
      </c>
    </row>
    <row r="6" spans="2:5" ht="15.75">
      <c r="B6" s="27" t="s">
        <v>118</v>
      </c>
      <c r="C6" s="29">
        <v>0</v>
      </c>
      <c r="D6" s="387">
        <f>C34</f>
        <v>505</v>
      </c>
      <c r="E6" s="32">
        <f>D34</f>
        <v>2</v>
      </c>
    </row>
    <row r="7" spans="2:5" ht="15.75">
      <c r="B7" s="27" t="s">
        <v>120</v>
      </c>
      <c r="C7" s="387"/>
      <c r="D7" s="387"/>
      <c r="E7" s="33"/>
    </row>
    <row r="8" spans="2:5" ht="15.75">
      <c r="B8" s="27" t="s">
        <v>16</v>
      </c>
      <c r="C8" s="29">
        <v>6135</v>
      </c>
      <c r="D8" s="387">
        <f>IF(inputPrYr!H15&gt;0,inputPrYr!G20,inputPrYr!E20)</f>
        <v>5697</v>
      </c>
      <c r="E8" s="33" t="s">
        <v>289</v>
      </c>
    </row>
    <row r="9" spans="2:5" ht="15.75">
      <c r="B9" s="27" t="s">
        <v>17</v>
      </c>
      <c r="C9" s="29">
        <v>70</v>
      </c>
      <c r="D9" s="29">
        <v>125</v>
      </c>
      <c r="E9" s="34">
        <v>50</v>
      </c>
    </row>
    <row r="10" spans="2:5" ht="15.75">
      <c r="B10" s="27" t="s">
        <v>18</v>
      </c>
      <c r="C10" s="29">
        <v>402</v>
      </c>
      <c r="D10" s="29">
        <v>357</v>
      </c>
      <c r="E10" s="32">
        <f>mvalloc!G15</f>
        <v>321</v>
      </c>
    </row>
    <row r="11" spans="2:5" ht="15.75">
      <c r="B11" s="27" t="s">
        <v>19</v>
      </c>
      <c r="C11" s="29">
        <v>5</v>
      </c>
      <c r="D11" s="29">
        <v>6</v>
      </c>
      <c r="E11" s="32">
        <f>mvalloc!I15</f>
        <v>4</v>
      </c>
    </row>
    <row r="12" spans="2:5" ht="15.75">
      <c r="B12" s="35" t="s">
        <v>69</v>
      </c>
      <c r="C12" s="29">
        <v>65</v>
      </c>
      <c r="D12" s="29">
        <v>62</v>
      </c>
      <c r="E12" s="32">
        <f>mvalloc!J15</f>
        <v>56</v>
      </c>
    </row>
    <row r="13" spans="2:5" ht="15.75">
      <c r="B13" s="38"/>
      <c r="C13" s="29"/>
      <c r="D13" s="29" t="s">
        <v>277</v>
      </c>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6677</v>
      </c>
      <c r="D20" s="389">
        <f>SUM(D8:D18)</f>
        <v>6247</v>
      </c>
      <c r="E20" s="42">
        <f>SUM(E8:E18)</f>
        <v>431</v>
      </c>
    </row>
    <row r="21" spans="2:5" ht="15.75">
      <c r="B21" s="43" t="s">
        <v>24</v>
      </c>
      <c r="C21" s="389">
        <f>C20+C6</f>
        <v>6677</v>
      </c>
      <c r="D21" s="389">
        <f>D20+D6</f>
        <v>6752</v>
      </c>
      <c r="E21" s="42">
        <f>E20+E6</f>
        <v>433</v>
      </c>
    </row>
    <row r="22" spans="2:5" ht="15.75">
      <c r="B22" s="27" t="s">
        <v>25</v>
      </c>
      <c r="C22" s="387"/>
      <c r="D22" s="387"/>
      <c r="E22" s="32"/>
    </row>
    <row r="23" spans="2:5" ht="15.75">
      <c r="B23" s="38" t="s">
        <v>943</v>
      </c>
      <c r="C23" s="29">
        <v>6172</v>
      </c>
      <c r="D23" s="29">
        <v>6750</v>
      </c>
      <c r="E23" s="34">
        <v>7100</v>
      </c>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6172</v>
      </c>
      <c r="D33" s="389">
        <f>SUM(D23:D31)</f>
        <v>6750</v>
      </c>
      <c r="E33" s="42">
        <f>SUM(E23:E31)</f>
        <v>7100</v>
      </c>
      <c r="G33" s="631">
        <f>D34</f>
        <v>2</v>
      </c>
      <c r="H33" s="632" t="str">
        <f>CONCATENATE("",E1-1," Ending Cash Balance (est.)")</f>
        <v>2013 Ending Cash Balance (est.)</v>
      </c>
      <c r="I33" s="633"/>
      <c r="J33" s="628"/>
      <c r="K33" s="582"/>
    </row>
    <row r="34" spans="2:11" ht="15.75">
      <c r="B34" s="27" t="s">
        <v>119</v>
      </c>
      <c r="C34" s="382">
        <f>C21-C33</f>
        <v>505</v>
      </c>
      <c r="D34" s="382">
        <f>D21-D33</f>
        <v>2</v>
      </c>
      <c r="E34" s="33" t="s">
        <v>289</v>
      </c>
      <c r="G34" s="631">
        <f>E20</f>
        <v>431</v>
      </c>
      <c r="H34" s="615" t="str">
        <f>CONCATENATE("",E1," Non-AV Receipts (est.)")</f>
        <v>2014 Non-AV Receipts (est.)</v>
      </c>
      <c r="I34" s="633"/>
      <c r="J34" s="628"/>
      <c r="K34" s="582"/>
    </row>
    <row r="35" spans="2:11" ht="15.75">
      <c r="B35" s="48" t="str">
        <f>CONCATENATE("",E1-2,"/",E1-1," Budget Authority Amount:")</f>
        <v>2012/2013 Budget Authority Amount:</v>
      </c>
      <c r="C35" s="132">
        <f>inputOth!B50</f>
        <v>7100</v>
      </c>
      <c r="D35" s="161">
        <f>inputPrYr!D20</f>
        <v>7100</v>
      </c>
      <c r="E35" s="33" t="s">
        <v>289</v>
      </c>
      <c r="F35" s="50"/>
      <c r="G35" s="640">
        <f>IF(E39&gt;0,E38,E40)</f>
        <v>6667</v>
      </c>
      <c r="H35" s="615" t="str">
        <f>CONCATENATE("",E1," Ad Valorem Tax (est.)")</f>
        <v>2014 Ad Valorem Tax (est.)</v>
      </c>
      <c r="I35" s="633"/>
      <c r="J35" s="628"/>
      <c r="K35" s="641" t="str">
        <f>IF(G35=E40,"","Note: Does not include Delinquent Taxes")</f>
        <v>Note: Does not include Delinquent Taxes</v>
      </c>
    </row>
    <row r="36" spans="2:11" ht="15.75">
      <c r="B36" s="48"/>
      <c r="C36" s="801" t="s">
        <v>622</v>
      </c>
      <c r="D36" s="802"/>
      <c r="E36" s="34"/>
      <c r="F36" s="482">
        <f>IF(E33/0.95-E33&lt;E36,"Exceeds 5%","")</f>
      </c>
      <c r="G36" s="631">
        <f>SUM(G33:G35)</f>
        <v>7100</v>
      </c>
      <c r="H36" s="615" t="str">
        <f>CONCATENATE("Total ",E1," Resources Available")</f>
        <v>Total 2014 Resources Available</v>
      </c>
      <c r="I36" s="633"/>
      <c r="J36" s="628"/>
      <c r="K36" s="582"/>
    </row>
    <row r="37" spans="2:11" ht="15.75">
      <c r="B37" s="395" t="str">
        <f>CONCATENATE(C92,"     ",D92)</f>
        <v>     </v>
      </c>
      <c r="C37" s="803" t="s">
        <v>623</v>
      </c>
      <c r="D37" s="804"/>
      <c r="E37" s="32">
        <f>E33+E36</f>
        <v>7100</v>
      </c>
      <c r="G37" s="644"/>
      <c r="H37" s="615"/>
      <c r="I37" s="615"/>
      <c r="J37" s="628"/>
      <c r="K37" s="582"/>
    </row>
    <row r="38" spans="2:11" ht="15.75">
      <c r="B38" s="395" t="str">
        <f>CONCATENATE(C93,"     ",D93)</f>
        <v>     </v>
      </c>
      <c r="C38" s="60"/>
      <c r="D38" s="52" t="s">
        <v>28</v>
      </c>
      <c r="E38" s="46">
        <f>IF(E37-E21&gt;0,E37-E21,0)</f>
        <v>6667</v>
      </c>
      <c r="G38" s="640">
        <f>C33*0.05+C33</f>
        <v>6480.6</v>
      </c>
      <c r="H38" s="615" t="str">
        <f>CONCATENATE("Less ",E1-2," Expenditures + 5%")</f>
        <v>Less 2012 Expenditures + 5%</v>
      </c>
      <c r="I38" s="615"/>
      <c r="J38" s="628"/>
      <c r="K38" s="582"/>
    </row>
    <row r="39" spans="2:11" ht="15.75">
      <c r="B39" s="52"/>
      <c r="C39" s="399" t="s">
        <v>624</v>
      </c>
      <c r="D39" s="689">
        <f>inputOth!$E$40</f>
        <v>0.01</v>
      </c>
      <c r="E39" s="32">
        <f>ROUND(IF(D39&gt;0,(E38*D39),0),0)</f>
        <v>67</v>
      </c>
      <c r="G39" s="648">
        <f>G36-G38</f>
        <v>619.3999999999996</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6734</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0.779</v>
      </c>
      <c r="H43" s="632" t="str">
        <f>CONCATENATE("",E1," Fund Mill Rate")</f>
        <v>2014 Fund Mill Rate</v>
      </c>
      <c r="I43" s="656"/>
      <c r="J43" s="657"/>
      <c r="K43" s="582"/>
    </row>
    <row r="44" spans="2:11" ht="15.75">
      <c r="B44" s="14"/>
      <c r="C44" s="385" t="s">
        <v>11</v>
      </c>
      <c r="D44" s="388" t="s">
        <v>12</v>
      </c>
      <c r="E44" s="23" t="s">
        <v>13</v>
      </c>
      <c r="G44" s="659">
        <f>summ!F22</f>
        <v>0.571</v>
      </c>
      <c r="H44" s="632" t="str">
        <f>CONCATENATE("",E1-1," Fund Mill Rate")</f>
        <v>2013 Fund Mill Rate</v>
      </c>
      <c r="I44" s="656"/>
      <c r="J44" s="657"/>
      <c r="K44" s="582"/>
    </row>
    <row r="45" spans="2:11" ht="15.75">
      <c r="B45" s="477" t="str">
        <f>inputPrYr!B21</f>
        <v>Fire Protection</v>
      </c>
      <c r="C45" s="386" t="str">
        <f>C5</f>
        <v>Actual for 2012</v>
      </c>
      <c r="D45" s="386" t="str">
        <f>D5</f>
        <v>Estimate for 2013</v>
      </c>
      <c r="E45" s="26" t="str">
        <f>E5</f>
        <v>Year for 2014</v>
      </c>
      <c r="G45" s="661">
        <f>summ!I32</f>
        <v>2.2720000000000002</v>
      </c>
      <c r="H45" s="632" t="str">
        <f>CONCATENATE("Total ",E1," Mill Rate")</f>
        <v>Total 2014 Mill Rate</v>
      </c>
      <c r="I45" s="656"/>
      <c r="J45" s="657"/>
      <c r="K45" s="582"/>
    </row>
    <row r="46" spans="2:11" ht="15.75">
      <c r="B46" s="27" t="s">
        <v>118</v>
      </c>
      <c r="C46" s="29">
        <v>0</v>
      </c>
      <c r="D46" s="387">
        <f>C74</f>
        <v>457</v>
      </c>
      <c r="E46" s="32">
        <f>D74</f>
        <v>0</v>
      </c>
      <c r="G46" s="659">
        <f>summ!F32</f>
        <v>1.912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v>7696</v>
      </c>
      <c r="D48" s="387">
        <f>IF(inputPrYr!H15&gt;0,inputPrYr!G21,inputPrYr!E21)</f>
        <v>7174</v>
      </c>
      <c r="E48" s="33" t="s">
        <v>289</v>
      </c>
      <c r="G48" s="744" t="s">
        <v>933</v>
      </c>
      <c r="H48" s="743"/>
      <c r="I48" s="742" t="str">
        <f>cert!F37</f>
        <v>Yes</v>
      </c>
      <c r="J48" s="582"/>
      <c r="K48" s="582"/>
    </row>
    <row r="49" spans="2:11" ht="15.75">
      <c r="B49" s="27" t="s">
        <v>17</v>
      </c>
      <c r="C49" s="29">
        <v>36</v>
      </c>
      <c r="D49" s="29">
        <v>100</v>
      </c>
      <c r="E49" s="34">
        <v>100</v>
      </c>
      <c r="G49" s="582"/>
      <c r="H49" s="582"/>
      <c r="I49" s="582"/>
      <c r="J49" s="582"/>
      <c r="K49" s="582"/>
    </row>
    <row r="50" spans="2:11" ht="15.75">
      <c r="B50" s="27" t="s">
        <v>18</v>
      </c>
      <c r="C50" s="29">
        <v>330</v>
      </c>
      <c r="D50" s="29">
        <v>454</v>
      </c>
      <c r="E50" s="32">
        <f>mvalloc!G16</f>
        <v>405</v>
      </c>
      <c r="G50" s="582"/>
      <c r="H50" s="582"/>
      <c r="I50" s="582"/>
      <c r="J50" s="582"/>
      <c r="K50" s="582"/>
    </row>
    <row r="51" spans="2:11" ht="15.75">
      <c r="B51" s="27" t="s">
        <v>19</v>
      </c>
      <c r="C51" s="29">
        <v>5</v>
      </c>
      <c r="D51" s="29">
        <v>7</v>
      </c>
      <c r="E51" s="32">
        <f>mvalloc!I16</f>
        <v>5</v>
      </c>
      <c r="G51" s="582"/>
      <c r="H51" s="582"/>
      <c r="I51" s="582"/>
      <c r="J51" s="582"/>
      <c r="K51" s="582"/>
    </row>
    <row r="52" spans="2:11" ht="15.75">
      <c r="B52" s="27" t="s">
        <v>99</v>
      </c>
      <c r="C52" s="29">
        <v>83</v>
      </c>
      <c r="D52" s="29">
        <v>79</v>
      </c>
      <c r="E52" s="32">
        <f>mvalloc!J16</f>
        <v>70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8150</v>
      </c>
      <c r="D60" s="389">
        <f>SUM(D48:D58)</f>
        <v>7814</v>
      </c>
      <c r="E60" s="42">
        <f>SUM(E48:E58)</f>
        <v>580</v>
      </c>
      <c r="G60" s="582"/>
      <c r="H60" s="582"/>
      <c r="I60" s="582"/>
      <c r="J60" s="582"/>
      <c r="K60" s="582"/>
    </row>
    <row r="61" spans="2:11" ht="15.75">
      <c r="B61" s="43" t="s">
        <v>24</v>
      </c>
      <c r="C61" s="389">
        <f>C60+C46</f>
        <v>8150</v>
      </c>
      <c r="D61" s="389">
        <f>D60+D46</f>
        <v>8271</v>
      </c>
      <c r="E61" s="42">
        <f>E60+E46</f>
        <v>580</v>
      </c>
      <c r="G61" s="582"/>
      <c r="H61" s="582"/>
      <c r="I61" s="582"/>
      <c r="J61" s="582"/>
      <c r="K61" s="582"/>
    </row>
    <row r="62" spans="2:11" ht="15.75">
      <c r="B62" s="27" t="s">
        <v>25</v>
      </c>
      <c r="C62" s="387"/>
      <c r="D62" s="387"/>
      <c r="E62" s="32"/>
      <c r="G62" s="582"/>
      <c r="H62" s="582"/>
      <c r="I62" s="582"/>
      <c r="J62" s="582"/>
      <c r="K62" s="582"/>
    </row>
    <row r="63" spans="2:11" ht="15.75">
      <c r="B63" s="38" t="s">
        <v>943</v>
      </c>
      <c r="C63" s="29">
        <v>7693</v>
      </c>
      <c r="D63" s="29">
        <v>8271</v>
      </c>
      <c r="E63" s="34">
        <v>8900</v>
      </c>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7693</v>
      </c>
      <c r="D73" s="389">
        <f>SUM(D63:D71)</f>
        <v>8271</v>
      </c>
      <c r="E73" s="42">
        <f>SUM(E63:E71)</f>
        <v>8900</v>
      </c>
      <c r="G73" s="631">
        <f>D74</f>
        <v>0</v>
      </c>
      <c r="H73" s="632" t="str">
        <f>CONCATENATE("",E1-1," Ending Cash Balance (est.)")</f>
        <v>2013 Ending Cash Balance (est.)</v>
      </c>
      <c r="I73" s="633"/>
      <c r="J73" s="668"/>
      <c r="K73" s="582"/>
    </row>
    <row r="74" spans="2:11" ht="15.75">
      <c r="B74" s="27" t="s">
        <v>119</v>
      </c>
      <c r="C74" s="382">
        <f>C61-C73</f>
        <v>457</v>
      </c>
      <c r="D74" s="382">
        <f>D61-D73</f>
        <v>0</v>
      </c>
      <c r="E74" s="33" t="s">
        <v>289</v>
      </c>
      <c r="G74" s="631">
        <f>E60</f>
        <v>580</v>
      </c>
      <c r="H74" s="615" t="str">
        <f>CONCATENATE("",E1," Non-AV Receipts (est.)")</f>
        <v>2014 Non-AV Receipts (est.)</v>
      </c>
      <c r="I74" s="633"/>
      <c r="J74" s="668"/>
      <c r="K74" s="582"/>
    </row>
    <row r="75" spans="2:11" ht="15.75">
      <c r="B75" s="48" t="str">
        <f>CONCATENATE("",E1-2,"/",E1-1," Budget Authority Amount:")</f>
        <v>2012/2013 Budget Authority Amount:</v>
      </c>
      <c r="C75" s="132">
        <f>inputOth!B51</f>
        <v>8900</v>
      </c>
      <c r="D75" s="161">
        <f>inputPrYr!D21</f>
        <v>8900</v>
      </c>
      <c r="E75" s="33" t="s">
        <v>289</v>
      </c>
      <c r="F75" s="50"/>
      <c r="G75" s="640">
        <f>IF(E79&gt;0,E78,E80)</f>
        <v>8320</v>
      </c>
      <c r="H75" s="615" t="str">
        <f>CONCATENATE("",E1," Ad Valorem Tax (est.)")</f>
        <v>2014 Ad Valorem Tax (est.)</v>
      </c>
      <c r="I75" s="633"/>
      <c r="J75" s="668"/>
      <c r="K75" s="641" t="str">
        <f>IF(G75=E80,"","Note: Does not include Delinquent Taxes")</f>
        <v>Note: Does not include Delinquent Taxes</v>
      </c>
    </row>
    <row r="76" spans="2:11" ht="15.75">
      <c r="B76" s="48"/>
      <c r="C76" s="801" t="s">
        <v>622</v>
      </c>
      <c r="D76" s="802"/>
      <c r="E76" s="34"/>
      <c r="F76" s="482">
        <f>IF(E73/0.95-E73&lt;E76,"Exceeds 5%","")</f>
      </c>
      <c r="G76" s="670">
        <f>SUM(G73:G75)</f>
        <v>8900</v>
      </c>
      <c r="H76" s="615" t="str">
        <f>CONCATENATE("Total ",E1," Resources Available")</f>
        <v>Total 2014 Resources Available</v>
      </c>
      <c r="I76" s="671"/>
      <c r="J76" s="668"/>
      <c r="K76" s="582"/>
    </row>
    <row r="77" spans="2:11" ht="15.75">
      <c r="B77" s="395" t="str">
        <f>CONCATENATE(C94,"     ",D94)</f>
        <v>     </v>
      </c>
      <c r="C77" s="803" t="s">
        <v>623</v>
      </c>
      <c r="D77" s="804"/>
      <c r="E77" s="32">
        <f>E73+E76</f>
        <v>8900</v>
      </c>
      <c r="G77" s="672"/>
      <c r="H77" s="673"/>
      <c r="I77" s="614"/>
      <c r="J77" s="668"/>
      <c r="K77" s="582"/>
    </row>
    <row r="78" spans="2:11" ht="15.75">
      <c r="B78" s="395" t="str">
        <f>CONCATENATE(C95,"     ",D95)</f>
        <v>     </v>
      </c>
      <c r="C78" s="60"/>
      <c r="D78" s="52" t="s">
        <v>28</v>
      </c>
      <c r="E78" s="46">
        <f>IF(E77-E61&gt;0,E77-E61,0)</f>
        <v>8320</v>
      </c>
      <c r="G78" s="640">
        <f>ROUND(C73*0.05+C73,0)</f>
        <v>8078</v>
      </c>
      <c r="H78" s="615" t="str">
        <f>CONCATENATE("Less ",E1-2," Expenditures + 5%")</f>
        <v>Less 2012 Expenditures + 5%</v>
      </c>
      <c r="I78" s="671"/>
      <c r="J78" s="668"/>
      <c r="K78" s="582"/>
    </row>
    <row r="79" spans="2:11" ht="15.75">
      <c r="B79" s="52"/>
      <c r="C79" s="399" t="s">
        <v>624</v>
      </c>
      <c r="D79" s="689">
        <f>inputOth!$E$40</f>
        <v>0.01</v>
      </c>
      <c r="E79" s="32">
        <f>ROUND(IF(D79&gt;0,(E78*D79),0),0)</f>
        <v>83</v>
      </c>
      <c r="G79" s="648">
        <f>G76-G78</f>
        <v>822</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8403</v>
      </c>
      <c r="G80" s="582"/>
      <c r="H80" s="582"/>
      <c r="I80" s="582"/>
      <c r="J80" s="582"/>
      <c r="K80" s="582"/>
    </row>
    <row r="81" spans="2:11" ht="15.75">
      <c r="B81" s="52" t="s">
        <v>9</v>
      </c>
      <c r="C81" s="65">
        <v>7</v>
      </c>
      <c r="D81" s="14"/>
      <c r="E81" s="14"/>
      <c r="G81" s="818" t="s">
        <v>825</v>
      </c>
      <c r="H81" s="819"/>
      <c r="I81" s="819"/>
      <c r="J81" s="820"/>
      <c r="K81" s="582"/>
    </row>
    <row r="82" spans="2:11" ht="15.75">
      <c r="B82" s="80"/>
      <c r="G82" s="655"/>
      <c r="H82" s="632"/>
      <c r="I82" s="656"/>
      <c r="J82" s="657"/>
      <c r="K82" s="582"/>
    </row>
    <row r="83" spans="7:11" ht="15.75">
      <c r="G83" s="658">
        <f>summ!I23</f>
        <v>0.972</v>
      </c>
      <c r="H83" s="632" t="str">
        <f>CONCATENATE("",E1," Fund Mill Rate")</f>
        <v>2014 Fund Mill Rate</v>
      </c>
      <c r="I83" s="656"/>
      <c r="J83" s="657"/>
      <c r="K83" s="582"/>
    </row>
    <row r="84" spans="7:11" ht="15.75">
      <c r="G84" s="659">
        <f>summ!F23</f>
        <v>0.778</v>
      </c>
      <c r="H84" s="632" t="str">
        <f>CONCATENATE("",E1-1," Fund Mill Rate")</f>
        <v>2013 Fund Mill Rate</v>
      </c>
      <c r="I84" s="656"/>
      <c r="J84" s="657"/>
      <c r="K84" s="582"/>
    </row>
    <row r="85" spans="7:11" ht="15.75">
      <c r="G85" s="661">
        <f>summ!I32</f>
        <v>2.2720000000000002</v>
      </c>
      <c r="H85" s="632" t="str">
        <f>CONCATENATE("Total ",E1," Mill Rate")</f>
        <v>Total 2014 Mill Rate</v>
      </c>
      <c r="I85" s="656"/>
      <c r="J85" s="657"/>
      <c r="K85" s="582"/>
    </row>
    <row r="86" spans="7:11" ht="15.75">
      <c r="G86" s="659">
        <f>summ!F32</f>
        <v>1.912</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55">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Louisburg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2.2720000000000002</v>
      </c>
      <c r="H45" s="632" t="str">
        <f>CONCATENATE("Total ",E1," Mill Rate")</f>
        <v>Total 2014 Mill Rate</v>
      </c>
      <c r="I45" s="656"/>
      <c r="J45" s="657"/>
      <c r="K45" s="582"/>
    </row>
    <row r="46" spans="2:11" ht="15.75">
      <c r="B46" s="27" t="s">
        <v>118</v>
      </c>
      <c r="C46" s="29"/>
      <c r="D46" s="387">
        <f>C74</f>
        <v>0</v>
      </c>
      <c r="E46" s="32">
        <f>D74</f>
        <v>0</v>
      </c>
      <c r="G46" s="659">
        <f>summ!F32</f>
        <v>1.912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2.2720000000000002</v>
      </c>
      <c r="H85" s="632" t="str">
        <f>CONCATENATE("Total ",E1," Mill Rate")</f>
        <v>Total 2014 Mill Rate</v>
      </c>
      <c r="I85" s="656"/>
      <c r="J85" s="657"/>
      <c r="K85" s="582"/>
    </row>
    <row r="86" spans="7:11" ht="15.75">
      <c r="G86" s="659">
        <f>summ!F32</f>
        <v>1.912</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22">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Louisburg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0.01</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2.2720000000000002</v>
      </c>
      <c r="H45" s="632" t="str">
        <f>CONCATENATE("Total ",E1," Mill Rate")</f>
        <v>Total 2014 Mill Rate</v>
      </c>
      <c r="I45" s="656"/>
      <c r="J45" s="657"/>
      <c r="K45" s="582"/>
    </row>
    <row r="46" spans="2:11" ht="15.75">
      <c r="B46" s="27" t="s">
        <v>118</v>
      </c>
      <c r="C46" s="29"/>
      <c r="D46" s="387">
        <f>C74</f>
        <v>0</v>
      </c>
      <c r="E46" s="32">
        <f>D74</f>
        <v>0</v>
      </c>
      <c r="G46" s="659">
        <f>summ!F32</f>
        <v>1.912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0.01</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2.2720000000000002</v>
      </c>
      <c r="H85" s="632" t="str">
        <f>CONCATENATE("Total ",E1," Mill Rate")</f>
        <v>Total 2014 Mill Rate</v>
      </c>
      <c r="I85" s="656"/>
      <c r="J85" s="657"/>
      <c r="K85" s="582"/>
    </row>
    <row r="86" spans="7:11" ht="15.75">
      <c r="G86" s="659">
        <f>summ!F32</f>
        <v>1.912</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Louisburg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Louisburg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28">
      <selection activeCell="E62" sqref="E6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947</v>
      </c>
      <c r="E2" s="19"/>
    </row>
    <row r="3" spans="1:5" ht="15.75">
      <c r="A3" s="68" t="s">
        <v>225</v>
      </c>
      <c r="B3" s="14"/>
      <c r="C3" s="14"/>
      <c r="D3" s="378" t="s">
        <v>941</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5575</v>
      </c>
      <c r="E16" s="187">
        <v>5624</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t="s">
        <v>942</v>
      </c>
      <c r="C20" s="380" t="s">
        <v>945</v>
      </c>
      <c r="D20" s="187">
        <v>7100</v>
      </c>
      <c r="E20" s="187">
        <v>5697</v>
      </c>
      <c r="G20" s="32">
        <f>IF(H15&gt;0,ROUND(E20-(E20*H15),0),0)</f>
        <v>0</v>
      </c>
    </row>
    <row r="21" spans="1:7" ht="15.75">
      <c r="A21" s="14"/>
      <c r="B21" s="187" t="s">
        <v>943</v>
      </c>
      <c r="C21" s="391" t="s">
        <v>944</v>
      </c>
      <c r="D21" s="187">
        <v>8900</v>
      </c>
      <c r="E21" s="187">
        <v>7174</v>
      </c>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18495</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21575</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0.404</v>
      </c>
      <c r="E42" s="14"/>
    </row>
    <row r="43" spans="1:5" ht="15.75">
      <c r="A43" s="14"/>
      <c r="B43" s="85" t="str">
        <f>B17</f>
        <v>Debt Service</v>
      </c>
      <c r="C43" s="14"/>
      <c r="D43" s="322">
        <v>0</v>
      </c>
      <c r="E43" s="14"/>
    </row>
    <row r="44" spans="1:5" ht="15.75">
      <c r="A44" s="14"/>
      <c r="B44" s="85" t="str">
        <f>B18</f>
        <v>Library</v>
      </c>
      <c r="C44" s="14"/>
      <c r="D44" s="322">
        <v>0</v>
      </c>
      <c r="E44" s="14"/>
    </row>
    <row r="45" spans="1:5" ht="15.75">
      <c r="A45" s="14"/>
      <c r="B45" s="85" t="str">
        <f aca="true" t="shared" si="0" ref="B45:B51">B19</f>
        <v>Road</v>
      </c>
      <c r="C45" s="14"/>
      <c r="D45" s="322">
        <v>0</v>
      </c>
      <c r="E45" s="14"/>
    </row>
    <row r="46" spans="1:5" ht="15.75">
      <c r="A46" s="14"/>
      <c r="B46" s="72" t="str">
        <f t="shared" si="0"/>
        <v>Hall</v>
      </c>
      <c r="C46" s="14"/>
      <c r="D46" s="322">
        <v>0.606</v>
      </c>
      <c r="E46" s="14"/>
    </row>
    <row r="47" spans="1:5" ht="15.75">
      <c r="A47" s="14"/>
      <c r="B47" s="72" t="str">
        <f t="shared" si="0"/>
        <v>Fire Protection</v>
      </c>
      <c r="C47" s="14"/>
      <c r="D47" s="322">
        <v>0.817</v>
      </c>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1.827</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22997</v>
      </c>
    </row>
    <row r="55" spans="1:5" ht="15.75">
      <c r="A55" s="327" t="str">
        <f>CONCATENATE("Assessed Valuation (",D5-2," budget column)")</f>
        <v>Assessed Valuation (2012 budget column)</v>
      </c>
      <c r="B55" s="328"/>
      <c r="C55" s="267"/>
      <c r="D55" s="28"/>
      <c r="E55" s="187">
        <v>12927871</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v>0</v>
      </c>
    </row>
    <row r="60" spans="1:5" ht="15.75">
      <c r="A60" s="328" t="s">
        <v>166</v>
      </c>
      <c r="B60" s="328"/>
      <c r="C60" s="331"/>
      <c r="D60" s="36"/>
      <c r="E60" s="36">
        <v>0</v>
      </c>
    </row>
    <row r="61" spans="1:5" ht="15.75">
      <c r="A61" s="328" t="s">
        <v>167</v>
      </c>
      <c r="B61" s="328"/>
      <c r="C61" s="331"/>
      <c r="D61" s="36"/>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6">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8"/>
      <c r="D2" s="768"/>
      <c r="E2" s="768"/>
      <c r="F2" s="768"/>
      <c r="G2" s="768"/>
      <c r="H2" s="768"/>
      <c r="I2" s="768"/>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66" t="str">
        <f>inputPrYr!D2</f>
        <v>Louisburg Township</v>
      </c>
      <c r="C5" s="766"/>
      <c r="D5" s="766"/>
      <c r="E5" s="766"/>
      <c r="F5" s="766"/>
      <c r="G5" s="766"/>
      <c r="H5" s="766"/>
      <c r="I5" s="766"/>
    </row>
    <row r="6" spans="2:9" ht="15.75">
      <c r="B6" s="766" t="str">
        <f>inputPrYr!D3</f>
        <v>Montgomery County</v>
      </c>
      <c r="C6" s="766"/>
      <c r="D6" s="766"/>
      <c r="E6" s="766"/>
      <c r="F6" s="766"/>
      <c r="G6" s="766"/>
      <c r="H6" s="766"/>
      <c r="I6" s="766"/>
    </row>
    <row r="7" spans="2:9" ht="15.75">
      <c r="B7" s="764" t="str">
        <f>CONCATENATE("will meet on ",inputBudSum!B8," at ",inputBudSum!B10," at ",inputBudSum!B12," for the purpose of hearing and")</f>
        <v>will meet on August 12, 2013 at 7:00 PM at Louisburg Township Fire Barn, Elk City for the purpose of hearing and</v>
      </c>
      <c r="C7" s="764"/>
      <c r="D7" s="764"/>
      <c r="E7" s="764"/>
      <c r="F7" s="764"/>
      <c r="G7" s="764"/>
      <c r="H7" s="764"/>
      <c r="I7" s="764"/>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Montgomery County Clerk's Office, 217 E. Myrtle, Independence,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75">
      <c r="B16" s="14"/>
      <c r="C16" s="156"/>
      <c r="D16" s="156" t="s">
        <v>41</v>
      </c>
      <c r="E16" s="156"/>
      <c r="F16" s="156" t="s">
        <v>41</v>
      </c>
      <c r="G16" s="156" t="s">
        <v>208</v>
      </c>
      <c r="H16" s="838"/>
      <c r="I16" s="156" t="s">
        <v>41</v>
      </c>
      <c r="J16" s="149"/>
    </row>
    <row r="17" spans="2:10" ht="15.75">
      <c r="B17" s="25" t="s">
        <v>285</v>
      </c>
      <c r="C17" s="26" t="s">
        <v>42</v>
      </c>
      <c r="D17" s="26" t="s">
        <v>43</v>
      </c>
      <c r="E17" s="26" t="s">
        <v>42</v>
      </c>
      <c r="F17" s="26" t="s">
        <v>43</v>
      </c>
      <c r="G17" s="26" t="s">
        <v>719</v>
      </c>
      <c r="H17" s="839"/>
      <c r="I17" s="26" t="s">
        <v>43</v>
      </c>
      <c r="J17" s="149"/>
    </row>
    <row r="18" spans="2:10" ht="15.75">
      <c r="B18" s="85" t="str">
        <f>inputPrYr!B16</f>
        <v>General</v>
      </c>
      <c r="C18" s="63">
        <f>IF(gen!$C$50&lt;&gt;0,gen!$C$50,"  ")</f>
        <v>4125</v>
      </c>
      <c r="D18" s="524">
        <f>IF(inputPrYr!D42&gt;0,inputPrYr!D42,"  ")</f>
        <v>0.404</v>
      </c>
      <c r="E18" s="32">
        <f>IF(gen!$D$50&lt;&gt;0,gen!$D$50,"  ")</f>
        <v>5575</v>
      </c>
      <c r="F18" s="235">
        <f>IF(inputOth!D17&gt;0,inputOth!D17,"  ")</f>
        <v>0.563</v>
      </c>
      <c r="G18" s="32">
        <f>IF(gen!$E$50&lt;&gt;0,gen!$E$50,"  ")</f>
        <v>5650</v>
      </c>
      <c r="H18" s="32">
        <f>IF(gen!$E$57&lt;&gt;0,gen!$E$57," ")</f>
        <v>4501.0599999999995</v>
      </c>
      <c r="I18" s="526">
        <f>IF(gen!E57&gt;0,ROUND(H18/$G$37*1000,3)," ")</f>
        <v>0.521</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2014</v>
      </c>
      <c r="L21" s="836"/>
      <c r="M21" s="836"/>
      <c r="N21" s="837"/>
    </row>
    <row r="22" spans="2:14" ht="15.75">
      <c r="B22" s="85" t="str">
        <f>IF(inputPrYr!$B20&gt;"  ",inputPrYr!$B20,"  ")</f>
        <v>Hall</v>
      </c>
      <c r="C22" s="32">
        <f>IF(levypage9!$C$33&lt;&gt;0,levypage9!$C$33,"  ")</f>
        <v>6172</v>
      </c>
      <c r="D22" s="524">
        <f>IF(inputPrYr!D46&gt;0,inputPrYr!D46,"  ")</f>
        <v>0.606</v>
      </c>
      <c r="E22" s="32">
        <f>IF(levypage9!$D$33&lt;&gt;0,levypage9!$D$33,"  ")</f>
        <v>6750</v>
      </c>
      <c r="F22" s="235">
        <f>IF(inputOth!D21&gt;0,inputOth!D21,"  ")</f>
        <v>0.571</v>
      </c>
      <c r="G22" s="32">
        <f>IF(levypage9!$E$33&lt;&gt;0,levypage9!$E$33,"  ")</f>
        <v>7100</v>
      </c>
      <c r="H22" s="32">
        <f>IF(levypage9!$E$40&lt;&gt;0,levypage9!$E$40,"  ")</f>
        <v>6734</v>
      </c>
      <c r="I22" s="526">
        <f>IF(levypage9!E40&gt;0,ROUND(H22/$G$37*1000,3)," ")</f>
        <v>0.779</v>
      </c>
      <c r="K22" s="500"/>
      <c r="L22" s="501"/>
      <c r="M22" s="501"/>
      <c r="N22" s="502"/>
    </row>
    <row r="23" spans="2:14" ht="15.75">
      <c r="B23" s="85" t="str">
        <f>IF(inputPrYr!$B21&gt;"  ",inputPrYr!$B21,"  ")</f>
        <v>Fire Protection</v>
      </c>
      <c r="C23" s="32">
        <f>IF(levypage9!$C$73&lt;&gt;0,levypage9!$C$73,"  ")</f>
        <v>7693</v>
      </c>
      <c r="D23" s="524">
        <f>IF(inputPrYr!D47&gt;0,inputPrYr!D47,"  ")</f>
        <v>0.817</v>
      </c>
      <c r="E23" s="32">
        <f>IF(levypage9!$D$73&lt;&gt;0,levypage9!$D$73,"  ")</f>
        <v>8271</v>
      </c>
      <c r="F23" s="235">
        <f>IF(inputOth!D22&gt;0,inputOth!D22,"  ")</f>
        <v>0.778</v>
      </c>
      <c r="G23" s="32">
        <f>IF(levypage9!$E$73&lt;&gt;0,levypage9!$E$73,"  ")</f>
        <v>8900</v>
      </c>
      <c r="H23" s="32">
        <f>IF(levypage9!$E$80&lt;&gt;0,levypage9!$E$80,"  ")</f>
        <v>8403</v>
      </c>
      <c r="I23" s="526">
        <f>IF(levypage9!E80&gt;0,ROUND(H23/$G$37*1000,3)," ")</f>
        <v>0.972</v>
      </c>
      <c r="K23" s="503" t="s">
        <v>716</v>
      </c>
      <c r="L23" s="504"/>
      <c r="M23" s="504"/>
      <c r="N23" s="505">
        <f>ROUND(G37/1000,0)</f>
        <v>8642</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1.912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-3114.0599999999977</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17990</v>
      </c>
      <c r="D32" s="478">
        <f t="shared" si="0"/>
        <v>1.827</v>
      </c>
      <c r="E32" s="527">
        <f t="shared" si="0"/>
        <v>20596</v>
      </c>
      <c r="F32" s="478">
        <f t="shared" si="0"/>
        <v>1.912</v>
      </c>
      <c r="G32" s="527">
        <f t="shared" si="0"/>
        <v>21650</v>
      </c>
      <c r="H32" s="527">
        <f t="shared" si="0"/>
        <v>19638.059999999998</v>
      </c>
      <c r="I32" s="530">
        <f t="shared" si="0"/>
        <v>2.2720000000000002</v>
      </c>
      <c r="K32" s="831" t="str">
        <f>CONCATENATE("Impact On Keeping The Same Mill Rate As For ",I1-1,"")</f>
        <v>Impact On Keeping The Same Mill Rate As For 2013</v>
      </c>
      <c r="L32" s="832"/>
      <c r="M32" s="832"/>
      <c r="N32" s="833"/>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17990</v>
      </c>
      <c r="D34" s="14"/>
      <c r="E34" s="528">
        <f>E32-E33</f>
        <v>20596</v>
      </c>
      <c r="F34" s="14"/>
      <c r="G34" s="528">
        <f>G32-G33</f>
        <v>21650</v>
      </c>
      <c r="H34" s="14"/>
      <c r="I34" s="14"/>
      <c r="K34" s="507" t="str">
        <f>CONCATENATE("",I1," Ad Valorem Tax Revenue:")</f>
        <v>2014 Ad Valorem Tax Revenue:</v>
      </c>
      <c r="L34" s="501"/>
      <c r="M34" s="501"/>
      <c r="N34" s="502">
        <f>H32</f>
        <v>19638.059999999998</v>
      </c>
    </row>
    <row r="35" spans="2:14" ht="16.5" thickTop="1">
      <c r="B35" s="274" t="s">
        <v>46</v>
      </c>
      <c r="C35" s="529">
        <f>inputPrYr!E54</f>
        <v>22997</v>
      </c>
      <c r="D35" s="61"/>
      <c r="E35" s="529">
        <f>inputPrYr!E26</f>
        <v>18495</v>
      </c>
      <c r="F35" s="14"/>
      <c r="G35" s="520" t="s">
        <v>289</v>
      </c>
      <c r="H35" s="14"/>
      <c r="I35" s="14"/>
      <c r="K35" s="507" t="str">
        <f>CONCATENATE("",I1-1," Ad Valorem Tax Revenue:")</f>
        <v>2013 Ad Valorem Tax Revenue:</v>
      </c>
      <c r="L35" s="501"/>
      <c r="M35" s="501"/>
      <c r="N35" s="515">
        <f>ROUND(G37*N27/1000,0)</f>
        <v>16524</v>
      </c>
    </row>
    <row r="36" spans="2:14" ht="15.75">
      <c r="B36" s="274" t="s">
        <v>47</v>
      </c>
      <c r="C36" s="55"/>
      <c r="D36" s="61"/>
      <c r="E36" s="55"/>
      <c r="F36" s="61"/>
      <c r="G36" s="14"/>
      <c r="H36" s="14"/>
      <c r="I36" s="14"/>
      <c r="K36" s="512" t="s">
        <v>717</v>
      </c>
      <c r="L36" s="513"/>
      <c r="M36" s="513"/>
      <c r="N36" s="505">
        <f>N34-N35</f>
        <v>3114.0599999999977</v>
      </c>
    </row>
    <row r="37" spans="2:14" ht="15.75">
      <c r="B37" s="274" t="s">
        <v>48</v>
      </c>
      <c r="C37" s="32">
        <f>inputPrYr!E55</f>
        <v>12927871</v>
      </c>
      <c r="D37" s="14"/>
      <c r="E37" s="32">
        <f>inputOth!E29</f>
        <v>9978817</v>
      </c>
      <c r="F37" s="14"/>
      <c r="G37" s="32">
        <f>inputOth!E7</f>
        <v>8642238</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2.2720000000000002</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Louisburg Township</v>
      </c>
      <c r="C46" s="830"/>
      <c r="D46" s="14"/>
      <c r="E46" s="14"/>
      <c r="F46" s="14"/>
      <c r="G46" s="14"/>
      <c r="H46" s="14"/>
      <c r="I46" s="14"/>
    </row>
    <row r="47" spans="2:9" ht="15.75">
      <c r="B47" s="828">
        <f>inputBudSum!B6</f>
        <v>0</v>
      </c>
      <c r="C47" s="829"/>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0">
      <selection activeCell="C39" sqref="C3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Louisburg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Hall</v>
      </c>
      <c r="C10" s="130"/>
      <c r="D10" s="131">
        <f t="shared" si="0"/>
      </c>
      <c r="E10" s="132">
        <f t="shared" si="1"/>
      </c>
      <c r="F10" s="129"/>
    </row>
    <row r="11" spans="1:6" ht="15.75">
      <c r="A11" s="14"/>
      <c r="B11" s="72" t="str">
        <f>inputPrYr!B21</f>
        <v>Fire Protection</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8642238</v>
      </c>
      <c r="E19" s="14"/>
      <c r="F19" s="129"/>
    </row>
    <row r="20" spans="1:6" ht="15.75">
      <c r="A20" s="14"/>
      <c r="B20" s="14"/>
      <c r="C20" s="14"/>
      <c r="D20" s="14"/>
      <c r="E20" s="14"/>
      <c r="F20" s="129"/>
    </row>
    <row r="21" spans="1:6" ht="15.75">
      <c r="A21" s="14"/>
      <c r="B21" s="842" t="s">
        <v>365</v>
      </c>
      <c r="C21" s="842"/>
      <c r="D21" s="137">
        <f>IF(D19&gt;0,(D19*0.001),"")</f>
        <v>8642.238</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6">
      <selection activeCell="I48" sqref="I48"/>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Louisburg Township </v>
      </c>
      <c r="I6">
        <f>CONCATENATE(I7)</f>
      </c>
    </row>
    <row r="7" spans="1:7" ht="15.75">
      <c r="A7" s="848" t="str">
        <f>CONCATENATE("   with respect to financing the ",inputPrYr!D5," annual budget for ",(inputPrYr!D2)," , ",(inputPrYr!D3)," , Kansas.")</f>
        <v>   with respect to financing the 2014 annual budget for Louisburg Township , Montgomery County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2014 Louisburg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Louisburg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Louisburg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Louisburg Township of Montgomery County, Kansas that is our desire to notify the public of increased property taxes to finance the 2014 Louisburg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Louisburg Township Board, Montgomery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Louisburg Township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v>10</v>
      </c>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4.25">
      <c r="A8" s="402"/>
      <c r="B8" s="857" t="s">
        <v>628</v>
      </c>
      <c r="C8" s="857"/>
      <c r="D8" s="857"/>
      <c r="E8" s="857"/>
      <c r="F8" s="857"/>
      <c r="G8" s="857"/>
      <c r="H8" s="857"/>
      <c r="I8" s="857"/>
      <c r="J8" s="857"/>
      <c r="K8" s="857"/>
      <c r="L8" s="402"/>
    </row>
    <row r="9" spans="1:12" ht="14.25">
      <c r="A9" s="402"/>
      <c r="L9" s="402"/>
    </row>
    <row r="10" spans="1:12" ht="14.25">
      <c r="A10" s="402"/>
      <c r="B10" s="857" t="s">
        <v>629</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59">
        <v>312000000</v>
      </c>
      <c r="G23" s="859"/>
      <c r="L23" s="402"/>
    </row>
    <row r="24" spans="1:12" ht="14.25">
      <c r="A24" s="402"/>
      <c r="L24" s="402"/>
    </row>
    <row r="25" spans="1:12" ht="14.25">
      <c r="A25" s="402"/>
      <c r="C25" s="860">
        <f>F23</f>
        <v>312000000</v>
      </c>
      <c r="D25" s="86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4.25">
      <c r="A31" s="402"/>
      <c r="B31" s="857" t="s">
        <v>639</v>
      </c>
      <c r="C31" s="857"/>
      <c r="D31" s="857"/>
      <c r="E31" s="857"/>
      <c r="F31" s="857"/>
      <c r="G31" s="857"/>
      <c r="H31" s="857"/>
      <c r="I31" s="857"/>
      <c r="J31" s="857"/>
      <c r="K31" s="857"/>
      <c r="L31" s="402"/>
    </row>
    <row r="32" spans="1:12" ht="14.25">
      <c r="A32" s="402"/>
      <c r="L32" s="402"/>
    </row>
    <row r="33" spans="1:12" ht="14.25">
      <c r="A33" s="402"/>
      <c r="B33" s="857" t="s">
        <v>640</v>
      </c>
      <c r="C33" s="857"/>
      <c r="D33" s="857"/>
      <c r="E33" s="857"/>
      <c r="F33" s="857"/>
      <c r="G33" s="857"/>
      <c r="H33" s="857"/>
      <c r="I33" s="857"/>
      <c r="J33" s="857"/>
      <c r="K33" s="857"/>
      <c r="L33" s="402"/>
    </row>
    <row r="34" spans="1:12" ht="14.25">
      <c r="A34" s="402"/>
      <c r="L34" s="402"/>
    </row>
    <row r="35" spans="1:12" ht="89.25" customHeight="1">
      <c r="A35" s="402"/>
      <c r="B35" s="858" t="s">
        <v>641</v>
      </c>
      <c r="C35" s="862"/>
      <c r="D35" s="862"/>
      <c r="E35" s="862"/>
      <c r="F35" s="862"/>
      <c r="G35" s="862"/>
      <c r="H35" s="862"/>
      <c r="I35" s="862"/>
      <c r="J35" s="862"/>
      <c r="K35" s="862"/>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3">
        <v>312000000</v>
      </c>
      <c r="D41" s="863"/>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4">
        <v>312000000</v>
      </c>
      <c r="C48" s="859"/>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5" t="s">
        <v>649</v>
      </c>
      <c r="H50" s="866"/>
      <c r="I50" s="546" t="s">
        <v>635</v>
      </c>
      <c r="J50" s="422">
        <f>B50/F50</f>
        <v>0.16025641025641027</v>
      </c>
      <c r="K50" s="414"/>
      <c r="L50" s="402"/>
    </row>
    <row r="51" spans="1:15" ht="1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4.25">
      <c r="A53" s="402"/>
      <c r="B53" s="857" t="s">
        <v>651</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9">
        <v>312000000</v>
      </c>
      <c r="D74" s="859"/>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59">
        <v>50000</v>
      </c>
      <c r="D77" s="859"/>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59">
        <v>100000</v>
      </c>
      <c r="D80" s="859"/>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4.25">
      <c r="A86" s="402"/>
      <c r="B86" s="853" t="s">
        <v>669</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670</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9">
        <v>312000000</v>
      </c>
      <c r="D114" s="859"/>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59">
        <v>2500000</v>
      </c>
      <c r="D120" s="859"/>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4.25">
      <c r="A126" s="402"/>
      <c r="B126" s="853" t="s">
        <v>676</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677</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4" t="s">
        <v>679</v>
      </c>
      <c r="D133" s="874"/>
      <c r="E133" s="412"/>
      <c r="F133" s="546" t="s">
        <v>680</v>
      </c>
      <c r="G133" s="412"/>
      <c r="H133" s="874" t="s">
        <v>665</v>
      </c>
      <c r="I133" s="874"/>
      <c r="J133" s="412"/>
      <c r="K133" s="414"/>
      <c r="L133" s="402"/>
    </row>
    <row r="134" spans="1:12" ht="14.25">
      <c r="A134" s="402"/>
      <c r="B134" s="420" t="s">
        <v>658</v>
      </c>
      <c r="C134" s="859">
        <v>100000</v>
      </c>
      <c r="D134" s="859"/>
      <c r="E134" s="546" t="s">
        <v>289</v>
      </c>
      <c r="F134" s="546">
        <v>0.115</v>
      </c>
      <c r="G134" s="546" t="s">
        <v>635</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665</v>
      </c>
      <c r="D136" s="876"/>
      <c r="E136" s="430"/>
      <c r="F136" s="548" t="s">
        <v>681</v>
      </c>
      <c r="G136" s="548"/>
      <c r="H136" s="430"/>
      <c r="I136" s="430"/>
      <c r="J136" s="430" t="s">
        <v>682</v>
      </c>
      <c r="K136" s="431"/>
      <c r="L136" s="402"/>
    </row>
    <row r="137" spans="1:12" ht="14.2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5" t="s">
        <v>686</v>
      </c>
      <c r="D147" s="875"/>
      <c r="E147" s="546"/>
      <c r="F147" s="466" t="s">
        <v>687</v>
      </c>
      <c r="G147" s="546"/>
      <c r="H147" s="546"/>
      <c r="I147" s="546"/>
      <c r="J147" s="880" t="s">
        <v>688</v>
      </c>
      <c r="K147" s="881"/>
      <c r="L147" s="402"/>
    </row>
    <row r="148" spans="1:12" ht="14.25">
      <c r="A148" s="402"/>
      <c r="B148" s="420"/>
      <c r="C148" s="882">
        <v>52.869</v>
      </c>
      <c r="D148" s="882"/>
      <c r="E148" s="546" t="s">
        <v>289</v>
      </c>
      <c r="F148" s="542">
        <v>312000000</v>
      </c>
      <c r="G148" s="471" t="s">
        <v>636</v>
      </c>
      <c r="H148" s="546">
        <v>1000</v>
      </c>
      <c r="I148" s="546" t="s">
        <v>635</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6">
      <selection activeCell="E12" sqref="E12"/>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Louisburg Township</v>
      </c>
      <c r="B1" s="90"/>
      <c r="C1" s="90"/>
      <c r="D1" s="90"/>
      <c r="E1" s="90">
        <f>inputPrYr!D5</f>
        <v>2014</v>
      </c>
    </row>
    <row r="2" spans="1:5" ht="15.75">
      <c r="A2" s="88" t="str">
        <f>inputPrYr!D3</f>
        <v>Montgomery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8642238</v>
      </c>
    </row>
    <row r="8" spans="1:5" ht="15.75">
      <c r="A8" s="22" t="str">
        <f>CONCATENATE("New Improvements for ",E1-1,"")</f>
        <v>New Improvements for 2013</v>
      </c>
      <c r="B8" s="19"/>
      <c r="C8" s="19"/>
      <c r="D8" s="19"/>
      <c r="E8" s="283">
        <v>51715</v>
      </c>
    </row>
    <row r="9" spans="1:5" ht="15.75">
      <c r="A9" s="22" t="str">
        <f>CONCATENATE("Personal Property excluding oil, gas, and mobile homes - ",E1-1,"")</f>
        <v>Personal Property excluding oil, gas, and mobile homes - 2013</v>
      </c>
      <c r="B9" s="19"/>
      <c r="C9" s="19"/>
      <c r="D9" s="19"/>
      <c r="E9" s="283">
        <v>196165</v>
      </c>
    </row>
    <row r="10" spans="1:5" ht="15.75">
      <c r="A10" s="22" t="str">
        <f>CONCATENATE("Property that has changed in use for ",E1-1,"")</f>
        <v>Property that has changed in use for 2013</v>
      </c>
      <c r="B10" s="19"/>
      <c r="C10" s="19"/>
      <c r="D10" s="19"/>
      <c r="E10" s="283">
        <v>0</v>
      </c>
    </row>
    <row r="11" spans="1:5" ht="15.75">
      <c r="A11" s="22" t="str">
        <f>CONCATENATE("Personal Property excluding oil, gas, and mobile homes- ",E1-2,"")</f>
        <v>Personal Property excluding oil, gas, and mobile homes- 2012</v>
      </c>
      <c r="B11" s="19"/>
      <c r="C11" s="19"/>
      <c r="D11" s="19"/>
      <c r="E11" s="283">
        <v>143511</v>
      </c>
    </row>
    <row r="12" spans="1:5" ht="15.75">
      <c r="A12" s="22" t="str">
        <f>CONCATENATE("Gross earnings (intangible) tax estimate for ",E1,"")</f>
        <v>Gross earnings (intangible) tax estimate for 2014</v>
      </c>
      <c r="B12" s="19"/>
      <c r="C12" s="19"/>
      <c r="D12" s="19"/>
      <c r="E12" s="283"/>
    </row>
    <row r="13" spans="1:5" ht="15.75">
      <c r="A13" s="22" t="str">
        <f>CONCATENATE("Neighborhood Revitalization - ",E1,"")</f>
        <v>Neighborhood Revitalization - 2014</v>
      </c>
      <c r="B13" s="19"/>
      <c r="C13" s="19"/>
      <c r="D13" s="19"/>
      <c r="E13" s="283"/>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0.563</v>
      </c>
      <c r="E17" s="286"/>
    </row>
    <row r="18" spans="1:5" ht="15.75">
      <c r="A18" s="71" t="str">
        <f>inputPrYr!B17</f>
        <v>Debt Service</v>
      </c>
      <c r="B18" s="267"/>
      <c r="C18" s="19"/>
      <c r="D18" s="289">
        <v>0</v>
      </c>
      <c r="E18" s="286"/>
    </row>
    <row r="19" spans="1:5" ht="15.75">
      <c r="A19" s="71" t="str">
        <f>inputPrYr!B18</f>
        <v>Library</v>
      </c>
      <c r="B19" s="267"/>
      <c r="C19" s="19"/>
      <c r="D19" s="289">
        <v>0</v>
      </c>
      <c r="E19" s="286"/>
    </row>
    <row r="20" spans="1:5" ht="15.75">
      <c r="A20" s="71" t="str">
        <f>inputPrYr!B19</f>
        <v>Road</v>
      </c>
      <c r="B20" s="267"/>
      <c r="C20" s="19"/>
      <c r="D20" s="289">
        <v>0</v>
      </c>
      <c r="E20" s="286"/>
    </row>
    <row r="21" spans="1:5" ht="15.75">
      <c r="A21" s="71" t="str">
        <f>inputPrYr!B20</f>
        <v>Hall</v>
      </c>
      <c r="B21" s="267"/>
      <c r="C21" s="19"/>
      <c r="D21" s="289">
        <v>0.571</v>
      </c>
      <c r="E21" s="286"/>
    </row>
    <row r="22" spans="1:5" ht="15.75">
      <c r="A22" s="71" t="str">
        <f>inputPrYr!B21</f>
        <v>Fire Protection</v>
      </c>
      <c r="B22" s="267"/>
      <c r="C22" s="19"/>
      <c r="D22" s="289">
        <v>0.778</v>
      </c>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1.912</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9978817</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1043.71</v>
      </c>
    </row>
    <row r="33" spans="1:5" ht="15.75">
      <c r="A33" s="296" t="s">
        <v>276</v>
      </c>
      <c r="B33" s="267"/>
      <c r="C33" s="267"/>
      <c r="D33" s="31"/>
      <c r="E33" s="34">
        <v>14</v>
      </c>
    </row>
    <row r="34" spans="1:5" ht="15.75">
      <c r="A34" s="296" t="s">
        <v>160</v>
      </c>
      <c r="B34" s="267"/>
      <c r="C34" s="267"/>
      <c r="D34" s="31"/>
      <c r="E34" s="34">
        <v>181.06</v>
      </c>
    </row>
    <row r="35" spans="1:5" ht="15.75">
      <c r="A35" s="296" t="s">
        <v>161</v>
      </c>
      <c r="B35" s="267"/>
      <c r="C35" s="267"/>
      <c r="D35" s="31"/>
      <c r="E35" s="34">
        <v>0</v>
      </c>
    </row>
    <row r="36" spans="1:5" ht="15.75">
      <c r="A36" s="296" t="s">
        <v>100</v>
      </c>
      <c r="B36" s="20"/>
      <c r="C36" s="20"/>
      <c r="D36" s="295"/>
      <c r="E36" s="34">
        <v>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0.007</v>
      </c>
    </row>
    <row r="40" spans="1:5" ht="15.75">
      <c r="A40" s="296" t="s">
        <v>856</v>
      </c>
      <c r="B40" s="274"/>
      <c r="C40" s="19"/>
      <c r="D40" s="19"/>
      <c r="E40" s="731">
        <v>0.01</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5575</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Hall</v>
      </c>
      <c r="B50" s="36">
        <v>7100</v>
      </c>
      <c r="C50" s="140"/>
      <c r="D50" s="140"/>
      <c r="E50" s="140"/>
    </row>
    <row r="51" spans="1:5" ht="15.75">
      <c r="A51" s="304" t="str">
        <f>inputPrYr!B21</f>
        <v>Fire Protection</v>
      </c>
      <c r="B51" s="36">
        <v>8900</v>
      </c>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947</v>
      </c>
      <c r="C4" s="710"/>
      <c r="J4" s="711" t="s">
        <v>843</v>
      </c>
    </row>
    <row r="5" spans="1:10" ht="15.75">
      <c r="A5" s="474"/>
      <c r="B5" s="710"/>
      <c r="J5" s="711" t="s">
        <v>844</v>
      </c>
    </row>
    <row r="6" spans="1:10" ht="15.75">
      <c r="A6" s="474" t="s">
        <v>839</v>
      </c>
      <c r="B6" s="356"/>
      <c r="J6" s="711" t="s">
        <v>845</v>
      </c>
    </row>
    <row r="7" spans="1:10" ht="15.75">
      <c r="A7" s="353"/>
      <c r="B7" s="353"/>
      <c r="C7" s="353"/>
      <c r="D7" s="355"/>
      <c r="E7" s="353"/>
      <c r="F7" s="353"/>
      <c r="J7" s="711" t="s">
        <v>846</v>
      </c>
    </row>
    <row r="8" spans="1:10" ht="15.75">
      <c r="A8" s="354" t="s">
        <v>372</v>
      </c>
      <c r="B8" s="356" t="s">
        <v>949</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2, 2013</v>
      </c>
      <c r="E9" s="353"/>
      <c r="F9" s="353"/>
      <c r="J9" s="711" t="s">
        <v>848</v>
      </c>
    </row>
    <row r="10" spans="1:10" ht="15.75">
      <c r="A10" s="354" t="s">
        <v>373</v>
      </c>
      <c r="B10" s="356" t="s">
        <v>950</v>
      </c>
      <c r="C10" s="360"/>
      <c r="D10" s="354"/>
      <c r="E10" s="353"/>
      <c r="F10" s="353"/>
      <c r="J10" s="711" t="s">
        <v>849</v>
      </c>
    </row>
    <row r="11" spans="1:10" ht="15.75">
      <c r="A11" s="354"/>
      <c r="B11" s="354"/>
      <c r="C11" s="354"/>
      <c r="D11" s="354"/>
      <c r="E11" s="353"/>
      <c r="F11" s="353"/>
      <c r="J11" s="711" t="s">
        <v>850</v>
      </c>
    </row>
    <row r="12" spans="1:10" ht="15.75">
      <c r="A12" s="354" t="s">
        <v>374</v>
      </c>
      <c r="B12" s="361" t="s">
        <v>951</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946</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41488</v>
      </c>
    </row>
    <row r="22" spans="1:7" ht="15.75">
      <c r="A22" s="354" t="s">
        <v>373</v>
      </c>
      <c r="B22" s="354" t="s">
        <v>378</v>
      </c>
      <c r="C22" s="354"/>
      <c r="D22" s="354"/>
      <c r="E22" s="354"/>
      <c r="G22" s="714">
        <f>IF(B8="","",MONTH(G21))</f>
        <v>8</v>
      </c>
    </row>
    <row r="23" spans="1:7" ht="15.75">
      <c r="A23" s="354"/>
      <c r="B23" s="354"/>
      <c r="C23" s="354"/>
      <c r="D23" s="354"/>
      <c r="E23" s="354"/>
      <c r="G23" s="715">
        <f>IF(B8="","",DAY(G21))</f>
        <v>2</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70</v>
      </c>
      <c r="C1" s="769"/>
      <c r="D1" s="769"/>
      <c r="E1" s="769"/>
      <c r="F1" s="769"/>
      <c r="G1" s="769"/>
      <c r="H1" s="14">
        <f>inputPrYr!D5</f>
        <v>2014</v>
      </c>
    </row>
    <row r="2" spans="3:7" s="14" customFormat="1" ht="15.75">
      <c r="C2" s="145"/>
      <c r="D2" s="145"/>
      <c r="E2" s="145"/>
      <c r="F2" s="145"/>
      <c r="G2" s="62"/>
    </row>
    <row r="3" spans="2:8" s="14" customFormat="1" ht="15.75">
      <c r="B3" s="764" t="str">
        <f>CONCATENATE("To the Clerk of ",inputPrYr!D3,", State of Kansas")</f>
        <v>To the Clerk of Montgomery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Louisburg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75">
      <c r="B12" s="22"/>
      <c r="D12" s="66"/>
      <c r="E12" s="255" t="s">
        <v>277</v>
      </c>
      <c r="F12" s="770" t="str">
        <f>CONCATENATE("Amount of ",H1-1," Ad Valorem Tax")</f>
        <v>Amount of 2013 Ad Valorem Tax</v>
      </c>
      <c r="G12" s="23" t="s">
        <v>278</v>
      </c>
    </row>
    <row r="13" spans="4:7" s="14" customFormat="1" ht="15.75">
      <c r="D13" s="23" t="s">
        <v>279</v>
      </c>
      <c r="E13" s="522" t="s">
        <v>208</v>
      </c>
      <c r="F13" s="771"/>
      <c r="G13" s="156" t="s">
        <v>280</v>
      </c>
    </row>
    <row r="14" spans="2:7" s="14" customFormat="1" ht="15.75">
      <c r="B14" s="71" t="s">
        <v>281</v>
      </c>
      <c r="C14" s="20"/>
      <c r="D14" s="26" t="s">
        <v>282</v>
      </c>
      <c r="E14" s="523" t="s">
        <v>719</v>
      </c>
      <c r="F14" s="772"/>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5650</v>
      </c>
      <c r="F21" s="722">
        <f>IF(gen!$E$57&lt;&gt;0,gen!$E$57,0)</f>
        <v>4501.0599999999995</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Hall</v>
      </c>
      <c r="C25" s="260" t="str">
        <f>IF(inputPrYr!C20&gt;0,inputPrYr!C20,"  ")</f>
        <v>80-115</v>
      </c>
      <c r="D25" s="261">
        <f>IF(levypage9!C81&gt;0,levypage9!C81,"  ")</f>
        <v>7</v>
      </c>
      <c r="E25" s="722">
        <f>IF(levypage9!$E$33&lt;&gt;0,levypage9!$E$33,"  ")</f>
        <v>7100</v>
      </c>
      <c r="F25" s="722">
        <f>IF(levypage9!$E$40&lt;&gt;0,levypage9!$E$40,"  ")</f>
        <v>6734</v>
      </c>
      <c r="G25" s="723" t="str">
        <f>IF(AND(levypage9!E40=0,$C$40&gt;=0)," ",IF(AND(F25&gt;0,$C$40=0)," ",IF(AND(F25&gt;0,$C$40&gt;0),ROUND(F25/$C$40*1000,3))))</f>
        <v> </v>
      </c>
    </row>
    <row r="26" spans="2:7" s="14" customFormat="1" ht="15.75">
      <c r="B26" s="85" t="str">
        <f>IF(inputPrYr!$B21&gt;"  ",inputPrYr!$B21,"  ")</f>
        <v>Fire Protection</v>
      </c>
      <c r="C26" s="260" t="str">
        <f>IF(inputPrYr!C21&gt;0,inputPrYr!C21,"  ")</f>
        <v>80-1503</v>
      </c>
      <c r="D26" s="261">
        <f>IF(levypage9!C81&gt;0,levypage9!C81,"  ")</f>
        <v>7</v>
      </c>
      <c r="E26" s="722">
        <f>IF(levypage9!$E$73&lt;&gt;0,levypage9!$E$73,"  ")</f>
        <v>8900</v>
      </c>
      <c r="F26" s="722">
        <f>IF(levypage9!$E$80&lt;&gt;0,levypage9!$E$80,"  ")</f>
        <v>8403</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21650</v>
      </c>
      <c r="F35" s="724">
        <f>SUM(F21:F30)</f>
        <v>19638.059999999998</v>
      </c>
      <c r="G35" s="725">
        <f>IF(SUM(G21:G30)&gt;0,SUM(G21:G30),"")</f>
      </c>
    </row>
    <row r="36" spans="2:4" s="14" customFormat="1" ht="16.5" thickTop="1">
      <c r="B36" s="27" t="s">
        <v>168</v>
      </c>
      <c r="C36" s="259"/>
      <c r="D36" s="264">
        <f>summ!D49</f>
        <v>8</v>
      </c>
    </row>
    <row r="37" spans="2:6" s="14" customFormat="1" ht="15.75">
      <c r="B37" s="27" t="s">
        <v>214</v>
      </c>
      <c r="C37" s="28"/>
      <c r="D37" s="264">
        <f>IF(nhood!C38&gt;0,nhood!C38,"")</f>
        <v>9</v>
      </c>
      <c r="E37" s="268" t="s">
        <v>157</v>
      </c>
      <c r="F37" s="269" t="str">
        <f>IF(F35&gt;computation!J34,"Yes","No")</f>
        <v>Yes</v>
      </c>
    </row>
    <row r="38" spans="2:6" s="14" customFormat="1" ht="15.75">
      <c r="B38" s="27" t="s">
        <v>156</v>
      </c>
      <c r="C38" s="28"/>
      <c r="D38" s="264">
        <f>IF(Resolution!D50&gt;0,Resolution!D50,"")</f>
        <v>10</v>
      </c>
      <c r="E38" s="270"/>
      <c r="F38" s="271"/>
    </row>
    <row r="39" spans="2:7" s="14" customFormat="1" ht="15.75">
      <c r="B39" s="64" t="s">
        <v>97</v>
      </c>
      <c r="C39" s="779" t="s">
        <v>124</v>
      </c>
      <c r="D39" s="780"/>
      <c r="E39" s="272"/>
      <c r="G39" s="22" t="s">
        <v>290</v>
      </c>
    </row>
    <row r="40" spans="2:7" s="14" customFormat="1" ht="15.75">
      <c r="B40" s="27" t="s">
        <v>98</v>
      </c>
      <c r="C40" s="781"/>
      <c r="D40" s="782"/>
      <c r="E40" s="273"/>
      <c r="G40" s="22"/>
    </row>
    <row r="41" spans="2:7" s="14" customFormat="1" ht="15.75">
      <c r="B41" s="274"/>
      <c r="C41" s="783" t="str">
        <f>CONCATENATE("Nov. 1, ",H1-1," Valuation")</f>
        <v>Nov. 1, 2013 Valuation</v>
      </c>
      <c r="D41" s="784"/>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7" t="s">
        <v>292</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N37" sqref="N37"/>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Louisburg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9"/>
      <c r="C3" s="769"/>
      <c r="D3" s="769"/>
      <c r="E3" s="769"/>
      <c r="F3" s="769"/>
      <c r="G3" s="769"/>
      <c r="H3" s="769"/>
      <c r="I3" s="769"/>
      <c r="J3" s="769"/>
    </row>
    <row r="4" spans="1:10" ht="15.75">
      <c r="A4" s="14"/>
      <c r="B4" s="14"/>
      <c r="C4" s="14"/>
      <c r="D4" s="14"/>
      <c r="E4" s="769"/>
      <c r="F4" s="769"/>
      <c r="G4" s="769"/>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18495</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18495</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51715</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196165</v>
      </c>
      <c r="F14" s="246"/>
      <c r="G14" s="55"/>
      <c r="H14" s="55"/>
      <c r="I14" s="53"/>
      <c r="J14" s="55"/>
    </row>
    <row r="15" spans="1:10" ht="15.75">
      <c r="A15" s="245"/>
      <c r="B15" s="14" t="s">
        <v>87</v>
      </c>
      <c r="C15" s="14" t="str">
        <f>CONCATENATE("Personal Property ",J1-2,"")</f>
        <v>Personal Property 2012</v>
      </c>
      <c r="D15" s="245" t="s">
        <v>82</v>
      </c>
      <c r="E15" s="249">
        <f>inputOth!E11</f>
        <v>143511</v>
      </c>
      <c r="F15" s="246"/>
      <c r="G15" s="53"/>
      <c r="H15" s="53"/>
      <c r="I15" s="55"/>
      <c r="J15" s="55"/>
    </row>
    <row r="16" spans="1:10" ht="15.75">
      <c r="A16" s="245"/>
      <c r="B16" s="14" t="s">
        <v>88</v>
      </c>
      <c r="C16" s="14" t="s">
        <v>108</v>
      </c>
      <c r="D16" s="14"/>
      <c r="E16" s="55"/>
      <c r="F16" s="55" t="s">
        <v>15</v>
      </c>
      <c r="G16" s="247">
        <f>IF(E14&gt;E15,E14-E15,0)</f>
        <v>52654</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104369</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8642238</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8537869</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0.01222424471492828</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226</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18721</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18721</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Louisburg Township</v>
      </c>
      <c r="C1" s="14"/>
      <c r="D1" s="14"/>
      <c r="E1" s="14"/>
      <c r="F1" s="14"/>
      <c r="G1" s="14"/>
      <c r="H1" s="14"/>
      <c r="I1" s="14"/>
      <c r="J1" s="15">
        <f>inputPrYr!D5</f>
        <v>2014</v>
      </c>
      <c r="K1" s="15"/>
      <c r="L1" s="90"/>
    </row>
    <row r="2" spans="2:12" ht="15.75">
      <c r="B2" s="13" t="str">
        <f>inputPrYr!D3</f>
        <v>Montgomery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5624</v>
      </c>
      <c r="E11" s="131">
        <f>IF(inputOth!D17&gt;0,inputOth!D17,"  ")</f>
        <v>0.563</v>
      </c>
      <c r="F11" s="717"/>
      <c r="G11" s="161">
        <f>IF(inputPrYr!E16=0,0,G23-SUM(G12:G20))</f>
        <v>317.71000000000004</v>
      </c>
      <c r="H11" s="718"/>
      <c r="I11" s="161">
        <f>IF(inputPrYr!E16=0,0,I25-SUM(I12:I20))</f>
        <v>5</v>
      </c>
      <c r="J11" s="161">
        <f>IF(inputPrYr!E16=0,0,J27-SUM(J12:J20))</f>
        <v>55.06</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Hall</v>
      </c>
      <c r="C15" s="234"/>
      <c r="D15" s="161">
        <f>IF(inputPrYr!E20&gt;=0,inputPrYr!E20,"  ")</f>
        <v>5697</v>
      </c>
      <c r="E15" s="131">
        <f>IF(inputOth!D21&gt;0,inputOth!D21,"  ")</f>
        <v>0.571</v>
      </c>
      <c r="F15" s="717"/>
      <c r="G15" s="161">
        <f>IF(inputPrYr!E20=0,0,ROUND(D15*$G$30,0))</f>
        <v>321</v>
      </c>
      <c r="H15" s="718"/>
      <c r="I15" s="161">
        <f>IF(inputPrYr!$E$20=0,0,ROUND($D$15*$I$32,0))</f>
        <v>4</v>
      </c>
      <c r="J15" s="161">
        <f>IF(inputPrYr!E20=0,0,ROUND($D15*$J$34,0))</f>
        <v>56</v>
      </c>
      <c r="K15" s="90"/>
      <c r="L15" s="90"/>
      <c r="M15" s="550"/>
    </row>
    <row r="16" spans="2:13" ht="15.75">
      <c r="B16" s="85" t="str">
        <f>IF(inputPrYr!$B21&gt;"  ",inputPrYr!$B21,"  ")</f>
        <v>Fire Protection</v>
      </c>
      <c r="C16" s="234"/>
      <c r="D16" s="161">
        <f>IF(inputPrYr!E21&gt;=0,inputPrYr!E21,"  ")</f>
        <v>7174</v>
      </c>
      <c r="E16" s="131">
        <f>IF(inputOth!D22&gt;0,inputOth!D22,"  ")</f>
        <v>0.778</v>
      </c>
      <c r="F16" s="717"/>
      <c r="G16" s="161">
        <f>IF(inputPrYr!E21=0,0,ROUND(D16*$G$30,0))</f>
        <v>405</v>
      </c>
      <c r="H16" s="718"/>
      <c r="I16" s="161">
        <f>IF(inputPrYr!$E$21=0,0,ROUND($D$16*$I$32,0))</f>
        <v>5</v>
      </c>
      <c r="J16" s="161">
        <f>IF(inputPrYr!E21=0,0,ROUND($D16*$J$34,0))</f>
        <v>70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18495</v>
      </c>
      <c r="E21" s="720">
        <f>SUM(E11:E20)</f>
        <v>1.912</v>
      </c>
      <c r="F21" s="721"/>
      <c r="G21" s="719">
        <f>SUM(G11:G20)</f>
        <v>1043.71</v>
      </c>
      <c r="H21" s="719"/>
      <c r="I21" s="719">
        <f>SUM(I11:I20)</f>
        <v>14</v>
      </c>
      <c r="J21" s="719">
        <f>SUM(J11:J20)</f>
        <v>181.06</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1043.71</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14</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181.06</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0.056432008650986756</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0.0007569613409029467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0.009789672884563396</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Louisburg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2013-07-17T15:28:11Z</cp:lastPrinted>
  <dcterms:created xsi:type="dcterms:W3CDTF">1998-08-26T16:30:41Z</dcterms:created>
  <dcterms:modified xsi:type="dcterms:W3CDTF">2013-07-18T18:49:41Z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