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Publication"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2">'summ'!$B$2:$I$49</definedName>
  </definedNames>
  <calcPr fullCalcOnLoad="1"/>
</workbook>
</file>

<file path=xl/sharedStrings.xml><?xml version="1.0" encoding="utf-8"?>
<sst xmlns="http://schemas.openxmlformats.org/spreadsheetml/2006/main" count="1579" uniqueCount="952">
  <si>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</si>
  <si>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</si>
  <si>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</si>
  <si>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</si>
  <si>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</si>
  <si>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</si>
  <si>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</si>
  <si>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</si>
  <si>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</si>
  <si>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</si>
  <si>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</si>
  <si>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</si>
  <si>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</si>
  <si>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</si>
  <si>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</si>
  <si>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</si>
  <si>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</si>
  <si>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</si>
  <si>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</si>
  <si>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</si>
  <si>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</si>
  <si>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</si>
  <si>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</si>
  <si>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</si>
  <si>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</si>
  <si>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</si>
  <si>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</si>
  <si>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</si>
  <si>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</si>
  <si>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</si>
  <si>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</si>
  <si>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</si>
  <si>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</si>
  <si>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</si>
  <si>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</si>
  <si>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</si>
  <si>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</si>
  <si>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</si>
  <si>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</si>
  <si>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</si>
  <si>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</si>
  <si>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</si>
  <si>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</si>
  <si>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</si>
  <si>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</si>
  <si>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</si>
  <si>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</si>
  <si>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</si>
  <si>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</si>
  <si>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</si>
  <si>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</si>
  <si>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</si>
  <si>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</si>
  <si>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</si>
  <si>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</si>
  <si>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</si>
  <si>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</si>
  <si>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</si>
  <si>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</si>
  <si>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</si>
  <si>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</si>
  <si>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</si>
  <si>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</si>
  <si>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</si>
  <si>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</si>
  <si>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</si>
  <si>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</si>
  <si>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</si>
  <si>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</si>
  <si>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</si>
  <si>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</si>
  <si>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</si>
  <si>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</si>
  <si>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</si>
  <si>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</si>
  <si>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</si>
  <si>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</si>
  <si>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</si>
  <si>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</si>
  <si>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</si>
  <si>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</si>
  <si>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</si>
  <si>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</si>
  <si>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</si>
  <si>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</si>
  <si>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</si>
  <si>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</si>
  <si>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</si>
  <si>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</si>
  <si>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</si>
  <si>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</si>
  <si>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</si>
  <si>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</si>
  <si>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</si>
  <si>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</si>
  <si>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</si>
  <si>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</si>
  <si>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</si>
  <si>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</si>
  <si>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</si>
  <si>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</si>
  <si>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</si>
  <si>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</si>
  <si>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</si>
  <si>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</si>
  <si>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</si>
  <si>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</si>
  <si>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</si>
  <si>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</si>
  <si>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</si>
  <si>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</si>
  <si>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</si>
  <si>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</si>
  <si>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</si>
  <si>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</si>
  <si>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</si>
  <si>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</si>
  <si>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</si>
  <si>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</si>
  <si>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</si>
  <si>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</si>
  <si>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</si>
  <si>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</si>
  <si>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</si>
  <si>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</si>
  <si>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</si>
  <si>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</si>
  <si>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</si>
  <si>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</si>
  <si>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</si>
  <si>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</si>
  <si>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</si>
  <si>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</si>
  <si>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</si>
  <si>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</si>
  <si>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</si>
  <si>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</si>
  <si>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</si>
  <si>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</si>
  <si>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</si>
  <si>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</si>
  <si>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</si>
  <si>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</si>
  <si>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</si>
  <si>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</si>
  <si>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</si>
  <si>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</si>
  <si>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</si>
  <si>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</si>
  <si>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</si>
  <si>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</si>
  <si>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</si>
  <si>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</si>
  <si>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</si>
  <si>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</si>
  <si>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</si>
  <si>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</si>
  <si>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</si>
  <si>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</si>
  <si>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</si>
  <si>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</si>
  <si>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</si>
  <si>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</si>
  <si>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</si>
  <si>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</si>
  <si>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</si>
  <si>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</si>
  <si>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</si>
  <si>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</si>
  <si>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</si>
  <si>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</si>
  <si>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</si>
  <si>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</si>
  <si>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</si>
  <si>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</si>
  <si>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</si>
  <si>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</si>
  <si>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</si>
  <si>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</si>
  <si>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</si>
  <si>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</si>
  <si>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</si>
  <si>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</si>
  <si>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</si>
  <si>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</si>
  <si>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</si>
  <si>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</si>
  <si>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</si>
  <si>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</si>
  <si>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</si>
  <si>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</si>
  <si>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</si>
  <si>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</si>
  <si>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</si>
  <si>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</si>
  <si>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</si>
  <si>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</si>
  <si>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</si>
  <si>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</si>
  <si>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</si>
  <si>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</si>
  <si>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</si>
  <si>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</si>
  <si>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</si>
  <si>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</si>
  <si>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</si>
  <si>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</si>
  <si>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</si>
  <si>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</si>
  <si>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</si>
  <si>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</si>
  <si>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</si>
  <si>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</si>
  <si>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</si>
  <si>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</si>
  <si>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</si>
  <si>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</si>
  <si>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</si>
  <si>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</si>
  <si>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</si>
  <si>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</si>
  <si>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</si>
  <si>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</si>
  <si>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</si>
  <si>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</si>
  <si>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</si>
  <si>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</si>
  <si>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</si>
  <si>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</si>
  <si>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</si>
  <si>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</si>
  <si>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</si>
  <si>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</si>
  <si>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</si>
  <si>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</si>
  <si>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</si>
  <si>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</si>
  <si>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</si>
  <si>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</si>
  <si>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</si>
  <si>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</si>
  <si>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</si>
  <si>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</si>
  <si>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</si>
  <si>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</si>
  <si>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</si>
  <si>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</si>
  <si>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</si>
  <si>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</si>
  <si>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</si>
  <si>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</si>
  <si>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</si>
  <si>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</si>
  <si>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</si>
  <si>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</si>
  <si>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</si>
  <si>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</si>
  <si>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</si>
  <si>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</si>
  <si>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</si>
  <si>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</si>
  <si>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</si>
  <si>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</si>
  <si>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</si>
  <si>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</si>
  <si>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</si>
  <si>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</si>
  <si>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</si>
  <si>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</si>
  <si>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</si>
  <si>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</si>
  <si>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</si>
  <si>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</si>
  <si>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</si>
  <si>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</si>
  <si>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</si>
  <si>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</si>
  <si>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</si>
  <si>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</si>
  <si>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</si>
  <si>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</si>
  <si>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</si>
  <si>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</si>
  <si>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</si>
  <si>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</si>
  <si>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</si>
  <si>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</si>
  <si>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</si>
  <si>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</si>
  <si>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</si>
  <si>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</si>
  <si>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</si>
  <si>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</si>
  <si>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</si>
  <si>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</si>
  <si>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</si>
  <si>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</si>
  <si>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</si>
  <si>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</si>
  <si>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</si>
  <si>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</si>
  <si>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</si>
  <si>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</si>
  <si>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</si>
  <si>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</si>
  <si>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</si>
  <si>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</si>
  <si>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</si>
  <si>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</si>
  <si>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</si>
  <si>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</si>
  <si>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</si>
  <si>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</si>
  <si>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</si>
  <si>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</si>
  <si>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</si>
  <si>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</si>
  <si>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</si>
  <si>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</si>
  <si>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</si>
  <si>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</si>
  <si>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</si>
  <si>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</si>
  <si>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</si>
  <si>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</si>
  <si>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</si>
  <si>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</si>
  <si>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</si>
  <si>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</si>
  <si>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</si>
  <si>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</si>
  <si>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</si>
  <si>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</si>
  <si>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</si>
  <si>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</si>
  <si>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</si>
  <si>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</si>
  <si>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</si>
  <si>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</si>
  <si>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</si>
  <si>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</si>
  <si>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</si>
  <si>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</si>
  <si>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</si>
  <si>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</si>
  <si>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</si>
  <si>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</si>
  <si>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</si>
  <si>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</si>
  <si>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</si>
  <si>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</si>
  <si>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</si>
  <si>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</si>
  <si>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</si>
  <si>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</si>
  <si>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</si>
  <si>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</si>
  <si>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</si>
  <si>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</si>
  <si>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</si>
  <si>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</si>
  <si>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</si>
  <si>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</si>
  <si>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</si>
  <si>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</si>
  <si>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</si>
  <si>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</si>
  <si>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</si>
  <si>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</si>
  <si>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</si>
  <si>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</si>
  <si>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</si>
  <si>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</si>
  <si>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</si>
  <si>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</si>
  <si>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</si>
  <si>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</si>
  <si>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</si>
  <si>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</si>
  <si>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</si>
  <si>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</si>
  <si>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</si>
  <si>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</si>
  <si>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</si>
  <si>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</si>
  <si>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</si>
  <si>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</si>
  <si>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</si>
  <si>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</si>
  <si>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</si>
  <si>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</si>
  <si>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</si>
  <si>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</si>
  <si>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</si>
  <si>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</si>
  <si>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</si>
  <si>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</si>
  <si>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</si>
  <si>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</si>
  <si>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</si>
  <si>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</si>
  <si>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</si>
  <si>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</si>
  <si>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</si>
  <si>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</si>
  <si>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</si>
  <si>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</si>
  <si>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</si>
  <si>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</si>
  <si>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</si>
  <si>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</si>
  <si>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</si>
  <si>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</si>
  <si>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</si>
  <si>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</si>
  <si>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</si>
  <si>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</si>
  <si>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</si>
  <si>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</si>
  <si>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</si>
  <si>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</si>
  <si>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</si>
  <si>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</si>
  <si>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</si>
  <si>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</si>
  <si>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</si>
  <si>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</si>
  <si>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</si>
  <si>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</si>
  <si>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</si>
  <si>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</si>
  <si>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</si>
  <si>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</si>
  <si>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</si>
  <si>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</si>
  <si>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</si>
  <si>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</si>
  <si>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</si>
  <si>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</si>
  <si>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</si>
  <si>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</si>
  <si>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</si>
  <si>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</si>
  <si>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</si>
  <si>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</si>
  <si>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</si>
  <si>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</si>
  <si>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</si>
  <si>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</si>
  <si>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</si>
  <si>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</si>
  <si>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</si>
  <si>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</si>
  <si>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</si>
  <si>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</si>
  <si>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</si>
  <si>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</si>
  <si>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</si>
  <si>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</si>
  <si>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</si>
  <si>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</si>
  <si>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</si>
  <si>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</si>
  <si>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</si>
  <si>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</si>
  <si>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</si>
  <si>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</si>
  <si>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</si>
  <si>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</si>
  <si>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</si>
  <si>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</si>
  <si>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</si>
  <si>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</si>
  <si>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</si>
  <si>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</si>
  <si>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</si>
  <si>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</si>
  <si>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</si>
  <si>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</si>
  <si>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</si>
  <si>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</si>
  <si>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</si>
  <si>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</si>
  <si>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</si>
  <si>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</si>
  <si>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</si>
  <si>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</si>
  <si>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</si>
  <si>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</si>
  <si>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</si>
  <si>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</si>
  <si>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</si>
  <si>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</si>
  <si>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</si>
  <si>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</si>
  <si>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</si>
  <si>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</si>
  <si>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</si>
  <si>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</si>
  <si>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</si>
  <si>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</si>
  <si>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</si>
  <si>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</si>
  <si>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</si>
  <si>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</si>
  <si>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</si>
  <si>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</si>
  <si>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</si>
  <si>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</si>
  <si>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</si>
  <si>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</si>
  <si>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</si>
  <si>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</si>
  <si>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</si>
  <si>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</si>
  <si>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</si>
  <si>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</si>
  <si>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</si>
  <si>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</si>
  <si>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</si>
  <si>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</si>
  <si>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</si>
  <si>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</si>
  <si>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</si>
  <si>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</si>
  <si>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</si>
  <si>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</si>
  <si>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</si>
  <si>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</si>
  <si>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</si>
  <si>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</si>
  <si>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</si>
  <si>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</si>
  <si>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</si>
  <si>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</si>
  <si>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</si>
  <si>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</si>
  <si>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</si>
  <si>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</si>
  <si>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</si>
  <si>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</si>
  <si>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</si>
  <si>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</si>
  <si>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</si>
  <si>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</si>
  <si>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</si>
  <si>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</si>
  <si>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</si>
  <si>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</si>
  <si>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</si>
  <si>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</si>
  <si>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</si>
  <si>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</si>
  <si>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</si>
  <si>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</si>
  <si>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</si>
  <si>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</si>
  <si>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</si>
  <si>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</si>
  <si>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</si>
  <si>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</si>
  <si>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</si>
  <si>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</si>
  <si>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</si>
  <si>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</si>
  <si>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</si>
  <si>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</si>
  <si>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</si>
  <si>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</si>
  <si>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</si>
  <si>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</si>
  <si>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</si>
  <si>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</si>
  <si>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</si>
  <si>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</si>
  <si>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</si>
  <si>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</si>
  <si>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</si>
  <si>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</si>
  <si>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</si>
  <si>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</si>
  <si>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</si>
  <si>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</si>
  <si>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</si>
  <si>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</si>
  <si>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</si>
  <si>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</si>
  <si>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</si>
  <si>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</si>
  <si>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</si>
  <si>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</si>
  <si>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</si>
  <si>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</si>
  <si>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</si>
  <si>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</si>
  <si>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</si>
  <si>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</si>
  <si>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</si>
  <si>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</si>
  <si>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</si>
  <si>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</si>
  <si>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</si>
  <si>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</si>
  <si>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</si>
  <si>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</si>
  <si>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</si>
  <si>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</si>
  <si>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</si>
  <si>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</si>
  <si>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</si>
  <si>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</si>
  <si>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</si>
  <si>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</si>
  <si>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</si>
  <si>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</si>
  <si>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</si>
  <si>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</si>
  <si>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</si>
  <si>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</si>
  <si>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</si>
  <si>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</si>
  <si>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</si>
  <si>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</si>
  <si>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</si>
  <si>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</si>
  <si>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</si>
  <si>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</si>
  <si>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</si>
  <si>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</si>
  <si>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</si>
  <si>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</si>
  <si>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</si>
  <si>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</si>
  <si>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</si>
  <si>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</si>
  <si>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</si>
  <si>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</si>
  <si>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</si>
  <si>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</si>
  <si>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</si>
  <si>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</si>
  <si>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</si>
  <si>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</si>
  <si>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</si>
  <si>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</si>
  <si>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</si>
  <si>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</si>
  <si>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</si>
  <si>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</si>
  <si>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</si>
  <si>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</si>
  <si>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</si>
  <si>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</si>
  <si>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</si>
  <si>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</si>
  <si>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</si>
  <si>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</si>
  <si>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</si>
  <si>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</si>
  <si>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</si>
  <si>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</si>
  <si>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</si>
  <si>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</si>
  <si>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</si>
  <si>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</si>
  <si>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</si>
  <si>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</si>
  <si>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</si>
  <si>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</si>
  <si>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</si>
  <si>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</si>
  <si>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</si>
  <si>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</si>
  <si>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</si>
  <si>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</si>
  <si>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</si>
  <si>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</si>
  <si>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</si>
  <si>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</si>
  <si>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</si>
  <si>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</si>
  <si>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</si>
  <si>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</si>
  <si>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</si>
  <si>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</si>
  <si>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</si>
  <si>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</si>
  <si>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</si>
  <si>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</si>
  <si>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</si>
  <si>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</si>
  <si>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</si>
  <si>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</si>
  <si>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</si>
  <si>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</si>
  <si>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</si>
  <si>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</si>
  <si>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</si>
  <si>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</si>
  <si>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</si>
  <si>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</si>
  <si>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</si>
  <si>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</si>
  <si>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</si>
  <si>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</si>
  <si>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</si>
  <si>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</si>
  <si>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</si>
  <si>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</si>
  <si>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</si>
  <si>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</si>
  <si>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</si>
  <si>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</si>
  <si>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</si>
  <si>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</si>
  <si>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</si>
  <si>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</si>
  <si>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</si>
  <si>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</si>
  <si>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</si>
  <si>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</si>
  <si>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</si>
  <si>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</si>
  <si>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</si>
  <si>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</si>
  <si>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</si>
  <si>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</si>
  <si>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</si>
  <si>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</si>
  <si>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</si>
  <si>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</si>
  <si>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</si>
  <si>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</si>
  <si>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</si>
  <si>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</si>
  <si>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</si>
  <si>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</si>
  <si>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</si>
  <si>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</si>
  <si>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</si>
  <si>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</si>
  <si>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</si>
  <si>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</si>
  <si>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</si>
  <si>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</si>
  <si>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</si>
  <si>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</si>
  <si>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</si>
  <si>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</si>
  <si>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</si>
  <si>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</si>
  <si>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</si>
  <si>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</si>
  <si>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</si>
  <si>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</si>
  <si>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</si>
  <si>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</si>
  <si>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</si>
  <si>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</si>
  <si>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</si>
  <si>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</si>
  <si>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</si>
  <si>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</si>
  <si>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</si>
  <si>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</si>
  <si>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</si>
  <si>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</si>
  <si>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</si>
  <si>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</si>
  <si>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</si>
  <si>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</si>
  <si>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</si>
  <si>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</si>
  <si>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</si>
  <si>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</si>
  <si>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</si>
  <si>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</si>
  <si>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</si>
  <si>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</si>
  <si>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</si>
  <si>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</si>
  <si>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</si>
  <si>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</si>
  <si>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</si>
  <si>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</si>
  <si>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</si>
  <si>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</si>
  <si>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</si>
  <si>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</si>
  <si>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</si>
  <si>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</si>
  <si>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</si>
  <si>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</si>
  <si>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</si>
  <si>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</si>
  <si>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</si>
  <si>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</si>
  <si>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</si>
  <si>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</si>
  <si>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</si>
  <si>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</si>
  <si>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</si>
  <si>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</si>
  <si>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</si>
  <si>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</si>
  <si>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</si>
  <si>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</si>
  <si>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</si>
  <si>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</si>
  <si>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</si>
  <si>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</si>
  <si>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</si>
  <si>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</si>
  <si>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</si>
  <si>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</si>
  <si>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</si>
  <si>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</si>
  <si>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</si>
  <si>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</si>
  <si>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</si>
  <si>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</si>
  <si>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</si>
  <si>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</si>
  <si>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</si>
  <si>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</si>
  <si>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</si>
  <si>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</si>
  <si>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</si>
  <si>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</si>
  <si>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</si>
  <si>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</si>
  <si>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</si>
  <si>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</si>
  <si>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</si>
  <si>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</si>
  <si>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</si>
  <si>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</si>
  <si>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</si>
  <si>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</si>
  <si>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</si>
  <si>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</si>
  <si>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</si>
  <si>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</si>
  <si>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</si>
  <si>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</si>
  <si>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</si>
  <si>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</si>
  <si>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</si>
  <si>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</si>
  <si>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</si>
  <si>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</si>
  <si>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</si>
  <si>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</si>
  <si>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</si>
  <si>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</si>
  <si>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</si>
  <si>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</si>
  <si>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</si>
  <si>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</si>
  <si>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</si>
  <si>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</si>
  <si>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</si>
  <si>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</si>
  <si>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</si>
  <si>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</si>
  <si>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</si>
  <si>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</si>
  <si>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</si>
  <si>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</si>
  <si>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</si>
  <si>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</si>
  <si>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</si>
  <si>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</si>
  <si>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</si>
  <si>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</si>
  <si>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</si>
  <si>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</si>
  <si>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</si>
  <si>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</si>
  <si>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</si>
  <si>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</si>
  <si>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</si>
  <si>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</si>
  <si>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</si>
  <si>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</si>
  <si>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</si>
  <si>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</si>
  <si>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</si>
  <si>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</si>
  <si>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</si>
  <si>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</si>
  <si>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</si>
  <si>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</si>
  <si>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</si>
  <si>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</si>
  <si>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</si>
  <si>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</si>
  <si>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</si>
  <si>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</si>
  <si>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</si>
  <si>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</si>
  <si>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</si>
  <si>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</si>
  <si>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</si>
  <si>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</si>
  <si>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</si>
  <si>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</si>
  <si>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</si>
  <si>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</si>
  <si>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</si>
  <si>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</si>
  <si>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</si>
  <si>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</si>
  <si>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</si>
  <si>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</si>
  <si>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</si>
  <si>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</si>
  <si>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</si>
  <si>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</si>
  <si>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</si>
  <si>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</si>
  <si>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</si>
  <si>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</si>
  <si>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</si>
  <si>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</si>
  <si>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</si>
  <si>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</si>
  <si>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</si>
  <si>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</si>
  <si>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</si>
  <si>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</si>
  <si>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</si>
  <si>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</si>
  <si>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</si>
  <si>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</si>
  <si>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</si>
  <si>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</si>
  <si>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</si>
  <si>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</si>
  <si>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Key West Township</t>
  </si>
  <si>
    <t>Coffey County</t>
  </si>
  <si>
    <t>Cemetery</t>
  </si>
  <si>
    <t>17-1344</t>
  </si>
  <si>
    <t>Per Diem</t>
  </si>
  <si>
    <t>Mowing</t>
  </si>
  <si>
    <t>publication</t>
  </si>
  <si>
    <t>Publication</t>
  </si>
  <si>
    <t>Harlan Davies</t>
  </si>
  <si>
    <t>Treasurer</t>
  </si>
  <si>
    <t>September 17, 2013</t>
  </si>
  <si>
    <t>7:00 p.m.</t>
  </si>
  <si>
    <t>Harlan Davies'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</si>
</sst>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25</xdr:col>
      <xdr:colOff>142875</xdr:colOff>
      <xdr:row>153</xdr:row>
      <xdr:rowOff>171450</xdr:rowOff>
    </xdr:to>
    <xdr:pic>
      <xdr:nvPicPr>
        <xdr:cNvPr id="1" name="Picture 2"/>
        <xdr:cNvPicPr preferRelativeResize="1">
          <a:picLocks noChangeAspect="1"/>
        </xdr:cNvPicPr>
      </xdr:nvPicPr>
      <xdr:blipFill>
        <a:blip r:embed="rId1"/>
        <a:stretch>
          <a:fillRect/>
        </a:stretch>
      </xdr:blipFill>
      <xdr:spPr>
        <a:xfrm>
          <a:off x="0" y="0"/>
          <a:ext cx="21097875" cy="3077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66675</xdr:colOff>
      <xdr:row>37</xdr:row>
      <xdr:rowOff>123825</xdr:rowOff>
    </xdr:to>
    <xdr:pic>
      <xdr:nvPicPr>
        <xdr:cNvPr id="1" name="Picture 2"/>
        <xdr:cNvPicPr preferRelativeResize="1">
          <a:picLocks noChangeAspect="1"/>
        </xdr:cNvPicPr>
      </xdr:nvPicPr>
      <xdr:blipFill>
        <a:blip r:embed="rId1"/>
        <a:stretch>
          <a:fillRect/>
        </a:stretch>
      </xdr:blipFill>
      <xdr:spPr>
        <a:xfrm>
          <a:off x="0" y="0"/>
          <a:ext cx="10963275" cy="7524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Key West Township</v>
      </c>
      <c r="C1" s="167"/>
      <c r="D1" s="167"/>
      <c r="E1" s="167"/>
      <c r="F1" s="167"/>
      <c r="G1" s="167"/>
      <c r="H1" s="167"/>
      <c r="I1" s="167"/>
      <c r="J1" s="14"/>
      <c r="K1" s="14"/>
      <c r="L1" s="15">
        <f>inputPrYr!D5</f>
        <v>2014</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Key West Township</v>
      </c>
      <c r="C7" s="556"/>
      <c r="D7" s="556"/>
      <c r="E7" s="556"/>
      <c r="F7" s="556"/>
      <c r="G7" s="556"/>
      <c r="H7" s="556"/>
      <c r="I7" s="556"/>
    </row>
    <row r="8" spans="2:9" ht="15.75">
      <c r="B8" s="557" t="str">
        <f>inputPrYr!D3</f>
        <v>Coffey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4050422</v>
      </c>
      <c r="F27" s="556"/>
      <c r="G27" s="561">
        <f>summ!G37</f>
        <v>4136764</v>
      </c>
      <c r="H27" s="556"/>
      <c r="I27" s="556"/>
    </row>
    <row r="28" spans="2:9" ht="15.75">
      <c r="B28" s="556" t="s">
        <v>777</v>
      </c>
      <c r="C28" s="556"/>
      <c r="D28" s="556"/>
      <c r="E28" s="566" t="str">
        <f>IF(G27-E27&gt;=0,"No","Yes")</f>
        <v>No</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60" sqref="E6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Key West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2697</v>
      </c>
      <c r="D6" s="387">
        <f>C51</f>
        <v>2730</v>
      </c>
      <c r="E6" s="32">
        <f>D51</f>
        <v>2706</v>
      </c>
    </row>
    <row r="7" spans="2:5" ht="15.75">
      <c r="B7" s="27" t="s">
        <v>120</v>
      </c>
      <c r="C7" s="387"/>
      <c r="D7" s="387"/>
      <c r="E7" s="33"/>
    </row>
    <row r="8" spans="2:5" ht="15.75">
      <c r="B8" s="27" t="s">
        <v>16</v>
      </c>
      <c r="C8" s="29">
        <v>507</v>
      </c>
      <c r="D8" s="387">
        <f>IF(inputPrYr!H15&gt;0,inputPrYr!G16,inputPrYr!E16)</f>
        <v>500</v>
      </c>
      <c r="E8" s="33" t="s">
        <v>287</v>
      </c>
    </row>
    <row r="9" spans="2:5" ht="15.75">
      <c r="B9" s="27" t="s">
        <v>17</v>
      </c>
      <c r="C9" s="29"/>
      <c r="D9" s="29"/>
      <c r="E9" s="34"/>
    </row>
    <row r="10" spans="2:5" ht="15.75">
      <c r="B10" s="27" t="s">
        <v>18</v>
      </c>
      <c r="C10" s="29">
        <v>39</v>
      </c>
      <c r="D10" s="29">
        <v>41</v>
      </c>
      <c r="E10" s="32">
        <f>mvalloc!G11</f>
        <v>43</v>
      </c>
    </row>
    <row r="11" spans="2:5" ht="15.75">
      <c r="B11" s="27" t="s">
        <v>19</v>
      </c>
      <c r="C11" s="29">
        <v>2</v>
      </c>
      <c r="D11" s="29">
        <v>2</v>
      </c>
      <c r="E11" s="32">
        <f>mvalloc!I11</f>
        <v>2</v>
      </c>
    </row>
    <row r="12" spans="2:5" ht="15.75">
      <c r="B12" s="35" t="s">
        <v>69</v>
      </c>
      <c r="C12" s="29"/>
      <c r="D12" s="29">
        <v>3</v>
      </c>
      <c r="E12" s="32">
        <f>mvalloc!J11</f>
        <v>4</v>
      </c>
    </row>
    <row r="13" spans="2:5" ht="15.75">
      <c r="B13" s="35" t="s">
        <v>159</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548</v>
      </c>
      <c r="D26" s="389">
        <f>SUM(D8:D24)</f>
        <v>546</v>
      </c>
      <c r="E26" s="42">
        <f>SUM(E8:E24)</f>
        <v>49</v>
      </c>
    </row>
    <row r="27" spans="2:5" ht="15.75">
      <c r="B27" s="43" t="s">
        <v>24</v>
      </c>
      <c r="C27" s="389">
        <f>C26+C6</f>
        <v>3245</v>
      </c>
      <c r="D27" s="389">
        <f>D26+D6</f>
        <v>3276</v>
      </c>
      <c r="E27" s="42">
        <f>E26+E6</f>
        <v>2755</v>
      </c>
    </row>
    <row r="28" spans="2:5" ht="15.75">
      <c r="B28" s="27" t="s">
        <v>25</v>
      </c>
      <c r="C28" s="387"/>
      <c r="D28" s="387"/>
      <c r="E28" s="32"/>
    </row>
    <row r="29" spans="2:5" ht="15.75">
      <c r="B29" s="37" t="s">
        <v>943</v>
      </c>
      <c r="C29" s="29">
        <v>450</v>
      </c>
      <c r="D29" s="29">
        <v>500</v>
      </c>
      <c r="E29" s="34">
        <v>3185</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25</v>
      </c>
      <c r="D33" s="29">
        <v>25</v>
      </c>
      <c r="E33" s="34">
        <v>25</v>
      </c>
    </row>
    <row r="34" spans="2:5" ht="15.75">
      <c r="B34" s="37" t="s">
        <v>103</v>
      </c>
      <c r="C34" s="29"/>
      <c r="D34" s="29"/>
      <c r="E34" s="34"/>
    </row>
    <row r="35" spans="2:5" ht="15.75">
      <c r="B35" s="37" t="s">
        <v>946</v>
      </c>
      <c r="C35" s="29">
        <v>40</v>
      </c>
      <c r="D35" s="29">
        <v>45</v>
      </c>
      <c r="E35" s="34">
        <v>45</v>
      </c>
    </row>
    <row r="36" spans="2:5" ht="15.75">
      <c r="B36" s="38" t="s">
        <v>944</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515</v>
      </c>
      <c r="D50" s="381">
        <f>SUM(D29:D48)</f>
        <v>570</v>
      </c>
      <c r="E50" s="47">
        <f>SUM(E29:E43,E45,E47:E48)</f>
        <v>3255</v>
      </c>
      <c r="G50" s="484">
        <f>D51</f>
        <v>2706</v>
      </c>
      <c r="H50" s="485" t="str">
        <f>CONCATENATE("",E1-1," Ending Cash Balance (est.)")</f>
        <v>2013 Ending Cash Balance (est.)</v>
      </c>
      <c r="I50" s="486"/>
      <c r="J50" s="257"/>
    </row>
    <row r="51" spans="2:10" ht="15.75">
      <c r="B51" s="27" t="s">
        <v>119</v>
      </c>
      <c r="C51" s="382">
        <f>C27-C50</f>
        <v>2730</v>
      </c>
      <c r="D51" s="382">
        <f>SUM(D27-D50)</f>
        <v>2706</v>
      </c>
      <c r="E51" s="33" t="s">
        <v>287</v>
      </c>
      <c r="G51" s="484">
        <f>E26</f>
        <v>49</v>
      </c>
      <c r="H51" s="487" t="str">
        <f>CONCATENATE("",E1," Non-AV Receipts (est.)")</f>
        <v>2014 Non-AV Receipts (est.)</v>
      </c>
      <c r="I51" s="486"/>
      <c r="J51" s="257"/>
    </row>
    <row r="52" spans="2:11" ht="15.75">
      <c r="B52" s="48" t="str">
        <f>CONCATENATE("",E1-2,"/",E1-1," Budget Authority Amount:")</f>
        <v>2012/2013 Budget Authority Amount:</v>
      </c>
      <c r="C52" s="132">
        <f>inputOth!B46</f>
        <v>2508</v>
      </c>
      <c r="D52" s="161">
        <f>inputPrYr!D16</f>
        <v>3263</v>
      </c>
      <c r="E52" s="33" t="s">
        <v>287</v>
      </c>
      <c r="F52" s="50"/>
      <c r="G52" s="488">
        <f>IF(D56&gt;0,E55,E57)</f>
        <v>500</v>
      </c>
      <c r="H52" s="487" t="str">
        <f>CONCATENATE("",E1," Ad Valorem Tax (est.)")</f>
        <v>2014 Ad Valorem Tax (est.)</v>
      </c>
      <c r="I52" s="486"/>
      <c r="J52" s="257"/>
      <c r="K52" s="701">
        <f>IF(G52=E57,"","Note: Does not include Delinquent Taxes")</f>
      </c>
    </row>
    <row r="53" spans="2:10" ht="15.75">
      <c r="B53" s="48"/>
      <c r="C53" s="801" t="s">
        <v>620</v>
      </c>
      <c r="D53" s="802"/>
      <c r="E53" s="34"/>
      <c r="F53" s="482">
        <f>IF(E50/0.95-E50&lt;E53,"Exceeds 5%","")</f>
      </c>
      <c r="G53" s="484">
        <f>SUM(G50:G52)</f>
        <v>3255</v>
      </c>
      <c r="H53" s="487" t="str">
        <f>CONCATENATE("Total ",E1," Resources Available")</f>
        <v>Total 2014 Resources Available</v>
      </c>
      <c r="I53" s="486"/>
      <c r="J53" s="257"/>
    </row>
    <row r="54" spans="2:10" ht="15.75">
      <c r="B54" s="395" t="str">
        <f>CONCATENATE(C72,"     ",D72)</f>
        <v>     </v>
      </c>
      <c r="C54" s="803" t="s">
        <v>621</v>
      </c>
      <c r="D54" s="804"/>
      <c r="E54" s="32">
        <f>E50+E53</f>
        <v>3255</v>
      </c>
      <c r="G54" s="489"/>
      <c r="H54" s="487"/>
      <c r="I54" s="487"/>
      <c r="J54" s="257"/>
    </row>
    <row r="55" spans="2:10" ht="15.75">
      <c r="B55" s="395" t="str">
        <f>CONCATENATE(C73,"     ",D73)</f>
        <v>     </v>
      </c>
      <c r="C55" s="60"/>
      <c r="D55" s="52" t="s">
        <v>28</v>
      </c>
      <c r="E55" s="46">
        <f>IF(E54-E27&gt;0,E54-E27,0)</f>
        <v>500</v>
      </c>
      <c r="G55" s="488">
        <f>ROUND(C50*0.05+C50,0)</f>
        <v>541</v>
      </c>
      <c r="H55" s="487" t="str">
        <f>CONCATENATE("Less ",E1-2," Expenditures + 5%")</f>
        <v>Less 2012 Expenditures + 5%</v>
      </c>
      <c r="I55" s="486"/>
      <c r="J55" s="257"/>
    </row>
    <row r="56" spans="2:10" ht="15.75">
      <c r="B56" s="52"/>
      <c r="C56" s="399" t="s">
        <v>622</v>
      </c>
      <c r="D56" s="689">
        <f>inputOth!$E$40</f>
        <v>0</v>
      </c>
      <c r="E56" s="32">
        <f>ROUND(IF(D56&gt;0,(E55*D56),0),0)</f>
        <v>0</v>
      </c>
      <c r="G56" s="490">
        <f>G53-G55</f>
        <v>2714</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500</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0.121</v>
      </c>
      <c r="H60" s="485" t="str">
        <f>CONCATENATE("",E1," Fund Mill Rate")</f>
        <v>2014 Fund Mill Rate</v>
      </c>
      <c r="I60" s="691"/>
      <c r="J60" s="703"/>
      <c r="K60" s="16"/>
    </row>
    <row r="61" spans="2:10" ht="15.75">
      <c r="B61" s="52" t="s">
        <v>9</v>
      </c>
      <c r="C61" s="401">
        <f>IF(inputPrYr!D18&gt;0,7,6)</f>
        <v>6</v>
      </c>
      <c r="D61" s="14"/>
      <c r="E61" s="55"/>
      <c r="G61" s="705">
        <f>summ!F18</f>
        <v>0.123</v>
      </c>
      <c r="H61" s="485" t="str">
        <f>CONCATENATE("",E1-1," Fund Mill Rate")</f>
        <v>2013 Fund Mill Rate</v>
      </c>
      <c r="I61" s="691"/>
      <c r="J61" s="703"/>
    </row>
    <row r="62" spans="7:10" ht="15.75">
      <c r="G62" s="706">
        <f>summ!I32</f>
        <v>0.784</v>
      </c>
      <c r="H62" s="485" t="str">
        <f>CONCATENATE("Total ",E1," Mill Rate")</f>
        <v>Total 2014 Mill Rate</v>
      </c>
      <c r="I62" s="691"/>
      <c r="J62" s="703"/>
    </row>
    <row r="63" spans="2:10" ht="15.75">
      <c r="B63" s="12"/>
      <c r="G63" s="705">
        <f>summ!F32</f>
        <v>0.795</v>
      </c>
      <c r="H63" s="707" t="str">
        <f>CONCATENATE("Total ",E1-1," Mill Rate")</f>
        <v>Total 2013 Mill Rate</v>
      </c>
      <c r="I63" s="708"/>
      <c r="J63" s="709"/>
    </row>
    <row r="64" spans="7:10" ht="15.75">
      <c r="G64" s="692"/>
      <c r="H64" s="494"/>
      <c r="I64" s="494"/>
      <c r="J64" s="694"/>
    </row>
    <row r="65" spans="7:10" ht="15.75">
      <c r="G65" s="744" t="s">
        <v>931</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Key West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14"/>
      <c r="I31" s="814"/>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0.784</v>
      </c>
      <c r="H45" s="632" t="str">
        <f>CONCATENATE("Total ",E1," Mill Rate")</f>
        <v>Total 2014 Mill Rate</v>
      </c>
      <c r="I45" s="656"/>
      <c r="J45" s="657"/>
    </row>
    <row r="46" spans="2:10" ht="15.75">
      <c r="B46" s="594" t="s">
        <v>142</v>
      </c>
      <c r="C46" s="599">
        <v>0</v>
      </c>
      <c r="D46" s="596">
        <f>C74</f>
        <v>0</v>
      </c>
      <c r="E46" s="597">
        <f>D74</f>
        <v>0</v>
      </c>
      <c r="F46" s="635"/>
      <c r="G46" s="659">
        <f>summ!F32</f>
        <v>0.795</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21"/>
      <c r="I71" s="821"/>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0.784</v>
      </c>
      <c r="H85" s="632" t="str">
        <f>CONCATENATE("Total ",E1," Mill Rate")</f>
        <v>Total 2014 Mill Rate</v>
      </c>
      <c r="I85" s="656"/>
      <c r="J85" s="657"/>
    </row>
    <row r="86" spans="7:10" ht="15.75">
      <c r="G86" s="659">
        <f>summ!F32</f>
        <v>0.795</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No</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287</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287</v>
      </c>
      <c r="F45" s="50"/>
      <c r="G45" s="488">
        <f>IF(D49&gt;0,E48,E50)</f>
        <v>0</v>
      </c>
      <c r="H45" s="487" t="str">
        <f>CONCATENATE("",E1," Ad Valorem Tax (est.)")</f>
        <v>2014 Ad Valorem Tax (est.)</v>
      </c>
      <c r="I45" s="486"/>
      <c r="J45" s="257"/>
      <c r="K45" s="701">
        <f>IF(G45=E50,"","Note: Does not include Delinquent Taxes")</f>
      </c>
    </row>
    <row r="46" spans="2:10" ht="15.75">
      <c r="B46" s="48"/>
      <c r="C46" s="801" t="s">
        <v>620</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621</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622</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0.784</v>
      </c>
      <c r="H55" s="485" t="str">
        <f>CONCATENATE("Total ",E1," Mill Rate")</f>
        <v>Total 2014 Mill Rate</v>
      </c>
      <c r="I55" s="691"/>
      <c r="J55" s="703"/>
    </row>
    <row r="56" spans="2:10" ht="15.75">
      <c r="B56" s="72" t="s">
        <v>33</v>
      </c>
      <c r="C56" s="132"/>
      <c r="D56" s="14"/>
      <c r="E56" s="14"/>
      <c r="G56" s="705">
        <f>summ!F32</f>
        <v>0.795</v>
      </c>
      <c r="H56" s="707" t="str">
        <f>CONCATENATE("Total ",E1-1," Mill Rate")</f>
        <v>Total 2013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No</v>
      </c>
    </row>
    <row r="59" spans="2:5" ht="15.75">
      <c r="B59" s="75" t="s">
        <v>245</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3911</v>
      </c>
      <c r="D6" s="387">
        <f>C34</f>
        <v>4993</v>
      </c>
      <c r="E6" s="32">
        <f>D34</f>
        <v>5314</v>
      </c>
    </row>
    <row r="7" spans="2:5" ht="15.75">
      <c r="B7" s="27" t="s">
        <v>120</v>
      </c>
      <c r="C7" s="387"/>
      <c r="D7" s="387"/>
      <c r="E7" s="33"/>
    </row>
    <row r="8" spans="2:5" ht="15.75">
      <c r="B8" s="27" t="s">
        <v>16</v>
      </c>
      <c r="C8" s="29">
        <v>2680</v>
      </c>
      <c r="D8" s="387">
        <f>IF(inputPrYr!H15&gt;0,inputPrYr!G20,inputPrYr!E20)</f>
        <v>2723</v>
      </c>
      <c r="E8" s="33" t="s">
        <v>287</v>
      </c>
    </row>
    <row r="9" spans="2:5" ht="15.75">
      <c r="B9" s="27" t="s">
        <v>17</v>
      </c>
      <c r="C9" s="29">
        <v>18</v>
      </c>
      <c r="D9" s="29"/>
      <c r="E9" s="34"/>
    </row>
    <row r="10" spans="2:5" ht="15.75">
      <c r="B10" s="27" t="s">
        <v>18</v>
      </c>
      <c r="C10" s="29">
        <v>200</v>
      </c>
      <c r="D10" s="29">
        <v>218</v>
      </c>
      <c r="E10" s="32">
        <f>mvalloc!G15</f>
        <v>231</v>
      </c>
    </row>
    <row r="11" spans="2:5" ht="15.75">
      <c r="B11" s="27" t="s">
        <v>19</v>
      </c>
      <c r="C11" s="29">
        <v>14</v>
      </c>
      <c r="D11" s="29">
        <v>12</v>
      </c>
      <c r="E11" s="32">
        <f>mvalloc!I15</f>
        <v>13</v>
      </c>
    </row>
    <row r="12" spans="2:5" ht="15.75">
      <c r="B12" s="35" t="s">
        <v>69</v>
      </c>
      <c r="C12" s="29">
        <v>20</v>
      </c>
      <c r="D12" s="29">
        <v>18</v>
      </c>
      <c r="E12" s="32">
        <f>mvalloc!J15</f>
        <v>25</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2932</v>
      </c>
      <c r="D20" s="389">
        <f>SUM(D8:D18)</f>
        <v>2971</v>
      </c>
      <c r="E20" s="42">
        <f>SUM(E8:E18)</f>
        <v>269</v>
      </c>
    </row>
    <row r="21" spans="2:5" ht="15.75">
      <c r="B21" s="43" t="s">
        <v>24</v>
      </c>
      <c r="C21" s="389">
        <f>C20+C6</f>
        <v>6843</v>
      </c>
      <c r="D21" s="389">
        <f>D20+D6</f>
        <v>7964</v>
      </c>
      <c r="E21" s="42">
        <f>E20+E6</f>
        <v>5583</v>
      </c>
    </row>
    <row r="22" spans="2:5" ht="15.75">
      <c r="B22" s="27" t="s">
        <v>25</v>
      </c>
      <c r="C22" s="387"/>
      <c r="D22" s="387"/>
      <c r="E22" s="32"/>
    </row>
    <row r="23" spans="2:5" ht="15.75">
      <c r="B23" s="38" t="s">
        <v>944</v>
      </c>
      <c r="C23" s="29">
        <v>1850</v>
      </c>
      <c r="D23" s="29">
        <v>2650</v>
      </c>
      <c r="E23" s="34">
        <v>8326</v>
      </c>
    </row>
    <row r="24" spans="2:11" ht="15.75">
      <c r="B24" s="38" t="s">
        <v>945</v>
      </c>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1850</v>
      </c>
      <c r="D33" s="389">
        <f>SUM(D23:D31)</f>
        <v>2650</v>
      </c>
      <c r="E33" s="42">
        <f>SUM(E23:E31)</f>
        <v>8326</v>
      </c>
      <c r="G33" s="631">
        <f>D34</f>
        <v>5314</v>
      </c>
      <c r="H33" s="632" t="str">
        <f>CONCATENATE("",E1-1," Ending Cash Balance (est.)")</f>
        <v>2013 Ending Cash Balance (est.)</v>
      </c>
      <c r="I33" s="633"/>
      <c r="J33" s="628"/>
      <c r="K33" s="582"/>
    </row>
    <row r="34" spans="2:11" ht="15.75">
      <c r="B34" s="27" t="s">
        <v>119</v>
      </c>
      <c r="C34" s="382">
        <f>C21-C33</f>
        <v>4993</v>
      </c>
      <c r="D34" s="382">
        <f>D21-D33</f>
        <v>5314</v>
      </c>
      <c r="E34" s="33" t="s">
        <v>287</v>
      </c>
      <c r="G34" s="631">
        <f>E20</f>
        <v>269</v>
      </c>
      <c r="H34" s="615" t="str">
        <f>CONCATENATE("",E1," Non-AV Receipts (est.)")</f>
        <v>2014 Non-AV Receipts (est.)</v>
      </c>
      <c r="I34" s="633"/>
      <c r="J34" s="628"/>
      <c r="K34" s="582"/>
    </row>
    <row r="35" spans="2:11" ht="15.75">
      <c r="B35" s="48" t="str">
        <f>CONCATENATE("",E1-2,"/",E1-1," Budget Authority Amount:")</f>
        <v>2012/2013 Budget Authority Amount:</v>
      </c>
      <c r="C35" s="132">
        <f>inputOth!B50</f>
        <v>6266</v>
      </c>
      <c r="D35" s="161">
        <f>inputPrYr!D20</f>
        <v>7761</v>
      </c>
      <c r="E35" s="33" t="s">
        <v>287</v>
      </c>
      <c r="F35" s="50"/>
      <c r="G35" s="640">
        <f>IF(E39&gt;0,E38,E40)</f>
        <v>2743</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8326</v>
      </c>
      <c r="H36" s="615" t="str">
        <f>CONCATENATE("Total ",E1," Resources Available")</f>
        <v>Total 2014 Resources Available</v>
      </c>
      <c r="I36" s="633"/>
      <c r="J36" s="628"/>
      <c r="K36" s="582"/>
    </row>
    <row r="37" spans="2:11" ht="15.75">
      <c r="B37" s="395" t="str">
        <f>CONCATENATE(C92,"     ",D92)</f>
        <v>     </v>
      </c>
      <c r="C37" s="803" t="s">
        <v>621</v>
      </c>
      <c r="D37" s="804"/>
      <c r="E37" s="32">
        <f>E33+E36</f>
        <v>8326</v>
      </c>
      <c r="G37" s="644"/>
      <c r="H37" s="615"/>
      <c r="I37" s="615"/>
      <c r="J37" s="628"/>
      <c r="K37" s="582"/>
    </row>
    <row r="38" spans="2:11" ht="15.75">
      <c r="B38" s="395" t="str">
        <f>CONCATENATE(C93,"     ",D93)</f>
        <v>     </v>
      </c>
      <c r="C38" s="60"/>
      <c r="D38" s="52" t="s">
        <v>28</v>
      </c>
      <c r="E38" s="46">
        <f>IF(E37-E21&gt;0,E37-E21,0)</f>
        <v>2743</v>
      </c>
      <c r="G38" s="640">
        <f>C33*0.05+C33</f>
        <v>1942.5</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6383.5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2743</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0.663</v>
      </c>
      <c r="H43" s="632" t="str">
        <f>CONCATENATE("",E1," Fund Mill Rate")</f>
        <v>2014 Fund Mill Rate</v>
      </c>
      <c r="I43" s="656"/>
      <c r="J43" s="657"/>
      <c r="K43" s="582"/>
    </row>
    <row r="44" spans="2:11" ht="15.75">
      <c r="B44" s="14"/>
      <c r="C44" s="385" t="s">
        <v>11</v>
      </c>
      <c r="D44" s="388" t="s">
        <v>12</v>
      </c>
      <c r="E44" s="23" t="s">
        <v>13</v>
      </c>
      <c r="G44" s="659">
        <f>summ!F22</f>
        <v>0.672</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0.784</v>
      </c>
      <c r="H45" s="632" t="str">
        <f>CONCATENATE("Total ",E1," Mill Rate")</f>
        <v>Total 2014 Mill Rate</v>
      </c>
      <c r="I45" s="656"/>
      <c r="J45" s="657"/>
      <c r="K45" s="582"/>
    </row>
    <row r="46" spans="2:11" ht="15.75">
      <c r="B46" s="27" t="s">
        <v>118</v>
      </c>
      <c r="C46" s="29"/>
      <c r="D46" s="387">
        <f>C74</f>
        <v>0</v>
      </c>
      <c r="E46" s="32">
        <f>D74</f>
        <v>0</v>
      </c>
      <c r="G46" s="659">
        <f>summ!F32</f>
        <v>0.795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0.784</v>
      </c>
      <c r="H85" s="632" t="str">
        <f>CONCATENATE("Total ",E1," Mill Rate")</f>
        <v>Total 2014 Mill Rate</v>
      </c>
      <c r="I85" s="656"/>
      <c r="J85" s="657"/>
      <c r="K85" s="582"/>
    </row>
    <row r="86" spans="7:11" ht="15.75">
      <c r="G86" s="659">
        <f>summ!F32</f>
        <v>0.795</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0.784</v>
      </c>
      <c r="H45" s="632" t="str">
        <f>CONCATENATE("Total ",E1," Mill Rate")</f>
        <v>Total 2014 Mill Rate</v>
      </c>
      <c r="I45" s="656"/>
      <c r="J45" s="657"/>
      <c r="K45" s="582"/>
    </row>
    <row r="46" spans="2:11" ht="15.75">
      <c r="B46" s="27" t="s">
        <v>118</v>
      </c>
      <c r="C46" s="29"/>
      <c r="D46" s="387">
        <f>C74</f>
        <v>0</v>
      </c>
      <c r="E46" s="32">
        <f>D74</f>
        <v>0</v>
      </c>
      <c r="G46" s="659">
        <f>summ!F32</f>
        <v>0.795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0.784</v>
      </c>
      <c r="H85" s="632" t="str">
        <f>CONCATENATE("Total ",E1," Mill Rate")</f>
        <v>Total 2014 Mill Rate</v>
      </c>
      <c r="I85" s="656"/>
      <c r="J85" s="657"/>
      <c r="K85" s="582"/>
    </row>
    <row r="86" spans="7:11" ht="15.75">
      <c r="G86" s="659">
        <f>summ!F32</f>
        <v>0.795</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0.784</v>
      </c>
      <c r="H45" s="632" t="str">
        <f>CONCATENATE("Total ",E1," Mill Rate")</f>
        <v>Total 2014 Mill Rate</v>
      </c>
      <c r="I45" s="656"/>
      <c r="J45" s="657"/>
      <c r="K45" s="582"/>
    </row>
    <row r="46" spans="2:11" ht="15.75">
      <c r="B46" s="27" t="s">
        <v>118</v>
      </c>
      <c r="C46" s="29"/>
      <c r="D46" s="387">
        <f>C74</f>
        <v>0</v>
      </c>
      <c r="E46" s="32">
        <f>D74</f>
        <v>0</v>
      </c>
      <c r="G46" s="659">
        <f>summ!F32</f>
        <v>0.795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0.784</v>
      </c>
      <c r="H85" s="632" t="str">
        <f>CONCATENATE("Total ",E1," Mill Rate")</f>
        <v>Total 2014 Mill Rate</v>
      </c>
      <c r="I85" s="656"/>
      <c r="J85" s="657"/>
      <c r="K85" s="582"/>
    </row>
    <row r="86" spans="7:11" ht="15.75">
      <c r="G86" s="659">
        <f>summ!F32</f>
        <v>0.795</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Key West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2">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939</v>
      </c>
      <c r="E2" s="19"/>
    </row>
    <row r="3" spans="1:5" ht="15.75">
      <c r="A3" s="68" t="s">
        <v>223</v>
      </c>
      <c r="B3" s="14"/>
      <c r="C3" s="14"/>
      <c r="D3" s="378" t="s">
        <v>940</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3263</v>
      </c>
      <c r="E16" s="187">
        <v>500</v>
      </c>
      <c r="G16" s="32">
        <f>IF(H15&gt;0,ROUND(E16-(E16*H15),0),0)</f>
        <v>0</v>
      </c>
    </row>
    <row r="17" spans="1:7" ht="15.75">
      <c r="A17" s="14"/>
      <c r="B17" s="72" t="s">
        <v>297</v>
      </c>
      <c r="C17" s="161" t="s">
        <v>151</v>
      </c>
      <c r="D17" s="187"/>
      <c r="E17" s="187"/>
      <c r="G17" s="32">
        <f>IF(H15&gt;0,ROUND(E17-(E17*H15),0),0)</f>
        <v>0</v>
      </c>
    </row>
    <row r="18" spans="1:7" ht="15.75">
      <c r="A18" s="14"/>
      <c r="B18" s="72" t="s">
        <v>826</v>
      </c>
      <c r="C18" s="682" t="s">
        <v>827</v>
      </c>
      <c r="D18" s="187"/>
      <c r="E18" s="187"/>
      <c r="G18" s="32">
        <f>IF(H15&gt;0,ROUND(E18-(E18*H15),0),0)</f>
        <v>0</v>
      </c>
    </row>
    <row r="19" spans="1:7" ht="15.75">
      <c r="A19" s="14"/>
      <c r="B19" s="72" t="s">
        <v>272</v>
      </c>
      <c r="C19" s="179" t="s">
        <v>312</v>
      </c>
      <c r="D19" s="187"/>
      <c r="E19" s="187"/>
      <c r="G19" s="32">
        <f>IF(H15&gt;0,ROUND(E19-(E19*H15),0),0)</f>
        <v>0</v>
      </c>
    </row>
    <row r="20" spans="1:7" ht="15.75">
      <c r="A20" s="14"/>
      <c r="B20" s="379" t="s">
        <v>941</v>
      </c>
      <c r="C20" s="380" t="s">
        <v>942</v>
      </c>
      <c r="D20" s="187">
        <v>7761</v>
      </c>
      <c r="E20" s="187">
        <v>2723</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3223</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11024</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0.129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0.693</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0.822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3193</v>
      </c>
    </row>
    <row r="55" spans="1:5" ht="15.75">
      <c r="A55" s="327" t="str">
        <f>CONCATENATE("Assessed Valuation (",D5-2," budget column)")</f>
        <v>Assessed Valuation (2012 budget column)</v>
      </c>
      <c r="B55" s="328"/>
      <c r="C55" s="267"/>
      <c r="D55" s="28"/>
      <c r="E55" s="187">
        <v>3888196</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Key West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N6" sqref="N6"/>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Key West Township</v>
      </c>
      <c r="C5" s="784"/>
      <c r="D5" s="784"/>
      <c r="E5" s="784"/>
      <c r="F5" s="784"/>
      <c r="G5" s="784"/>
      <c r="H5" s="784"/>
      <c r="I5" s="784"/>
    </row>
    <row r="6" spans="2:9" ht="15.75">
      <c r="B6" s="784" t="str">
        <f>inputPrYr!D3</f>
        <v>Coffey County</v>
      </c>
      <c r="C6" s="784"/>
      <c r="D6" s="784"/>
      <c r="E6" s="784"/>
      <c r="F6" s="784"/>
      <c r="G6" s="784"/>
      <c r="H6" s="784"/>
      <c r="I6" s="784"/>
    </row>
    <row r="7" spans="2:9" ht="15.75">
      <c r="B7" s="775" t="str">
        <f>CONCATENATE("will meet on ",inputBudSum!B8," at ",inputBudSum!B10," at ",inputBudSum!B12," for the purpose of hearing and")</f>
        <v>will meet on September 17, 2013 at 7:00 p.m. at Harlan Davies' Residence for the purpose of hearing and</v>
      </c>
      <c r="C7" s="775"/>
      <c r="D7" s="775"/>
      <c r="E7" s="775"/>
      <c r="F7" s="775"/>
      <c r="G7" s="775"/>
      <c r="H7" s="775"/>
      <c r="I7" s="775"/>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Harlan Davies' Residence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206</v>
      </c>
      <c r="H16" s="828"/>
      <c r="I16" s="156" t="s">
        <v>41</v>
      </c>
      <c r="J16" s="149"/>
    </row>
    <row r="17" spans="2:10" ht="15.75">
      <c r="B17" s="25" t="s">
        <v>283</v>
      </c>
      <c r="C17" s="26" t="s">
        <v>42</v>
      </c>
      <c r="D17" s="26" t="s">
        <v>43</v>
      </c>
      <c r="E17" s="26" t="s">
        <v>42</v>
      </c>
      <c r="F17" s="26" t="s">
        <v>43</v>
      </c>
      <c r="G17" s="26" t="s">
        <v>717</v>
      </c>
      <c r="H17" s="829"/>
      <c r="I17" s="26" t="s">
        <v>43</v>
      </c>
      <c r="J17" s="149"/>
    </row>
    <row r="18" spans="2:10" ht="15.75">
      <c r="B18" s="85" t="str">
        <f>inputPrYr!B16</f>
        <v>General</v>
      </c>
      <c r="C18" s="63">
        <f>IF(gen!$C$50&lt;&gt;0,gen!$C$50,"  ")</f>
        <v>515</v>
      </c>
      <c r="D18" s="524">
        <f>IF(inputPrYr!D42&gt;0,inputPrYr!D42,"  ")</f>
        <v>0.129</v>
      </c>
      <c r="E18" s="32">
        <f>IF(gen!$D$50&lt;&gt;0,gen!$D$50,"  ")</f>
        <v>570</v>
      </c>
      <c r="F18" s="235">
        <f>IF(inputOth!D17&gt;0,inputOth!D17,"  ")</f>
        <v>0.123</v>
      </c>
      <c r="G18" s="32">
        <f>IF(gen!$E$50&lt;&gt;0,gen!$E$50,"  ")</f>
        <v>3255</v>
      </c>
      <c r="H18" s="32">
        <f>IF(gen!$E$57&lt;&gt;0,gen!$E$57," ")</f>
        <v>500</v>
      </c>
      <c r="I18" s="526">
        <f>IF(gen!E57&gt;0,ROUND(H18/$G$37*1000,3)," ")</f>
        <v>0.121</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1850</v>
      </c>
      <c r="D22" s="524">
        <f>IF(inputPrYr!D46&gt;0,inputPrYr!D46,"  ")</f>
        <v>0.693</v>
      </c>
      <c r="E22" s="32">
        <f>IF(levypage9!$D$33&lt;&gt;0,levypage9!$D$33,"  ")</f>
        <v>2650</v>
      </c>
      <c r="F22" s="235">
        <f>IF(inputOth!D21&gt;0,inputOth!D21,"  ")</f>
        <v>0.672</v>
      </c>
      <c r="G22" s="32">
        <f>IF(levypage9!$E$33&lt;&gt;0,levypage9!$E$33,"  ")</f>
        <v>8326</v>
      </c>
      <c r="H22" s="32">
        <f>IF(levypage9!$E$40&lt;&gt;0,levypage9!$E$40,"  ")</f>
        <v>2743</v>
      </c>
      <c r="I22" s="526">
        <f>IF(levypage9!E40&gt;0,ROUND(H22/$G$37*1000,3)," ")</f>
        <v>0.663</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4137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0.795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46</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2365</v>
      </c>
      <c r="D32" s="478">
        <f t="shared" si="0"/>
        <v>0.822</v>
      </c>
      <c r="E32" s="527">
        <f t="shared" si="0"/>
        <v>3220</v>
      </c>
      <c r="F32" s="478">
        <f t="shared" si="0"/>
        <v>0.795</v>
      </c>
      <c r="G32" s="527">
        <f t="shared" si="0"/>
        <v>11581</v>
      </c>
      <c r="H32" s="527">
        <f t="shared" si="0"/>
        <v>3243</v>
      </c>
      <c r="I32" s="530">
        <f t="shared" si="0"/>
        <v>0.784</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2365</v>
      </c>
      <c r="D34" s="14"/>
      <c r="E34" s="528">
        <f>E32-E33</f>
        <v>3220</v>
      </c>
      <c r="F34" s="14"/>
      <c r="G34" s="528">
        <f>G32-G33</f>
        <v>11581</v>
      </c>
      <c r="H34" s="14"/>
      <c r="I34" s="14"/>
      <c r="K34" s="507" t="str">
        <f>CONCATENATE("",I1," Ad Valorem Tax Revenue:")</f>
        <v>2014 Ad Valorem Tax Revenue:</v>
      </c>
      <c r="L34" s="501"/>
      <c r="M34" s="501"/>
      <c r="N34" s="502">
        <f>H32</f>
        <v>3243</v>
      </c>
    </row>
    <row r="35" spans="2:14" ht="16.5" thickTop="1">
      <c r="B35" s="274" t="s">
        <v>46</v>
      </c>
      <c r="C35" s="529">
        <f>inputPrYr!E54</f>
        <v>3193</v>
      </c>
      <c r="D35" s="61"/>
      <c r="E35" s="529">
        <f>inputPrYr!E26</f>
        <v>3223</v>
      </c>
      <c r="F35" s="14"/>
      <c r="G35" s="520" t="s">
        <v>287</v>
      </c>
      <c r="H35" s="14"/>
      <c r="I35" s="14"/>
      <c r="K35" s="507" t="str">
        <f>CONCATENATE("",I1-1," Ad Valorem Tax Revenue:")</f>
        <v>2013 Ad Valorem Tax Revenue:</v>
      </c>
      <c r="L35" s="501"/>
      <c r="M35" s="501"/>
      <c r="N35" s="515">
        <f>ROUND(G37*N27/1000,0)</f>
        <v>3289</v>
      </c>
    </row>
    <row r="36" spans="2:14" ht="15.75">
      <c r="B36" s="274" t="s">
        <v>47</v>
      </c>
      <c r="C36" s="55"/>
      <c r="D36" s="61"/>
      <c r="E36" s="55"/>
      <c r="F36" s="61"/>
      <c r="G36" s="14"/>
      <c r="H36" s="14"/>
      <c r="I36" s="14"/>
      <c r="K36" s="512" t="s">
        <v>715</v>
      </c>
      <c r="L36" s="513"/>
      <c r="M36" s="513"/>
      <c r="N36" s="505">
        <f>N34-N35</f>
        <v>-46</v>
      </c>
    </row>
    <row r="37" spans="2:14" ht="15.75">
      <c r="B37" s="274" t="s">
        <v>48</v>
      </c>
      <c r="C37" s="32">
        <f>inputPrYr!E55</f>
        <v>3888196</v>
      </c>
      <c r="D37" s="14"/>
      <c r="E37" s="32">
        <f>inputOth!E29</f>
        <v>4050422</v>
      </c>
      <c r="F37" s="14"/>
      <c r="G37" s="32">
        <f>inputOth!E7</f>
        <v>4136764</v>
      </c>
      <c r="H37" s="14"/>
      <c r="I37" s="14"/>
      <c r="K37" s="506"/>
      <c r="L37" s="506"/>
      <c r="M37" s="506"/>
      <c r="N37" s="514"/>
    </row>
    <row r="38" spans="2:14" ht="15.75">
      <c r="B38" s="22" t="s">
        <v>49</v>
      </c>
      <c r="C38" s="14"/>
      <c r="D38" s="14"/>
      <c r="E38" s="14"/>
      <c r="F38" s="14"/>
      <c r="G38" s="14"/>
      <c r="H38" s="14"/>
      <c r="I38" s="14"/>
      <c r="K38" s="833" t="s">
        <v>716</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0.784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Harlan Davies</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Key West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4136764</v>
      </c>
      <c r="E19" s="14"/>
      <c r="F19" s="129"/>
    </row>
    <row r="20" spans="1:6" ht="15.75">
      <c r="A20" s="14"/>
      <c r="B20" s="14"/>
      <c r="C20" s="14"/>
      <c r="D20" s="14"/>
      <c r="E20" s="14"/>
      <c r="F20" s="129"/>
    </row>
    <row r="21" spans="1:6" ht="15.75">
      <c r="A21" s="14"/>
      <c r="B21" s="842" t="s">
        <v>363</v>
      </c>
      <c r="C21" s="842"/>
      <c r="D21" s="137">
        <f>IF(D19&gt;0,(D19*0.001),"")</f>
        <v>4136.764</v>
      </c>
      <c r="E21" s="14"/>
      <c r="F21" s="129"/>
    </row>
    <row r="22" spans="1:6" ht="15.75">
      <c r="A22" s="14"/>
      <c r="B22" s="48"/>
      <c r="C22" s="48"/>
      <c r="D22" s="138"/>
      <c r="E22" s="14"/>
      <c r="F22" s="129"/>
    </row>
    <row r="23" spans="1:6" ht="15.75">
      <c r="A23" s="840" t="s">
        <v>365</v>
      </c>
      <c r="B23" s="765"/>
      <c r="C23" s="76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127</v>
      </c>
      <c r="B1" s="850"/>
      <c r="C1" s="850"/>
      <c r="D1" s="850"/>
      <c r="E1" s="850"/>
      <c r="F1" s="850"/>
      <c r="G1" s="850"/>
    </row>
    <row r="2" ht="15.75">
      <c r="A2" s="1"/>
    </row>
    <row r="3" spans="1:7" ht="15.75">
      <c r="A3" s="851" t="s">
        <v>128</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Key West Township </v>
      </c>
      <c r="I6">
        <f>CONCATENATE(I7)</f>
      </c>
    </row>
    <row r="7" spans="1:7" ht="15.75">
      <c r="A7" s="852" t="str">
        <f>CONCATENATE("   with respect to financing the ",inputPrYr!D5," annual budget for ",(inputPrYr!D2)," , ",(inputPrYr!D3)," , Kansas.")</f>
        <v>   with respect to financing the 2014 annual budget for Key West Township , Coffey County , Kansas.</v>
      </c>
      <c r="B7" s="845"/>
      <c r="C7" s="845"/>
      <c r="D7" s="845"/>
      <c r="E7" s="845"/>
      <c r="F7" s="845"/>
      <c r="G7" s="845"/>
    </row>
    <row r="8" spans="1:7" ht="15.75">
      <c r="A8" s="845"/>
      <c r="B8" s="845"/>
      <c r="C8" s="845"/>
      <c r="D8" s="845"/>
      <c r="E8" s="845"/>
      <c r="F8" s="845"/>
      <c r="G8" s="845"/>
    </row>
    <row r="9" ht="15.75">
      <c r="A9" s="1"/>
    </row>
    <row r="10" ht="15.75">
      <c r="A10" s="9" t="s">
        <v>129</v>
      </c>
    </row>
    <row r="11" ht="15.75">
      <c r="A11" s="7" t="str">
        <f>CONCATENATE("to finance the ",inputPrYr!D5," ",(inputPrYr!D2)," budget exceed the amount levied to finance the ",inputPrYr!D5-1,"")</f>
        <v>to finance the 2014 Key West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Key West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134</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130</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Key West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131</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Key West Township of Coffey County, Kansas that is our desire to notify the public of increased property taxes to finance the 2014 Key West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Key West Township Board, Coffey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Key West Township Board</v>
      </c>
      <c r="E33" s="846"/>
      <c r="F33" s="846"/>
      <c r="G33" s="846"/>
    </row>
    <row r="35" spans="4:7" ht="15.75">
      <c r="D35" s="843" t="s">
        <v>132</v>
      </c>
      <c r="E35" s="843"/>
      <c r="F35" s="843"/>
      <c r="G35" s="843"/>
    </row>
    <row r="36" spans="1:7" ht="15.75">
      <c r="A36" s="5"/>
      <c r="D36" s="843" t="s">
        <v>136</v>
      </c>
      <c r="E36" s="843"/>
      <c r="F36" s="843"/>
      <c r="G36" s="843"/>
    </row>
    <row r="37" spans="4:7" ht="15.75">
      <c r="D37" s="843"/>
      <c r="E37" s="843"/>
      <c r="F37" s="843"/>
      <c r="G37" s="843"/>
    </row>
    <row r="38" spans="4:7" ht="15.75">
      <c r="D38" s="843" t="s">
        <v>132</v>
      </c>
      <c r="E38" s="843"/>
      <c r="F38" s="843"/>
      <c r="G38" s="843"/>
    </row>
    <row r="39" spans="1:7" ht="15.75">
      <c r="A39" s="4"/>
      <c r="D39" s="843" t="s">
        <v>137</v>
      </c>
      <c r="E39" s="843"/>
      <c r="F39" s="843"/>
      <c r="G39" s="843"/>
    </row>
    <row r="40" spans="4:7" ht="15.75">
      <c r="D40" s="843"/>
      <c r="E40" s="843"/>
      <c r="F40" s="843"/>
      <c r="G40" s="843"/>
    </row>
    <row r="41" spans="4:7" ht="15.75">
      <c r="D41" s="843" t="s">
        <v>135</v>
      </c>
      <c r="E41" s="843"/>
      <c r="F41" s="843"/>
      <c r="G41" s="843"/>
    </row>
    <row r="42" spans="1:7" ht="15.75">
      <c r="A42" s="4"/>
      <c r="D42" s="843" t="s">
        <v>138</v>
      </c>
      <c r="E42" s="843"/>
      <c r="F42" s="843"/>
      <c r="G42" s="843"/>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6">
      <selection activeCell="B59" sqref="B5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Key West Township</v>
      </c>
      <c r="B1" s="90"/>
      <c r="C1" s="90"/>
      <c r="D1" s="90"/>
      <c r="E1" s="90">
        <f>inputPrYr!D5</f>
        <v>2014</v>
      </c>
    </row>
    <row r="2" spans="1:5" ht="15.75">
      <c r="A2" s="88" t="str">
        <f>inputPrYr!D3</f>
        <v>Coffey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4136764</v>
      </c>
    </row>
    <row r="8" spans="1:5" ht="15.75">
      <c r="A8" s="22" t="str">
        <f>CONCATENATE("New Improvements for ",E1-1,"")</f>
        <v>New Improvements for 2013</v>
      </c>
      <c r="B8" s="19"/>
      <c r="C8" s="19"/>
      <c r="D8" s="19"/>
      <c r="E8" s="283">
        <v>24972</v>
      </c>
    </row>
    <row r="9" spans="1:5" ht="15.75">
      <c r="A9" s="22" t="str">
        <f>CONCATENATE("Personal Property excluding oil, gas, and mobile homes - ",E1-1,"")</f>
        <v>Personal Property excluding oil, gas, and mobile homes - 2013</v>
      </c>
      <c r="B9" s="19"/>
      <c r="C9" s="19"/>
      <c r="D9" s="19"/>
      <c r="E9" s="283">
        <v>59985</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127219</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0.123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0.672</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0.795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4050422</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274</v>
      </c>
    </row>
    <row r="33" spans="1:5" ht="15.75">
      <c r="A33" s="296" t="s">
        <v>274</v>
      </c>
      <c r="B33" s="267"/>
      <c r="C33" s="267"/>
      <c r="D33" s="31"/>
      <c r="E33" s="34">
        <v>15</v>
      </c>
    </row>
    <row r="34" spans="1:5" ht="15.75">
      <c r="A34" s="296" t="s">
        <v>158</v>
      </c>
      <c r="B34" s="267"/>
      <c r="C34" s="267"/>
      <c r="D34" s="31"/>
      <c r="E34" s="34">
        <v>29</v>
      </c>
    </row>
    <row r="35" spans="1:5" ht="15.75">
      <c r="A35" s="296" t="s">
        <v>159</v>
      </c>
      <c r="B35" s="267"/>
      <c r="C35" s="267"/>
      <c r="D35" s="31"/>
      <c r="E35" s="34"/>
    </row>
    <row r="36" spans="1:5" ht="15.75">
      <c r="A36" s="296" t="s">
        <v>100</v>
      </c>
      <c r="B36" s="20"/>
      <c r="C36" s="20"/>
      <c r="D36" s="295"/>
      <c r="E36" s="34"/>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2508</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6266</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624</v>
      </c>
      <c r="C6" s="870"/>
      <c r="D6" s="870"/>
      <c r="E6" s="870"/>
      <c r="F6" s="870"/>
      <c r="G6" s="870"/>
      <c r="H6" s="870"/>
      <c r="I6" s="870"/>
      <c r="J6" s="870"/>
      <c r="K6" s="870"/>
      <c r="L6" s="405"/>
    </row>
    <row r="7" spans="1:12" ht="40.5" customHeight="1">
      <c r="A7" s="402"/>
      <c r="B7" s="882" t="s">
        <v>625</v>
      </c>
      <c r="C7" s="883"/>
      <c r="D7" s="883"/>
      <c r="E7" s="883"/>
      <c r="F7" s="883"/>
      <c r="G7" s="883"/>
      <c r="H7" s="883"/>
      <c r="I7" s="883"/>
      <c r="J7" s="883"/>
      <c r="K7" s="883"/>
      <c r="L7" s="402"/>
    </row>
    <row r="8" spans="1:12" ht="14.25">
      <c r="A8" s="402"/>
      <c r="B8" s="879" t="s">
        <v>626</v>
      </c>
      <c r="C8" s="879"/>
      <c r="D8" s="879"/>
      <c r="E8" s="879"/>
      <c r="F8" s="879"/>
      <c r="G8" s="879"/>
      <c r="H8" s="879"/>
      <c r="I8" s="879"/>
      <c r="J8" s="879"/>
      <c r="K8" s="879"/>
      <c r="L8" s="402"/>
    </row>
    <row r="9" spans="1:12" ht="14.25">
      <c r="A9" s="402"/>
      <c r="L9" s="402"/>
    </row>
    <row r="10" spans="1:12" ht="14.25">
      <c r="A10" s="402"/>
      <c r="B10" s="879" t="s">
        <v>627</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628</v>
      </c>
      <c r="C12" s="863"/>
      <c r="D12" s="863"/>
      <c r="E12" s="863"/>
      <c r="F12" s="863"/>
      <c r="G12" s="863"/>
      <c r="H12" s="863"/>
      <c r="I12" s="863"/>
      <c r="J12" s="863"/>
      <c r="K12" s="863"/>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65">
        <v>312000000</v>
      </c>
      <c r="G23" s="865"/>
      <c r="L23" s="402"/>
    </row>
    <row r="24" spans="1:12" ht="14.25">
      <c r="A24" s="402"/>
      <c r="L24" s="402"/>
    </row>
    <row r="25" spans="1:12" ht="14.25">
      <c r="A25" s="402"/>
      <c r="C25" s="880">
        <f>F23</f>
        <v>312000000</v>
      </c>
      <c r="D25" s="88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625</v>
      </c>
      <c r="C30" s="867"/>
      <c r="D30" s="867"/>
      <c r="E30" s="867"/>
      <c r="F30" s="867"/>
      <c r="G30" s="867"/>
      <c r="H30" s="867"/>
      <c r="I30" s="867"/>
      <c r="J30" s="867"/>
      <c r="K30" s="867"/>
      <c r="L30" s="402"/>
    </row>
    <row r="31" spans="1:12" ht="14.25">
      <c r="A31" s="402"/>
      <c r="B31" s="879" t="s">
        <v>637</v>
      </c>
      <c r="C31" s="879"/>
      <c r="D31" s="879"/>
      <c r="E31" s="879"/>
      <c r="F31" s="879"/>
      <c r="G31" s="879"/>
      <c r="H31" s="879"/>
      <c r="I31" s="879"/>
      <c r="J31" s="879"/>
      <c r="K31" s="879"/>
      <c r="L31" s="402"/>
    </row>
    <row r="32" spans="1:12" ht="14.25">
      <c r="A32" s="402"/>
      <c r="L32" s="402"/>
    </row>
    <row r="33" spans="1:12" ht="14.25">
      <c r="A33" s="402"/>
      <c r="B33" s="879" t="s">
        <v>638</v>
      </c>
      <c r="C33" s="879"/>
      <c r="D33" s="879"/>
      <c r="E33" s="879"/>
      <c r="F33" s="879"/>
      <c r="G33" s="879"/>
      <c r="H33" s="879"/>
      <c r="I33" s="879"/>
      <c r="J33" s="879"/>
      <c r="K33" s="879"/>
      <c r="L33" s="402"/>
    </row>
    <row r="34" spans="1:12" ht="14.25">
      <c r="A34" s="402"/>
      <c r="L34" s="402"/>
    </row>
    <row r="35" spans="1:12" ht="89.25" customHeight="1">
      <c r="A35" s="402"/>
      <c r="B35" s="863" t="s">
        <v>639</v>
      </c>
      <c r="C35" s="873"/>
      <c r="D35" s="873"/>
      <c r="E35" s="873"/>
      <c r="F35" s="873"/>
      <c r="G35" s="873"/>
      <c r="H35" s="873"/>
      <c r="I35" s="873"/>
      <c r="J35" s="873"/>
      <c r="K35" s="873"/>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81">
        <v>312000000</v>
      </c>
      <c r="D41" s="881"/>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74">
        <v>312000000</v>
      </c>
      <c r="C48" s="865"/>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75" t="s">
        <v>647</v>
      </c>
      <c r="H50" s="876"/>
      <c r="I50" s="546" t="s">
        <v>633</v>
      </c>
      <c r="J50" s="422">
        <f>B50/F50</f>
        <v>0.16025641025641027</v>
      </c>
      <c r="K50" s="414"/>
      <c r="L50" s="402"/>
    </row>
    <row r="51" spans="1:15" ht="15" thickBot="1">
      <c r="A51" s="402"/>
      <c r="B51" s="415"/>
      <c r="C51" s="416"/>
      <c r="D51" s="416"/>
      <c r="E51" s="416"/>
      <c r="F51" s="416"/>
      <c r="G51" s="416"/>
      <c r="H51" s="416"/>
      <c r="I51" s="877" t="s">
        <v>648</v>
      </c>
      <c r="J51" s="877"/>
      <c r="K51" s="878"/>
      <c r="L51" s="402"/>
      <c r="O51" s="423"/>
    </row>
    <row r="52" spans="1:12" ht="40.5" customHeight="1">
      <c r="A52" s="402"/>
      <c r="B52" s="867" t="s">
        <v>625</v>
      </c>
      <c r="C52" s="867"/>
      <c r="D52" s="867"/>
      <c r="E52" s="867"/>
      <c r="F52" s="867"/>
      <c r="G52" s="867"/>
      <c r="H52" s="867"/>
      <c r="I52" s="867"/>
      <c r="J52" s="867"/>
      <c r="K52" s="867"/>
      <c r="L52" s="402"/>
    </row>
    <row r="53" spans="1:12" ht="14.25">
      <c r="A53" s="402"/>
      <c r="B53" s="879" t="s">
        <v>649</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650</v>
      </c>
      <c r="C55" s="862"/>
      <c r="D55" s="862"/>
      <c r="E55" s="862"/>
      <c r="F55" s="862"/>
      <c r="G55" s="862"/>
      <c r="H55" s="862"/>
      <c r="I55" s="862"/>
      <c r="J55" s="862"/>
      <c r="K55" s="862"/>
      <c r="L55" s="402"/>
    </row>
    <row r="56" spans="1:12" ht="15" customHeight="1">
      <c r="A56" s="402"/>
      <c r="L56" s="402"/>
    </row>
    <row r="57" spans="1:24" ht="74.25" customHeight="1">
      <c r="A57" s="402"/>
      <c r="B57" s="863" t="s">
        <v>651</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65">
        <v>312000000</v>
      </c>
      <c r="D74" s="865"/>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65">
        <v>50000</v>
      </c>
      <c r="D77" s="865"/>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65">
        <v>100000</v>
      </c>
      <c r="D80" s="865"/>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6">
        <f>H80</f>
        <v>11500</v>
      </c>
      <c r="D83" s="866"/>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625</v>
      </c>
      <c r="C85" s="867"/>
      <c r="D85" s="867"/>
      <c r="E85" s="867"/>
      <c r="F85" s="867"/>
      <c r="G85" s="867"/>
      <c r="H85" s="867"/>
      <c r="I85" s="867"/>
      <c r="J85" s="867"/>
      <c r="K85" s="867"/>
      <c r="L85" s="402"/>
    </row>
    <row r="86" spans="1:12" ht="14.25">
      <c r="A86" s="402"/>
      <c r="B86" s="862" t="s">
        <v>667</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668</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669</v>
      </c>
      <c r="C90" s="863"/>
      <c r="D90" s="863"/>
      <c r="E90" s="863"/>
      <c r="F90" s="863"/>
      <c r="G90" s="863"/>
      <c r="H90" s="863"/>
      <c r="I90" s="863"/>
      <c r="J90" s="863"/>
      <c r="K90" s="863"/>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65">
        <v>312000000</v>
      </c>
      <c r="D94" s="865"/>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65">
        <v>50000</v>
      </c>
      <c r="D97" s="865"/>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65">
        <v>2500000</v>
      </c>
      <c r="D100" s="865"/>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6">
        <f>H100</f>
        <v>750000</v>
      </c>
      <c r="D103" s="866"/>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625</v>
      </c>
      <c r="C105" s="868"/>
      <c r="D105" s="868"/>
      <c r="E105" s="868"/>
      <c r="F105" s="868"/>
      <c r="G105" s="868"/>
      <c r="H105" s="868"/>
      <c r="I105" s="868"/>
      <c r="J105" s="868"/>
      <c r="K105" s="868"/>
      <c r="L105" s="402"/>
    </row>
    <row r="106" spans="1:12" ht="15" customHeight="1">
      <c r="A106" s="402"/>
      <c r="B106" s="869" t="s">
        <v>671</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672</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673</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65">
        <v>312000000</v>
      </c>
      <c r="D114" s="865"/>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65">
        <v>50000</v>
      </c>
      <c r="D117" s="865"/>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65">
        <v>2500000</v>
      </c>
      <c r="D120" s="865"/>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6">
        <f>H120</f>
        <v>625000</v>
      </c>
      <c r="D123" s="866"/>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625</v>
      </c>
      <c r="C125" s="867"/>
      <c r="D125" s="867"/>
      <c r="E125" s="867"/>
      <c r="F125" s="867"/>
      <c r="G125" s="867"/>
      <c r="H125" s="867"/>
      <c r="I125" s="867"/>
      <c r="J125" s="867"/>
      <c r="K125" s="867"/>
      <c r="L125" s="448"/>
    </row>
    <row r="126" spans="1:12" ht="14.25">
      <c r="A126" s="402"/>
      <c r="B126" s="862" t="s">
        <v>674</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675</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676</v>
      </c>
      <c r="C130" s="863"/>
      <c r="D130" s="863"/>
      <c r="E130" s="863"/>
      <c r="F130" s="863"/>
      <c r="G130" s="863"/>
      <c r="H130" s="863"/>
      <c r="I130" s="863"/>
      <c r="J130" s="863"/>
      <c r="K130" s="863"/>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64" t="s">
        <v>677</v>
      </c>
      <c r="D133" s="864"/>
      <c r="E133" s="412"/>
      <c r="F133" s="546" t="s">
        <v>678</v>
      </c>
      <c r="G133" s="412"/>
      <c r="H133" s="864" t="s">
        <v>663</v>
      </c>
      <c r="I133" s="864"/>
      <c r="J133" s="412"/>
      <c r="K133" s="414"/>
      <c r="L133" s="402"/>
    </row>
    <row r="134" spans="1:12" ht="14.25">
      <c r="A134" s="402"/>
      <c r="B134" s="420" t="s">
        <v>656</v>
      </c>
      <c r="C134" s="865">
        <v>100000</v>
      </c>
      <c r="D134" s="865"/>
      <c r="E134" s="546" t="s">
        <v>287</v>
      </c>
      <c r="F134" s="546">
        <v>0.115</v>
      </c>
      <c r="G134" s="546" t="s">
        <v>633</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663</v>
      </c>
      <c r="D136" s="853"/>
      <c r="E136" s="430"/>
      <c r="F136" s="548" t="s">
        <v>679</v>
      </c>
      <c r="G136" s="548"/>
      <c r="H136" s="430"/>
      <c r="I136" s="430"/>
      <c r="J136" s="430" t="s">
        <v>680</v>
      </c>
      <c r="K136" s="431"/>
      <c r="L136" s="402"/>
    </row>
    <row r="137" spans="1:12" ht="14.25">
      <c r="A137" s="402"/>
      <c r="B137" s="420" t="s">
        <v>659</v>
      </c>
      <c r="C137" s="854">
        <f>H134</f>
        <v>11500</v>
      </c>
      <c r="D137" s="854"/>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683</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4" t="s">
        <v>684</v>
      </c>
      <c r="D147" s="854"/>
      <c r="E147" s="546"/>
      <c r="F147" s="466" t="s">
        <v>685</v>
      </c>
      <c r="G147" s="546"/>
      <c r="H147" s="546"/>
      <c r="I147" s="546"/>
      <c r="J147" s="858" t="s">
        <v>686</v>
      </c>
      <c r="K147" s="859"/>
      <c r="L147" s="402"/>
    </row>
    <row r="148" spans="1:12" ht="14.25">
      <c r="A148" s="402"/>
      <c r="B148" s="420"/>
      <c r="C148" s="860">
        <v>52.869</v>
      </c>
      <c r="D148" s="860"/>
      <c r="E148" s="546" t="s">
        <v>287</v>
      </c>
      <c r="F148" s="542">
        <v>312000000</v>
      </c>
      <c r="G148" s="471" t="s">
        <v>634</v>
      </c>
      <c r="H148" s="546">
        <v>1000</v>
      </c>
      <c r="I148" s="546" t="s">
        <v>633</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7" sqref="B17"/>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t="s">
        <v>947</v>
      </c>
      <c r="C4" s="710"/>
      <c r="J4" s="711" t="s">
        <v>841</v>
      </c>
    </row>
    <row r="5" spans="1:10" ht="15.75">
      <c r="A5" s="474"/>
      <c r="B5" s="710"/>
      <c r="J5" s="711" t="s">
        <v>842</v>
      </c>
    </row>
    <row r="6" spans="1:10" ht="15.75">
      <c r="A6" s="474" t="s">
        <v>837</v>
      </c>
      <c r="B6" s="356" t="s">
        <v>948</v>
      </c>
      <c r="J6" s="711" t="s">
        <v>843</v>
      </c>
    </row>
    <row r="7" spans="1:10" ht="15.75">
      <c r="A7" s="353"/>
      <c r="B7" s="353"/>
      <c r="C7" s="353"/>
      <c r="D7" s="355"/>
      <c r="E7" s="353"/>
      <c r="F7" s="353"/>
      <c r="J7" s="711" t="s">
        <v>844</v>
      </c>
    </row>
    <row r="8" spans="1:10" ht="15.75">
      <c r="A8" s="354" t="s">
        <v>370</v>
      </c>
      <c r="B8" s="356" t="s">
        <v>949</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September 7, 2013</v>
      </c>
      <c r="E9" s="353"/>
      <c r="F9" s="353"/>
      <c r="J9" s="711" t="s">
        <v>846</v>
      </c>
    </row>
    <row r="10" spans="1:10" ht="15.75">
      <c r="A10" s="354" t="s">
        <v>371</v>
      </c>
      <c r="B10" s="356" t="s">
        <v>950</v>
      </c>
      <c r="C10" s="360"/>
      <c r="D10" s="354"/>
      <c r="E10" s="353"/>
      <c r="F10" s="353"/>
      <c r="J10" s="711" t="s">
        <v>847</v>
      </c>
    </row>
    <row r="11" spans="1:10" ht="15.75">
      <c r="A11" s="354"/>
      <c r="B11" s="354"/>
      <c r="C11" s="354"/>
      <c r="D11" s="354"/>
      <c r="E11" s="353"/>
      <c r="F11" s="353"/>
      <c r="J11" s="711" t="s">
        <v>848</v>
      </c>
    </row>
    <row r="12" spans="1:10" ht="15.75">
      <c r="A12" s="354" t="s">
        <v>372</v>
      </c>
      <c r="B12" s="361" t="s">
        <v>951</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951</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September</v>
      </c>
    </row>
    <row r="20" spans="1:7" ht="15.75">
      <c r="A20" s="354" t="s">
        <v>370</v>
      </c>
      <c r="B20" s="358" t="s">
        <v>375</v>
      </c>
      <c r="C20" s="354"/>
      <c r="D20" s="354"/>
      <c r="E20" s="354"/>
      <c r="G20" s="712" t="str">
        <f>IF(B8="","",CONCATENATE("J",G22))</f>
        <v>J9</v>
      </c>
    </row>
    <row r="21" spans="1:7" ht="15.75">
      <c r="A21" s="354"/>
      <c r="B21" s="354"/>
      <c r="C21" s="354"/>
      <c r="D21" s="354"/>
      <c r="E21" s="354"/>
      <c r="G21" s="713">
        <f>B8-10</f>
        <v>41524</v>
      </c>
    </row>
    <row r="22" spans="1:7" ht="15.75">
      <c r="A22" s="354" t="s">
        <v>371</v>
      </c>
      <c r="B22" s="354" t="s">
        <v>376</v>
      </c>
      <c r="C22" s="354"/>
      <c r="D22" s="354"/>
      <c r="E22" s="354"/>
      <c r="G22" s="714">
        <f>IF(B8="","",MONTH(G21))</f>
        <v>9</v>
      </c>
    </row>
    <row r="23" spans="1:7" ht="15.75">
      <c r="A23" s="354"/>
      <c r="B23" s="354"/>
      <c r="C23" s="354"/>
      <c r="D23" s="354"/>
      <c r="E23" s="354"/>
      <c r="G23" s="715">
        <f>IF(B8="","",DAY(G21))</f>
        <v>7</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F1">
      <selection activeCell="AC10" sqref="AC10"/>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3">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Coffey County, State of Kansas</v>
      </c>
      <c r="C3" s="774"/>
      <c r="D3" s="774"/>
      <c r="E3" s="774"/>
      <c r="F3" s="774"/>
      <c r="G3" s="774"/>
      <c r="H3" s="774"/>
    </row>
    <row r="4" spans="2:7" s="14" customFormat="1" ht="15.75">
      <c r="B4" s="775" t="s">
        <v>150</v>
      </c>
      <c r="C4" s="783"/>
      <c r="D4" s="783"/>
      <c r="E4" s="783"/>
      <c r="F4" s="783"/>
      <c r="G4" s="783"/>
    </row>
    <row r="5" spans="2:7" s="14" customFormat="1" ht="15.75">
      <c r="B5" s="784" t="str">
        <f>inputPrYr!D2</f>
        <v>Key West Township</v>
      </c>
      <c r="C5" s="783"/>
      <c r="D5" s="783"/>
      <c r="E5" s="783"/>
      <c r="F5" s="783"/>
      <c r="G5" s="783"/>
    </row>
    <row r="6" spans="2:7" s="14" customFormat="1" ht="15.75">
      <c r="B6" s="773" t="s">
        <v>148</v>
      </c>
      <c r="C6" s="774"/>
      <c r="D6" s="774"/>
      <c r="E6" s="774"/>
      <c r="F6" s="774"/>
      <c r="G6" s="774"/>
    </row>
    <row r="7" spans="2:7" s="14" customFormat="1" ht="15.75" customHeight="1">
      <c r="B7" s="775" t="s">
        <v>149</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275</v>
      </c>
      <c r="F12" s="767" t="str">
        <f>CONCATENATE("Amount of ",H1-1," Ad Valorem Tax")</f>
        <v>Amount of 2013 Ad Valorem Tax</v>
      </c>
      <c r="G12" s="23" t="s">
        <v>276</v>
      </c>
    </row>
    <row r="13" spans="4:7" s="14" customFormat="1" ht="15.75">
      <c r="D13" s="23" t="s">
        <v>277</v>
      </c>
      <c r="E13" s="522" t="s">
        <v>206</v>
      </c>
      <c r="F13" s="768"/>
      <c r="G13" s="156" t="s">
        <v>278</v>
      </c>
    </row>
    <row r="14" spans="2:7" s="14" customFormat="1" ht="15.75">
      <c r="B14" s="71" t="s">
        <v>279</v>
      </c>
      <c r="C14" s="20"/>
      <c r="D14" s="26" t="s">
        <v>280</v>
      </c>
      <c r="E14" s="523" t="s">
        <v>717</v>
      </c>
      <c r="F14" s="76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3255</v>
      </c>
      <c r="F21" s="722">
        <f>IF(gen!$E$57&lt;&gt;0,gen!$E$57,0)</f>
        <v>500</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Cemetery</v>
      </c>
      <c r="C25" s="260" t="str">
        <f>IF(inputPrYr!C20&gt;0,inputPrYr!C20,"  ")</f>
        <v>17-1344</v>
      </c>
      <c r="D25" s="261" t="str">
        <f>IF(levypage9!C81&gt;0,levypage9!C81,"  ")</f>
        <v>  </v>
      </c>
      <c r="E25" s="722">
        <f>IF(levypage9!$E$33&lt;&gt;0,levypage9!$E$33,"  ")</f>
        <v>8326</v>
      </c>
      <c r="F25" s="722">
        <f>IF(levypage9!$E$40&lt;&gt;0,levypage9!$E$40,"  ")</f>
        <v>2743</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11581</v>
      </c>
      <c r="F35" s="724">
        <f>SUM(F21:F30)</f>
        <v>3243</v>
      </c>
      <c r="G35" s="725">
        <f>IF(SUM(G21:G30)&gt;0,SUM(G21:G30),"")</f>
      </c>
    </row>
    <row r="36" spans="2:4" s="14" customFormat="1" ht="16.5" thickTop="1">
      <c r="B36" s="27" t="s">
        <v>166</v>
      </c>
      <c r="C36" s="259"/>
      <c r="D36" s="264">
        <f>summ!D49</f>
        <v>0</v>
      </c>
    </row>
    <row r="37" spans="2:6" s="14" customFormat="1" ht="15.75">
      <c r="B37" s="27" t="s">
        <v>212</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97</v>
      </c>
      <c r="C39" s="777" t="s">
        <v>124</v>
      </c>
      <c r="D39" s="778"/>
      <c r="E39" s="272"/>
      <c r="G39" s="22" t="s">
        <v>288</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4" t="s">
        <v>290</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Key West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3223</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3223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24972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59985</v>
      </c>
      <c r="F14" s="246"/>
      <c r="G14" s="55"/>
      <c r="H14" s="55"/>
      <c r="I14" s="53"/>
      <c r="J14" s="55"/>
    </row>
    <row r="15" spans="1:10" ht="15.75">
      <c r="A15" s="245"/>
      <c r="B15" s="14" t="s">
        <v>87</v>
      </c>
      <c r="C15" s="14" t="str">
        <f>CONCATENATE("Personal Property ",J1-2,"")</f>
        <v>Personal Property 2012</v>
      </c>
      <c r="D15" s="245" t="s">
        <v>82</v>
      </c>
      <c r="E15" s="249">
        <f>inputOth!E11</f>
        <v>127219</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24972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4136764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4111792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0.0060732644063707505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3243</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3243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Key West Township</v>
      </c>
      <c r="C1" s="14"/>
      <c r="D1" s="14"/>
      <c r="E1" s="14"/>
      <c r="F1" s="14"/>
      <c r="G1" s="14"/>
      <c r="H1" s="14"/>
      <c r="I1" s="14"/>
      <c r="J1" s="15">
        <f>inputPrYr!D5</f>
        <v>2014</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500</v>
      </c>
      <c r="E11" s="131">
        <f>IF(inputOth!D17&gt;0,inputOth!D17,"  ")</f>
        <v>0.123</v>
      </c>
      <c r="F11" s="717"/>
      <c r="G11" s="161">
        <f>IF(inputPrYr!E16=0,0,G23-SUM(G12:G20))</f>
        <v>43</v>
      </c>
      <c r="H11" s="718"/>
      <c r="I11" s="161">
        <f>IF(inputPrYr!E16=0,0,I25-SUM(I12:I20))</f>
        <v>2</v>
      </c>
      <c r="J11" s="161">
        <f>IF(inputPrYr!E16=0,0,J27-SUM(J12:J20))</f>
        <v>4</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Cemetery</v>
      </c>
      <c r="C15" s="234"/>
      <c r="D15" s="161">
        <f>IF(inputPrYr!E20&gt;=0,inputPrYr!E20,"  ")</f>
        <v>2723</v>
      </c>
      <c r="E15" s="131">
        <f>IF(inputOth!D21&gt;0,inputOth!D21,"  ")</f>
        <v>0.672</v>
      </c>
      <c r="F15" s="717"/>
      <c r="G15" s="161">
        <f>IF(inputPrYr!E20=0,0,ROUND(D15*$G$30,0))</f>
        <v>231</v>
      </c>
      <c r="H15" s="718"/>
      <c r="I15" s="161">
        <f>IF(inputPrYr!$E$20=0,0,ROUND($D$15*$I$32,0))</f>
        <v>13</v>
      </c>
      <c r="J15" s="161">
        <f>IF(inputPrYr!E20=0,0,ROUND($D15*$J$34,0))</f>
        <v>25</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3223</v>
      </c>
      <c r="E21" s="720">
        <f>SUM(E11:E20)</f>
        <v>0.795</v>
      </c>
      <c r="F21" s="721"/>
      <c r="G21" s="719">
        <f>SUM(G11:G20)</f>
        <v>274</v>
      </c>
      <c r="H21" s="719"/>
      <c r="I21" s="719">
        <f>SUM(I11:I20)</f>
        <v>15</v>
      </c>
      <c r="J21" s="719">
        <f>SUM(J11:J20)</f>
        <v>29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274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0.08501396214706795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0.004654049022649705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0.008997828110456097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Key West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167</v>
      </c>
      <c r="B5" s="766"/>
      <c r="C5" s="766"/>
      <c r="D5" s="766"/>
      <c r="E5" s="766"/>
      <c r="F5" s="76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2013-12-09T17:03:42Z</cp:lastPrinted>
  <dcterms:created xsi:type="dcterms:W3CDTF">1998-08-26T16:30:41Z</dcterms:created>
  <dcterms:modified xsi:type="dcterms:W3CDTF">2013-12-09T17:23:20Z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