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3" activeTab="21"/>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<sst xmlns="http://schemas.openxmlformats.org/spreadsheetml/2006/main" count="1580" uniqueCount="954">
  <si>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</si>
  <si>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</si>
  <si>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</si>
  <si>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</si>
  <si>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</si>
  <si>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</si>
  <si>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</si>
  <si>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</si>
  <si>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</si>
  <si>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</si>
  <si>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</si>
  <si>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</si>
  <si>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</si>
  <si>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</si>
  <si>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</si>
  <si>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</si>
  <si>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</si>
  <si>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</si>
  <si>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</si>
  <si>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</si>
  <si>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</si>
  <si>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</si>
  <si>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</si>
  <si>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</si>
  <si>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</si>
  <si>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</si>
  <si>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</si>
  <si>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</si>
  <si>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</si>
  <si>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</si>
  <si>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</si>
  <si>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</si>
  <si>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</si>
  <si>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</si>
  <si>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</si>
  <si>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</si>
  <si>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</si>
  <si>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</si>
  <si>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</si>
  <si>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</si>
  <si>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</si>
  <si>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</si>
  <si>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</si>
  <si>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</si>
  <si>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</si>
  <si>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</si>
  <si>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</si>
  <si>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</si>
  <si>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</si>
  <si>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</si>
  <si>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</si>
  <si>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</si>
  <si>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</si>
  <si>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</si>
  <si>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</si>
  <si>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</si>
  <si>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</si>
  <si>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</si>
  <si>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</si>
  <si>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</si>
  <si>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</si>
  <si>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</si>
  <si>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</si>
  <si>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</si>
  <si>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</si>
  <si>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</si>
  <si>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</si>
  <si>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</si>
  <si>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</si>
  <si>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</si>
  <si>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</si>
  <si>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</si>
  <si>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</si>
  <si>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</si>
  <si>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</si>
  <si>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</si>
  <si>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</si>
  <si>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</si>
  <si>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</si>
  <si>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</si>
  <si>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</si>
  <si>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</si>
  <si>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</si>
  <si>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</si>
  <si>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</si>
  <si>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</si>
  <si>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</si>
  <si>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</si>
  <si>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</si>
  <si>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</si>
  <si>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</si>
  <si>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</si>
  <si>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</si>
  <si>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</si>
  <si>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</si>
  <si>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</si>
  <si>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</si>
  <si>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</si>
  <si>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</si>
  <si>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</si>
  <si>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</si>
  <si>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</si>
  <si>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</si>
  <si>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</si>
  <si>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</si>
  <si>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</si>
  <si>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</si>
  <si>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</si>
  <si>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</si>
  <si>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</si>
  <si>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</si>
  <si>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</si>
  <si>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</si>
  <si>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</si>
  <si>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</si>
  <si>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</si>
  <si>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</si>
  <si>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</si>
  <si>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</si>
  <si>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</si>
  <si>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</si>
  <si>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</si>
  <si>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</si>
  <si>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</si>
  <si>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</si>
  <si>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</si>
  <si>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</si>
  <si>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</si>
  <si>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</si>
  <si>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</si>
  <si>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</si>
  <si>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</si>
  <si>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</si>
  <si>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</si>
  <si>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</si>
  <si>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</si>
  <si>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</si>
  <si>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</si>
  <si>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</si>
  <si>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</si>
  <si>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</si>
  <si>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</si>
  <si>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</si>
  <si>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</si>
  <si>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</si>
  <si>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</si>
  <si>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</si>
  <si>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</si>
  <si>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</si>
  <si>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</si>
  <si>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</si>
  <si>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</si>
  <si>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</si>
  <si>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</si>
  <si>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</si>
  <si>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</si>
  <si>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</si>
  <si>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</si>
  <si>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</si>
  <si>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</si>
  <si>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</si>
  <si>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</si>
  <si>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</si>
  <si>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</si>
  <si>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</si>
  <si>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</si>
  <si>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</si>
  <si>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</si>
  <si>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</si>
  <si>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</si>
  <si>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</si>
  <si>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</si>
  <si>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</si>
  <si>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</si>
  <si>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</si>
  <si>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</si>
  <si>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</si>
  <si>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</si>
  <si>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</si>
  <si>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</si>
  <si>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</si>
  <si>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</si>
  <si>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</si>
  <si>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</si>
  <si>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</si>
  <si>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</si>
  <si>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</si>
  <si>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</si>
  <si>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</si>
  <si>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</si>
  <si>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</si>
  <si>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</si>
  <si>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</si>
  <si>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</si>
  <si>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</si>
  <si>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</si>
  <si>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</si>
  <si>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</si>
  <si>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</si>
  <si>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</si>
  <si>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</si>
  <si>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</si>
  <si>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</si>
  <si>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</si>
  <si>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</si>
  <si>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</si>
  <si>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</si>
  <si>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</si>
  <si>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</si>
  <si>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</si>
  <si>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</si>
  <si>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</si>
  <si>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</si>
  <si>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</si>
  <si>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</si>
  <si>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</si>
  <si>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</si>
  <si>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</si>
  <si>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</si>
  <si>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</si>
  <si>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</si>
  <si>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</si>
  <si>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</si>
  <si>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</si>
  <si>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</si>
  <si>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</si>
  <si>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</si>
  <si>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</si>
  <si>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</si>
  <si>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</si>
  <si>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</si>
  <si>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</si>
  <si>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</si>
  <si>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</si>
  <si>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</si>
  <si>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</si>
  <si>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</si>
  <si>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</si>
  <si>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</si>
  <si>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</si>
  <si>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</si>
  <si>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</si>
  <si>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</si>
  <si>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</si>
  <si>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</si>
  <si>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</si>
  <si>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</si>
  <si>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</si>
  <si>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</si>
  <si>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</si>
  <si>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</si>
  <si>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</si>
  <si>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</si>
  <si>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</si>
  <si>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</si>
  <si>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</si>
  <si>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</si>
  <si>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</si>
  <si>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</si>
  <si>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</si>
  <si>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</si>
  <si>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</si>
  <si>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</si>
  <si>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</si>
  <si>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</si>
  <si>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</si>
  <si>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</si>
  <si>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</si>
  <si>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</si>
  <si>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</si>
  <si>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</si>
  <si>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</si>
  <si>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</si>
  <si>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</si>
  <si>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</si>
  <si>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</si>
  <si>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</si>
  <si>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</si>
  <si>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</si>
  <si>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</si>
  <si>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</si>
  <si>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</si>
  <si>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</si>
  <si>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</si>
  <si>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</si>
  <si>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</si>
  <si>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</si>
  <si>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</si>
  <si>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</si>
  <si>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</si>
  <si>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</si>
  <si>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</si>
  <si>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</si>
  <si>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</si>
  <si>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</si>
  <si>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</si>
  <si>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</si>
  <si>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</si>
  <si>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</si>
  <si>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</si>
  <si>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</si>
  <si>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</si>
  <si>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</si>
  <si>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</si>
  <si>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</si>
  <si>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</si>
  <si>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</si>
  <si>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</si>
  <si>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</si>
  <si>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</si>
  <si>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</si>
  <si>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</si>
  <si>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</si>
  <si>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</si>
  <si>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</si>
  <si>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</si>
  <si>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</si>
  <si>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</si>
  <si>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</si>
  <si>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</si>
  <si>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</si>
  <si>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</si>
  <si>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</si>
  <si>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</si>
  <si>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</si>
  <si>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</si>
  <si>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</si>
  <si>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</si>
  <si>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</si>
  <si>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</si>
  <si>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</si>
  <si>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</si>
  <si>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</si>
  <si>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</si>
  <si>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</si>
  <si>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</si>
  <si>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</si>
  <si>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</si>
  <si>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</si>
  <si>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</si>
  <si>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</si>
  <si>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</si>
  <si>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</si>
  <si>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</si>
  <si>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</si>
  <si>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</si>
  <si>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</si>
  <si>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</si>
  <si>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</si>
  <si>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</si>
  <si>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</si>
  <si>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</si>
  <si>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</si>
  <si>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</si>
  <si>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</si>
  <si>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</si>
  <si>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</si>
  <si>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</si>
  <si>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</si>
  <si>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</si>
  <si>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</si>
  <si>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</si>
  <si>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</si>
  <si>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</si>
  <si>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</si>
  <si>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</si>
  <si>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</si>
  <si>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</si>
  <si>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</si>
  <si>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</si>
  <si>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</si>
  <si>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</si>
  <si>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</si>
  <si>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</si>
  <si>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</si>
  <si>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</si>
  <si>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</si>
  <si>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</si>
  <si>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</si>
  <si>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</si>
  <si>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</si>
  <si>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</si>
  <si>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</si>
  <si>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</si>
  <si>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</si>
  <si>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</si>
  <si>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</si>
  <si>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</si>
  <si>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</si>
  <si>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</si>
  <si>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</si>
  <si>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</si>
  <si>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</si>
  <si>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</si>
  <si>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</si>
  <si>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</si>
  <si>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</si>
  <si>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</si>
  <si>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</si>
  <si>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</si>
  <si>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</si>
  <si>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</si>
  <si>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</si>
  <si>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</si>
  <si>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</si>
  <si>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</si>
  <si>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</si>
  <si>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</si>
  <si>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</si>
  <si>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</si>
  <si>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</si>
  <si>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</si>
  <si>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</si>
  <si>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</si>
  <si>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</si>
  <si>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</si>
  <si>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</si>
  <si>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</si>
  <si>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</si>
  <si>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</si>
  <si>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</si>
  <si>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</si>
  <si>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</si>
  <si>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</si>
  <si>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</si>
  <si>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</si>
  <si>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</si>
  <si>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</si>
  <si>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</si>
  <si>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</si>
  <si>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</si>
  <si>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</si>
  <si>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</si>
  <si>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</si>
  <si>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</si>
  <si>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</si>
  <si>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</si>
  <si>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</si>
  <si>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</si>
  <si>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</si>
  <si>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</si>
  <si>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</si>
  <si>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</si>
  <si>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</si>
  <si>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</si>
  <si>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</si>
  <si>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</si>
  <si>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</si>
  <si>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</si>
  <si>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</si>
  <si>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</si>
  <si>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</si>
  <si>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</si>
  <si>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</si>
  <si>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</si>
  <si>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</si>
  <si>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</si>
  <si>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</si>
  <si>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</si>
  <si>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</si>
  <si>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</si>
  <si>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</si>
  <si>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</si>
  <si>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</si>
  <si>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</si>
  <si>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</si>
  <si>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</si>
  <si>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</si>
  <si>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</si>
  <si>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</si>
  <si>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</si>
  <si>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</si>
  <si>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</si>
  <si>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</si>
  <si>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</si>
  <si>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</si>
  <si>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</si>
  <si>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</si>
  <si>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</si>
  <si>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</si>
  <si>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</si>
  <si>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</si>
  <si>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</si>
  <si>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</si>
  <si>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</si>
  <si>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</si>
  <si>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</si>
  <si>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</si>
  <si>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</si>
  <si>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</si>
  <si>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</si>
  <si>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</si>
  <si>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</si>
  <si>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</si>
  <si>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</si>
  <si>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</si>
  <si>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</si>
  <si>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</si>
  <si>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</si>
  <si>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</si>
  <si>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</si>
  <si>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</si>
  <si>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</si>
  <si>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</si>
  <si>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</si>
  <si>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</si>
  <si>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</si>
  <si>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</si>
  <si>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</si>
  <si>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</si>
  <si>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</si>
  <si>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</si>
  <si>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</si>
  <si>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</si>
  <si>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</si>
  <si>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</si>
  <si>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</si>
  <si>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</si>
  <si>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</si>
  <si>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</si>
  <si>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</si>
  <si>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</si>
  <si>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</si>
  <si>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</si>
  <si>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</si>
  <si>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</si>
  <si>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</si>
  <si>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</si>
  <si>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</si>
  <si>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</si>
  <si>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</si>
  <si>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</si>
  <si>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</si>
  <si>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</si>
  <si>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</si>
  <si>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</si>
  <si>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</si>
  <si>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</si>
  <si>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</si>
  <si>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</si>
  <si>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</si>
  <si>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</si>
  <si>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</si>
  <si>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</si>
  <si>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</si>
  <si>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</si>
  <si>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</si>
  <si>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</si>
  <si>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</si>
  <si>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</si>
  <si>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</si>
  <si>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</si>
  <si>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</si>
  <si>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</si>
  <si>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</si>
  <si>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</si>
  <si>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</si>
  <si>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</si>
  <si>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</si>
  <si>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</si>
  <si>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</si>
  <si>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</si>
  <si>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</si>
  <si>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</si>
  <si>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</si>
  <si>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</si>
  <si>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</si>
  <si>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</si>
  <si>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</si>
  <si>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</si>
  <si>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</si>
  <si>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</si>
  <si>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</si>
  <si>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</si>
  <si>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</si>
  <si>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</si>
  <si>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</si>
  <si>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</si>
  <si>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</si>
  <si>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</si>
  <si>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</si>
  <si>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</si>
  <si>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</si>
  <si>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</si>
  <si>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</si>
  <si>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</si>
  <si>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</si>
  <si>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</si>
  <si>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</si>
  <si>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</si>
  <si>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</si>
  <si>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</si>
  <si>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</si>
  <si>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</si>
  <si>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</si>
  <si>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</si>
  <si>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</si>
  <si>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</si>
  <si>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</si>
  <si>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</si>
  <si>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</si>
  <si>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</si>
  <si>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</si>
  <si>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</si>
  <si>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</si>
  <si>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</si>
  <si>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</si>
  <si>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</si>
  <si>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</si>
  <si>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</si>
  <si>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</si>
  <si>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</si>
  <si>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</si>
  <si>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</si>
  <si>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</si>
  <si>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</si>
  <si>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</si>
  <si>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</si>
  <si>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</si>
  <si>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</si>
  <si>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</si>
  <si>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</si>
  <si>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</si>
  <si>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</si>
  <si>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</si>
  <si>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</si>
  <si>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</si>
  <si>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</si>
  <si>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</si>
  <si>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</si>
  <si>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</si>
  <si>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</si>
  <si>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</si>
  <si>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</si>
  <si>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</si>
  <si>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</si>
  <si>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</si>
  <si>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</si>
  <si>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</si>
  <si>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</si>
  <si>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</si>
  <si>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</si>
  <si>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</si>
  <si>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</si>
  <si>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</si>
  <si>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</si>
  <si>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</si>
  <si>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</si>
  <si>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</si>
  <si>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</si>
  <si>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</si>
  <si>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</si>
  <si>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</si>
  <si>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</si>
  <si>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</si>
  <si>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</si>
  <si>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</si>
  <si>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</si>
  <si>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</si>
  <si>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</si>
  <si>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</si>
  <si>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</si>
  <si>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</si>
  <si>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</si>
  <si>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</si>
  <si>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</si>
  <si>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</si>
  <si>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</si>
  <si>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</si>
  <si>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</si>
  <si>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</si>
  <si>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</si>
  <si>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</si>
  <si>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</si>
  <si>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</si>
  <si>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</si>
  <si>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</si>
  <si>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</si>
  <si>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</si>
  <si>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</si>
  <si>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</si>
  <si>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</si>
  <si>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</si>
  <si>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</si>
  <si>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</si>
  <si>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</si>
  <si>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</si>
  <si>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</si>
  <si>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</si>
  <si>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</si>
  <si>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</si>
  <si>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</si>
  <si>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</si>
  <si>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</si>
  <si>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</si>
  <si>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</si>
  <si>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</si>
  <si>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</si>
  <si>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</si>
  <si>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</si>
  <si>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</si>
  <si>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</si>
  <si>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</si>
  <si>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</si>
  <si>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</si>
  <si>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</si>
  <si>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</si>
  <si>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</si>
  <si>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</si>
  <si>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</si>
  <si>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</si>
  <si>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</si>
  <si>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</si>
  <si>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</si>
  <si>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</si>
  <si>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</si>
  <si>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</si>
  <si>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</si>
  <si>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</si>
  <si>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</si>
  <si>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</si>
  <si>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</si>
  <si>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</si>
  <si>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</si>
  <si>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</si>
  <si>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</si>
  <si>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</si>
  <si>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</si>
  <si>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</si>
  <si>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</si>
  <si>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</si>
  <si>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</si>
  <si>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</si>
  <si>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</si>
  <si>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</si>
  <si>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</si>
  <si>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</si>
  <si>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</si>
  <si>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</si>
  <si>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</si>
  <si>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</si>
  <si>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</si>
  <si>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</si>
  <si>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</si>
  <si>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</si>
  <si>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</si>
  <si>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</si>
  <si>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</si>
  <si>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</si>
  <si>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</si>
  <si>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</si>
  <si>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</si>
  <si>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</si>
  <si>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</si>
  <si>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</si>
  <si>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</si>
  <si>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</si>
  <si>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</si>
  <si>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</si>
  <si>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</si>
  <si>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</si>
  <si>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</si>
  <si>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</si>
  <si>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</si>
  <si>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</si>
  <si>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</si>
  <si>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</si>
  <si>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</si>
  <si>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</si>
  <si>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</si>
  <si>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</si>
  <si>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</si>
  <si>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</si>
  <si>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</si>
  <si>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</si>
  <si>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</si>
  <si>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</si>
  <si>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</si>
  <si>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</si>
  <si>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</si>
  <si>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</si>
  <si>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</si>
  <si>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</si>
  <si>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</si>
  <si>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</si>
  <si>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</si>
  <si>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</si>
  <si>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</si>
  <si>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</si>
  <si>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</si>
  <si>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</si>
  <si>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</si>
  <si>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</si>
  <si>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</si>
  <si>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</si>
  <si>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</si>
  <si>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</si>
  <si>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</si>
  <si>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</si>
  <si>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</si>
  <si>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</si>
  <si>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</si>
  <si>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</si>
  <si>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</si>
  <si>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</si>
  <si>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</si>
  <si>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</si>
  <si>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</si>
  <si>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</si>
  <si>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</si>
  <si>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</si>
  <si>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</si>
  <si>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</si>
  <si>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</si>
  <si>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</si>
  <si>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</si>
  <si>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</si>
  <si>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</si>
  <si>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</si>
  <si>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</si>
  <si>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</si>
  <si>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</si>
  <si>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</si>
  <si>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</si>
  <si>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</si>
  <si>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</si>
  <si>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</si>
  <si>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</si>
  <si>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</si>
  <si>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</si>
  <si>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</si>
  <si>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</si>
  <si>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</si>
  <si>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</si>
  <si>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</si>
  <si>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</si>
  <si>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</si>
  <si>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</si>
  <si>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</si>
  <si>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</si>
  <si>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</si>
  <si>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</si>
  <si>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</si>
  <si>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</si>
  <si>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</si>
  <si>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</si>
  <si>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</si>
  <si>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</si>
  <si>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</si>
  <si>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</si>
  <si>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</si>
  <si>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</si>
  <si>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</si>
  <si>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</si>
  <si>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</si>
  <si>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</si>
  <si>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</si>
  <si>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</si>
  <si>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</si>
  <si>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</si>
  <si>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</si>
  <si>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</si>
  <si>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</si>
  <si>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</si>
  <si>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</si>
  <si>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</si>
  <si>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</si>
  <si>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</si>
  <si>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</si>
  <si>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</si>
  <si>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</si>
  <si>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</si>
  <si>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</si>
  <si>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</si>
  <si>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</si>
  <si>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</si>
  <si>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</si>
  <si>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</si>
  <si>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</si>
  <si>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</si>
  <si>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</si>
  <si>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</si>
  <si>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</si>
  <si>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</si>
  <si>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</si>
  <si>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</si>
  <si>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</si>
  <si>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</si>
  <si>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</si>
  <si>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</si>
  <si>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</si>
  <si>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</si>
  <si>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</si>
  <si>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</si>
  <si>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</si>
  <si>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</si>
  <si>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</si>
  <si>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</si>
  <si>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</si>
  <si>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</si>
  <si>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</si>
  <si>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</si>
  <si>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</si>
  <si>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</si>
  <si>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</si>
  <si>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</si>
  <si>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</si>
  <si>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</si>
  <si>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</si>
  <si>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</si>
  <si>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</si>
  <si>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</si>
  <si>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</si>
  <si>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</si>
  <si>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</si>
  <si>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</si>
  <si>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</si>
  <si>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</si>
  <si>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</si>
  <si>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</si>
  <si>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</si>
  <si>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</si>
  <si>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</si>
  <si>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</si>
  <si>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</si>
  <si>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</si>
  <si>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</si>
  <si>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</si>
  <si>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</si>
  <si>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</si>
  <si>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</si>
  <si>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</si>
  <si>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</si>
  <si>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</si>
  <si>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</si>
  <si>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</si>
  <si>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</si>
  <si>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</si>
  <si>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</si>
  <si>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</si>
  <si>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</si>
  <si>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</si>
  <si>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</si>
  <si>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Fire Protection</t>
  </si>
  <si>
    <t>80-1503</t>
  </si>
  <si>
    <t>80-115</t>
  </si>
  <si>
    <t>Montgomery County Clerk's Office, 217 E. Myrtle, Independence, KS</t>
  </si>
  <si>
    <t>Independence Township</t>
  </si>
  <si>
    <t>Publication</t>
  </si>
  <si>
    <t>Operations</t>
  </si>
  <si>
    <t>.</t>
  </si>
  <si>
    <t>August 16, 2013</t>
  </si>
  <si>
    <t>10:00 AM</t>
  </si>
  <si>
    <t>Padley Residence, 440 58 Road, Independence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</si>
</sst>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Independence Township</v>
      </c>
      <c r="C1" s="167"/>
      <c r="D1" s="167"/>
      <c r="E1" s="167"/>
      <c r="F1" s="167"/>
      <c r="G1" s="167"/>
      <c r="H1" s="167"/>
      <c r="I1" s="167"/>
      <c r="J1" s="14"/>
      <c r="K1" s="14"/>
      <c r="L1" s="15">
        <f>inputPrYr!D5</f>
        <v>2014</v>
      </c>
    </row>
    <row r="2" spans="2:12" ht="15.75">
      <c r="B2" s="166" t="str">
        <f>inputPrYr!$D$3</f>
        <v>Montgomery County</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Independence Township</v>
      </c>
      <c r="C7" s="556"/>
      <c r="D7" s="556"/>
      <c r="E7" s="556"/>
      <c r="F7" s="556"/>
      <c r="G7" s="556"/>
      <c r="H7" s="556"/>
      <c r="I7" s="556"/>
    </row>
    <row r="8" spans="2:9" ht="15.75">
      <c r="B8" s="557" t="str">
        <f>inputPrYr!D3</f>
        <v>Montgomery County</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32145397</v>
      </c>
      <c r="F27" s="556"/>
      <c r="G27" s="561">
        <f>summ!G37</f>
        <v>30242461</v>
      </c>
      <c r="H27" s="556"/>
      <c r="I27" s="556"/>
    </row>
    <row r="28" spans="2:9" ht="15.75">
      <c r="B28" s="556" t="s">
        <v>779</v>
      </c>
      <c r="C28" s="556"/>
      <c r="D28" s="556"/>
      <c r="E28" s="566" t="str">
        <f>IF(G27-E27&gt;=0,"No","Yes")</f>
        <v>Yes</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5">
      <selection activeCell="H23" sqref="H2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Independence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7058</v>
      </c>
      <c r="D6" s="387">
        <f>C51</f>
        <v>10061.7</v>
      </c>
      <c r="E6" s="32">
        <f>D51</f>
        <v>9614.7</v>
      </c>
    </row>
    <row r="7" spans="2:5" ht="15.75">
      <c r="B7" s="27" t="s">
        <v>120</v>
      </c>
      <c r="C7" s="387"/>
      <c r="D7" s="387"/>
      <c r="E7" s="33"/>
    </row>
    <row r="8" spans="2:5" ht="15.75">
      <c r="B8" s="27" t="s">
        <v>16</v>
      </c>
      <c r="C8" s="29">
        <v>3019.7</v>
      </c>
      <c r="D8" s="387">
        <f>IF(inputPrYr!H15&gt;0,inputPrYr!G16,inputPrYr!E16)</f>
        <v>0</v>
      </c>
      <c r="E8" s="33" t="s">
        <v>289</v>
      </c>
    </row>
    <row r="9" spans="2:5" ht="15.75">
      <c r="B9" s="27" t="s">
        <v>17</v>
      </c>
      <c r="C9" s="29">
        <v>40</v>
      </c>
      <c r="D9" s="29">
        <v>0</v>
      </c>
      <c r="E9" s="34">
        <v>0</v>
      </c>
    </row>
    <row r="10" spans="2:5" ht="15.75">
      <c r="B10" s="27" t="s">
        <v>18</v>
      </c>
      <c r="C10" s="29">
        <v>95</v>
      </c>
      <c r="D10" s="29">
        <v>0</v>
      </c>
      <c r="E10" s="32">
        <f>mvalloc!G11</f>
        <v>0</v>
      </c>
    </row>
    <row r="11" spans="2:5" ht="15.75">
      <c r="B11" s="27" t="s">
        <v>19</v>
      </c>
      <c r="C11" s="29">
        <v>1</v>
      </c>
      <c r="D11" s="29">
        <v>0</v>
      </c>
      <c r="E11" s="32">
        <f>mvalloc!I11</f>
        <v>0</v>
      </c>
    </row>
    <row r="12" spans="2:5" ht="15.75">
      <c r="B12" s="35" t="s">
        <v>69</v>
      </c>
      <c r="C12" s="29">
        <v>3</v>
      </c>
      <c r="D12" s="29">
        <v>3</v>
      </c>
      <c r="E12" s="32">
        <f>mvalloc!J11</f>
        <v>0</v>
      </c>
    </row>
    <row r="13" spans="2:5" ht="15.75">
      <c r="B13" s="35" t="s">
        <v>161</v>
      </c>
      <c r="C13" s="29">
        <v>0</v>
      </c>
      <c r="D13" s="29">
        <v>0</v>
      </c>
      <c r="E13" s="32">
        <f>inputOth!E35</f>
        <v>0</v>
      </c>
    </row>
    <row r="14" spans="2:5" ht="15.75">
      <c r="B14" s="27" t="s">
        <v>20</v>
      </c>
      <c r="C14" s="29">
        <v>0</v>
      </c>
      <c r="D14" s="29">
        <v>0</v>
      </c>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3158.7</v>
      </c>
      <c r="D26" s="389">
        <f>SUM(D8:D24)</f>
        <v>3</v>
      </c>
      <c r="E26" s="42">
        <f>SUM(E8:E24)</f>
        <v>0</v>
      </c>
    </row>
    <row r="27" spans="2:5" ht="15.75">
      <c r="B27" s="43" t="s">
        <v>24</v>
      </c>
      <c r="C27" s="389">
        <f>C26+C6</f>
        <v>10216.7</v>
      </c>
      <c r="D27" s="389">
        <f>D26+D6</f>
        <v>10064.7</v>
      </c>
      <c r="E27" s="42">
        <f>E26+E6</f>
        <v>9614.7</v>
      </c>
    </row>
    <row r="28" spans="2:5" ht="15.75">
      <c r="B28" s="27" t="s">
        <v>25</v>
      </c>
      <c r="C28" s="387"/>
      <c r="D28" s="387"/>
      <c r="E28" s="32"/>
    </row>
    <row r="29" spans="2:5" ht="15.75">
      <c r="B29" s="37"/>
      <c r="C29" s="29"/>
      <c r="D29" s="29"/>
      <c r="E29" s="34"/>
    </row>
    <row r="30" spans="2:5" ht="15.75">
      <c r="B30" s="38" t="s">
        <v>101</v>
      </c>
      <c r="C30" s="29">
        <v>0</v>
      </c>
      <c r="D30" s="29">
        <v>300</v>
      </c>
      <c r="E30" s="34">
        <v>300</v>
      </c>
    </row>
    <row r="31" spans="2:5" ht="15.75">
      <c r="B31" s="38" t="s">
        <v>125</v>
      </c>
      <c r="C31" s="29"/>
      <c r="D31" s="29"/>
      <c r="E31" s="34"/>
    </row>
    <row r="32" spans="2:5" ht="15.75">
      <c r="B32" s="38" t="s">
        <v>102</v>
      </c>
      <c r="C32" s="29"/>
      <c r="D32" s="29"/>
      <c r="E32" s="34"/>
    </row>
    <row r="33" spans="2:5" ht="15.75">
      <c r="B33" s="38" t="s">
        <v>36</v>
      </c>
      <c r="C33" s="29"/>
      <c r="D33" s="29"/>
      <c r="E33" s="34"/>
    </row>
    <row r="34" spans="2:5" ht="15.75">
      <c r="B34" s="37" t="s">
        <v>103</v>
      </c>
      <c r="C34" s="29"/>
      <c r="D34" s="29"/>
      <c r="E34" s="34"/>
    </row>
    <row r="35" spans="2:5" ht="15.75">
      <c r="B35" s="37" t="s">
        <v>126</v>
      </c>
      <c r="C35" s="29"/>
      <c r="D35" s="29"/>
      <c r="E35" s="34"/>
    </row>
    <row r="36" spans="2:5" ht="15.75">
      <c r="B36" s="38" t="s">
        <v>128</v>
      </c>
      <c r="C36" s="29"/>
      <c r="D36" s="29"/>
      <c r="E36" s="34"/>
    </row>
    <row r="37" spans="2:5" ht="15.75">
      <c r="B37" s="38" t="s">
        <v>948</v>
      </c>
      <c r="C37" s="29">
        <v>155</v>
      </c>
      <c r="D37" s="29">
        <v>150</v>
      </c>
      <c r="E37" s="34">
        <v>175</v>
      </c>
    </row>
    <row r="38" spans="2:5" ht="15.75">
      <c r="B38" s="37" t="s">
        <v>949</v>
      </c>
      <c r="C38" s="29"/>
      <c r="D38" s="29"/>
      <c r="E38" s="34">
        <v>100</v>
      </c>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155</v>
      </c>
      <c r="D50" s="381">
        <f>SUM(D29:D48)</f>
        <v>450</v>
      </c>
      <c r="E50" s="47">
        <f>SUM(E29:E43,E45,E47:E48)</f>
        <v>575</v>
      </c>
      <c r="G50" s="484">
        <f>D51</f>
        <v>9614.7</v>
      </c>
      <c r="H50" s="485" t="str">
        <f>CONCATENATE("",E1-1," Ending Cash Balance (est.)")</f>
        <v>2013 Ending Cash Balance (est.)</v>
      </c>
      <c r="I50" s="486"/>
      <c r="J50" s="257"/>
    </row>
    <row r="51" spans="2:10" ht="15.75">
      <c r="B51" s="27" t="s">
        <v>119</v>
      </c>
      <c r="C51" s="382">
        <f>C27-C50</f>
        <v>10061.7</v>
      </c>
      <c r="D51" s="382">
        <f>SUM(D27-D50)</f>
        <v>9614.7</v>
      </c>
      <c r="E51" s="33" t="s">
        <v>289</v>
      </c>
      <c r="G51" s="484">
        <f>E26</f>
        <v>0</v>
      </c>
      <c r="H51" s="487" t="str">
        <f>CONCATENATE("",E1," Non-AV Receipts (est.)")</f>
        <v>2014 Non-AV Receipts (est.)</v>
      </c>
      <c r="I51" s="486"/>
      <c r="J51" s="257"/>
    </row>
    <row r="52" spans="2:11" ht="15.75">
      <c r="B52" s="48" t="str">
        <f>CONCATENATE("",E1-2,"/",E1-1," Budget Authority Amount:")</f>
        <v>2012/2013 Budget Authority Amount:</v>
      </c>
      <c r="C52" s="132">
        <f>inputOth!B46</f>
        <v>7280</v>
      </c>
      <c r="D52" s="161">
        <f>inputPrYr!D16</f>
        <v>550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9614.7</v>
      </c>
      <c r="H53" s="487" t="str">
        <f>CONCATENATE("Total ",E1," Resources Available")</f>
        <v>Total 2014 Resources Available</v>
      </c>
      <c r="I53" s="486"/>
      <c r="J53" s="257"/>
    </row>
    <row r="54" spans="2:10" ht="15.75">
      <c r="B54" s="395" t="str">
        <f>CONCATENATE(C72,"     ",D72)</f>
        <v>     </v>
      </c>
      <c r="C54" s="803" t="s">
        <v>623</v>
      </c>
      <c r="D54" s="804"/>
      <c r="E54" s="32">
        <f>E50+E53</f>
        <v>575</v>
      </c>
      <c r="G54" s="489"/>
      <c r="H54" s="487"/>
      <c r="I54" s="487"/>
      <c r="J54" s="257"/>
    </row>
    <row r="55" spans="2:10" ht="15.75">
      <c r="B55" s="395" t="str">
        <f>CONCATENATE(C73,"     ",D73)</f>
        <v>     </v>
      </c>
      <c r="C55" s="60"/>
      <c r="D55" s="52" t="s">
        <v>28</v>
      </c>
      <c r="E55" s="46">
        <f>IF(E54-E27&gt;0,E54-E27,0)</f>
        <v>0</v>
      </c>
      <c r="G55" s="488">
        <f>ROUND(C50*0.05+C50,0)</f>
        <v>163</v>
      </c>
      <c r="H55" s="487" t="str">
        <f>CONCATENATE("Less ",E1-2," Expenditures + 5%")</f>
        <v>Less 2012 Expenditures + 5%</v>
      </c>
      <c r="I55" s="486"/>
      <c r="J55" s="257"/>
    </row>
    <row r="56" spans="2:10" ht="15.75">
      <c r="B56" s="52"/>
      <c r="C56" s="399" t="s">
        <v>624</v>
      </c>
      <c r="D56" s="689">
        <f>inputOth!$E$40</f>
        <v>0</v>
      </c>
      <c r="E56" s="32">
        <f>ROUND(IF(D56&gt;0,(E55*D56),0),0)</f>
        <v>0</v>
      </c>
      <c r="G56" s="490">
        <f>G53-G55</f>
        <v>9451.7</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0</v>
      </c>
      <c r="H62" s="485" t="str">
        <f>CONCATENATE("Total ",E1," Mill Rate")</f>
        <v>Total 2014 Mill Rate</v>
      </c>
      <c r="I62" s="691"/>
      <c r="J62" s="703"/>
    </row>
    <row r="63" spans="2:10" ht="15.75">
      <c r="B63" s="12"/>
      <c r="G63" s="705">
        <f>summ!F32</f>
        <v>0</v>
      </c>
      <c r="H63" s="707" t="str">
        <f>CONCATENATE("Total ",E1-1," Mill Rate")</f>
        <v>Total 2013 Mill Rate</v>
      </c>
      <c r="I63" s="708"/>
      <c r="J63" s="709"/>
    </row>
    <row r="64" spans="7:10" ht="15.75">
      <c r="G64" s="692"/>
      <c r="H64" s="494"/>
      <c r="I64" s="494"/>
      <c r="J64" s="694"/>
    </row>
    <row r="65" spans="7:10" ht="15.75">
      <c r="G65" s="744" t="s">
        <v>933</v>
      </c>
      <c r="H65" s="743"/>
      <c r="I65" s="742" t="str">
        <f>cert!F37</f>
        <v>No</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Independence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0</v>
      </c>
      <c r="H45" s="632" t="str">
        <f>CONCATENATE("Total ",E1," Mill Rate")</f>
        <v>Total 2014 Mill Rate</v>
      </c>
      <c r="I45" s="656"/>
      <c r="J45" s="657"/>
    </row>
    <row r="46" spans="2:10" ht="15.75">
      <c r="B46" s="594" t="s">
        <v>144</v>
      </c>
      <c r="C46" s="599">
        <v>0</v>
      </c>
      <c r="D46" s="596">
        <f>C74</f>
        <v>0</v>
      </c>
      <c r="E46" s="597">
        <f>D74</f>
        <v>0</v>
      </c>
      <c r="F46" s="635"/>
      <c r="G46" s="659">
        <f>summ!F32</f>
        <v>0</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No</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0</v>
      </c>
      <c r="H85" s="632" t="str">
        <f>CONCATENATE("Total ",E1," Mill Rate")</f>
        <v>Total 2014 Mill Rate</v>
      </c>
      <c r="I85" s="656"/>
      <c r="J85" s="657"/>
    </row>
    <row r="86" spans="7:10" ht="15.75">
      <c r="G86" s="659">
        <f>summ!F32</f>
        <v>0</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No</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c r="D6" s="387">
        <f>C44</f>
        <v>0</v>
      </c>
      <c r="E6" s="32">
        <f>D44</f>
        <v>0</v>
      </c>
    </row>
    <row r="7" spans="2:5" ht="15.75">
      <c r="B7" s="27" t="s">
        <v>120</v>
      </c>
      <c r="C7" s="387"/>
      <c r="D7" s="387"/>
      <c r="E7" s="33"/>
    </row>
    <row r="8" spans="2:5" ht="15.75">
      <c r="B8" s="27" t="s">
        <v>16</v>
      </c>
      <c r="C8" s="29"/>
      <c r="D8" s="387">
        <f>IF(inputPrYr!H15&gt;0,inputPrYr!G19,inputPrYr!E19)</f>
        <v>0</v>
      </c>
      <c r="E8" s="33" t="s">
        <v>289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27" t="s">
        <v>99</v>
      </c>
      <c r="C12" s="29"/>
      <c r="D12" s="29"/>
      <c r="E12" s="32">
        <f>mvalloc!J14</f>
        <v>0</v>
      </c>
    </row>
    <row r="13" spans="2:5" ht="15.75">
      <c r="B13" s="27" t="s">
        <v>100</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0</v>
      </c>
      <c r="D23" s="389">
        <f>SUM(D8:D21)</f>
        <v>0</v>
      </c>
      <c r="E23" s="42">
        <f>SUM(E8:E21)</f>
        <v>0</v>
      </c>
    </row>
    <row r="24" spans="2:5" ht="15.75">
      <c r="B24" s="43" t="s">
        <v>24</v>
      </c>
      <c r="C24" s="389">
        <f>C23+C6</f>
        <v>0</v>
      </c>
      <c r="D24" s="389">
        <f>D23+D6</f>
        <v>0</v>
      </c>
      <c r="E24" s="42">
        <f>E23+E6</f>
        <v>0</v>
      </c>
    </row>
    <row r="25" spans="2:5" ht="15.75">
      <c r="B25" s="27" t="s">
        <v>25</v>
      </c>
      <c r="C25" s="387"/>
      <c r="D25" s="387"/>
      <c r="E25" s="32"/>
    </row>
    <row r="26" spans="2:5" ht="15.75">
      <c r="B26" s="38" t="s">
        <v>125</v>
      </c>
      <c r="C26" s="29"/>
      <c r="D26" s="29"/>
      <c r="E26" s="34"/>
    </row>
    <row r="27" spans="2:5" ht="15.75">
      <c r="B27" s="37" t="s">
        <v>102</v>
      </c>
      <c r="C27" s="29"/>
      <c r="D27" s="29"/>
      <c r="E27" s="34"/>
    </row>
    <row r="28" spans="2:5" ht="15.75">
      <c r="B28" s="38" t="s">
        <v>127</v>
      </c>
      <c r="C28" s="29"/>
      <c r="D28" s="29"/>
      <c r="E28" s="34"/>
    </row>
    <row r="29" spans="2:5" ht="15.75">
      <c r="B29" s="38" t="s">
        <v>105</v>
      </c>
      <c r="C29" s="29"/>
      <c r="D29" s="29"/>
      <c r="E29" s="34"/>
    </row>
    <row r="30" spans="2:5" ht="15.75">
      <c r="B30" s="38" t="s">
        <v>103</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c r="E40" s="46">
        <f>nhood!E9</f>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0</v>
      </c>
      <c r="D43" s="389">
        <f>SUM(D26:D38,D40:D41)</f>
        <v>0</v>
      </c>
      <c r="E43" s="42">
        <f>SUM(E26:E38,E40:E41)</f>
        <v>0</v>
      </c>
      <c r="G43" s="484">
        <f>D44</f>
        <v>0</v>
      </c>
      <c r="H43" s="485" t="str">
        <f>CONCATENATE("",E1-1," Ending Cash Balance (est.)")</f>
        <v>2013 Ending Cash Balance (est.)</v>
      </c>
      <c r="I43" s="486"/>
      <c r="J43" s="257"/>
    </row>
    <row r="44" spans="2:10" ht="15.75">
      <c r="B44" s="27" t="s">
        <v>119</v>
      </c>
      <c r="C44" s="382">
        <f>C24-C43</f>
        <v>0</v>
      </c>
      <c r="D44" s="382">
        <f>D24-D43</f>
        <v>0</v>
      </c>
      <c r="E44" s="33" t="s">
        <v>289</v>
      </c>
      <c r="G44" s="484">
        <f>E23</f>
        <v>0</v>
      </c>
      <c r="H44" s="487" t="str">
        <f>CONCATENATE("",E1," Non-AV Receipts (est.)")</f>
        <v>2014 Non-AV Receipts (est.)</v>
      </c>
      <c r="I44" s="486"/>
      <c r="J44" s="257"/>
    </row>
    <row r="45" spans="2:11" ht="15.75">
      <c r="B45" s="48" t="str">
        <f>CONCATENATE("",E1-2,"/",E1-1," Budget Authority Amount:")</f>
        <v>2012/2013 Budget Authority Amount:</v>
      </c>
      <c r="C45" s="132">
        <f>inputOth!B49</f>
        <v>0</v>
      </c>
      <c r="D45" s="161">
        <f>inputPrYr!D19</f>
        <v>0</v>
      </c>
      <c r="E45" s="33" t="s">
        <v>289</v>
      </c>
      <c r="F45" s="50"/>
      <c r="G45" s="488">
        <f>IF(D49&gt;0,E48,E50)</f>
        <v>0</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0</v>
      </c>
      <c r="H46" s="487" t="str">
        <f>CONCATENATE("Total ",E1," Resources Available")</f>
        <v>Total 2014 Resources Available</v>
      </c>
      <c r="I46" s="486"/>
      <c r="J46" s="257"/>
    </row>
    <row r="47" spans="2:10" ht="15.75">
      <c r="B47" s="395" t="str">
        <f>CONCATENATE(C74,"     ",D74)</f>
        <v>     </v>
      </c>
      <c r="C47" s="803" t="s">
        <v>623</v>
      </c>
      <c r="D47" s="804"/>
      <c r="E47" s="32">
        <f>E43+E46</f>
        <v>0</v>
      </c>
      <c r="G47" s="489"/>
      <c r="H47" s="487"/>
      <c r="I47" s="487"/>
      <c r="J47" s="257"/>
    </row>
    <row r="48" spans="2:10" ht="15.75">
      <c r="B48" s="395" t="str">
        <f>CONCATENATE(C75,"     ",D75)</f>
        <v>     </v>
      </c>
      <c r="C48" s="60"/>
      <c r="D48" s="52" t="s">
        <v>28</v>
      </c>
      <c r="E48" s="46">
        <f>IF(E47-E24&gt;0,E47-E24,0)</f>
        <v>0</v>
      </c>
      <c r="G48" s="488">
        <f>ROUND(C43*0.05+C43,0)</f>
        <v>0</v>
      </c>
      <c r="H48" s="487" t="str">
        <f>CONCATENATE("Less ",E1-2," Expenditures + 5%")</f>
        <v>Less 2012 Expenditures + 5%</v>
      </c>
      <c r="I48" s="486"/>
      <c r="J48" s="257"/>
    </row>
    <row r="49" spans="2:10" ht="15.75">
      <c r="B49" s="52"/>
      <c r="C49" s="399" t="s">
        <v>624</v>
      </c>
      <c r="D49" s="689">
        <f>inputOth!$E$40</f>
        <v>0</v>
      </c>
      <c r="E49" s="32">
        <f>ROUND(IF(D49&gt;0,(E48*D49),0),0)</f>
        <v>0</v>
      </c>
      <c r="G49" s="490">
        <f>G46-G48</f>
        <v>0</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0</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t="str">
        <f>summ!I21</f>
        <v> </v>
      </c>
      <c r="H53" s="485" t="str">
        <f>CONCATENATE("",E1," Fund Mill Rate")</f>
        <v>2014 Fund Mill Rate</v>
      </c>
      <c r="I53" s="691"/>
      <c r="J53" s="703"/>
    </row>
    <row r="54" spans="2:10" ht="15.75">
      <c r="B54" s="71" t="s">
        <v>31</v>
      </c>
      <c r="C54" s="400" t="str">
        <f>CONCATENATE("",E1-2," Actual Year")</f>
        <v>2012 Actual Year</v>
      </c>
      <c r="D54" s="14"/>
      <c r="E54" s="14"/>
      <c r="G54" s="705" t="str">
        <f>summ!F21</f>
        <v>  </v>
      </c>
      <c r="H54" s="485" t="str">
        <f>CONCATENATE("",E1-1," Fund Mill Rate")</f>
        <v>2013 Fund Mill Rate</v>
      </c>
      <c r="I54" s="691"/>
      <c r="J54" s="703"/>
    </row>
    <row r="55" spans="2:10" ht="15.75">
      <c r="B55" s="72" t="s">
        <v>14</v>
      </c>
      <c r="C55" s="130"/>
      <c r="D55" s="14"/>
      <c r="E55" s="14"/>
      <c r="G55" s="706">
        <f>summ!I32</f>
        <v>0</v>
      </c>
      <c r="H55" s="485" t="str">
        <f>CONCATENATE("Total ",E1," Mill Rate")</f>
        <v>Total 2014 Mill Rate</v>
      </c>
      <c r="I55" s="691"/>
      <c r="J55" s="703"/>
    </row>
    <row r="56" spans="2:10" ht="15.75">
      <c r="B56" s="72" t="s">
        <v>33</v>
      </c>
      <c r="C56" s="132"/>
      <c r="D56" s="14"/>
      <c r="E56" s="14"/>
      <c r="G56" s="705">
        <f>summ!F32</f>
        <v>0</v>
      </c>
      <c r="H56" s="707" t="str">
        <f>CONCATENATE("Total ",E1-1," Mill Rate")</f>
        <v>Total 2013 Mill Rate</v>
      </c>
      <c r="I56" s="708"/>
      <c r="J56" s="709"/>
    </row>
    <row r="57" spans="2:5" ht="15.75">
      <c r="B57" s="72" t="s">
        <v>34</v>
      </c>
      <c r="C57" s="398">
        <f>C38</f>
        <v>0</v>
      </c>
      <c r="D57" s="74"/>
      <c r="E57" s="14"/>
    </row>
    <row r="58" spans="2:9" ht="15.75">
      <c r="B58" s="72" t="s">
        <v>246</v>
      </c>
      <c r="C58" s="398">
        <f>gen!C43</f>
        <v>0</v>
      </c>
      <c r="D58" s="822">
        <f>IF(AND(C58&gt;0,C59&gt;0),"Not Auth. Two General Transfers - Only One","")</f>
      </c>
      <c r="E58" s="823"/>
      <c r="G58" s="744" t="s">
        <v>933</v>
      </c>
      <c r="H58" s="743"/>
      <c r="I58" s="742" t="str">
        <f>cert!F37</f>
        <v>No</v>
      </c>
    </row>
    <row r="59" spans="2:5" ht="15.75">
      <c r="B59" s="75" t="s">
        <v>247</v>
      </c>
      <c r="C59" s="398">
        <f>gen!C45</f>
        <v>0</v>
      </c>
      <c r="D59" s="824"/>
      <c r="E59" s="823"/>
    </row>
    <row r="60" spans="2:5" ht="15.75">
      <c r="B60" s="76"/>
      <c r="C60" s="130"/>
      <c r="D60" s="14"/>
      <c r="E60" s="14"/>
    </row>
    <row r="61" spans="2:5" ht="15.75">
      <c r="B61" s="76" t="s">
        <v>22</v>
      </c>
      <c r="C61" s="130"/>
      <c r="D61" s="14"/>
      <c r="E61" s="14"/>
    </row>
    <row r="62" spans="2:5" ht="15.75">
      <c r="B62" s="76" t="s">
        <v>21</v>
      </c>
      <c r="C62" s="130"/>
      <c r="D62" s="14"/>
      <c r="E62" s="14"/>
    </row>
    <row r="63" spans="2:5" ht="15.75">
      <c r="B63" s="77" t="s">
        <v>24</v>
      </c>
      <c r="C63" s="132">
        <f>SUM(C55:C62)</f>
        <v>0</v>
      </c>
      <c r="D63" s="14"/>
      <c r="E63" s="14"/>
    </row>
    <row r="64" spans="2:5" ht="15.75">
      <c r="B64" s="77" t="s">
        <v>26</v>
      </c>
      <c r="C64" s="130"/>
      <c r="D64" s="14"/>
      <c r="E64" s="14"/>
    </row>
    <row r="65" spans="2:5" ht="15.75">
      <c r="B65" s="77" t="s">
        <v>27</v>
      </c>
      <c r="C65" s="397">
        <f>SUM(C63-C64)</f>
        <v>0</v>
      </c>
      <c r="D65" s="14"/>
      <c r="E65" s="14"/>
    </row>
    <row r="66" spans="2:5" ht="15.75">
      <c r="B66" s="14"/>
      <c r="C66" s="14"/>
      <c r="D66" s="14"/>
      <c r="E66" s="14"/>
    </row>
    <row r="67" spans="2:5" ht="15.75">
      <c r="B67" s="52" t="s">
        <v>9</v>
      </c>
      <c r="C67" s="65"/>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t="str">
        <f>inputPrYr!B20</f>
        <v>Hall</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t="str">
        <f>inputPrYr!B21</f>
        <v>Fire Protection</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Independence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0</v>
      </c>
      <c r="H45" s="632" t="str">
        <f>CONCATENATE("Total ",E1," Mill Rate")</f>
        <v>Total 2014 Mill Rate</v>
      </c>
      <c r="I45" s="656"/>
      <c r="J45" s="657"/>
      <c r="K45" s="582"/>
    </row>
    <row r="46" spans="2:11" ht="15.75">
      <c r="B46" s="27" t="s">
        <v>118</v>
      </c>
      <c r="C46" s="29"/>
      <c r="D46" s="387">
        <f>C74</f>
        <v>0</v>
      </c>
      <c r="E46" s="32">
        <f>D74</f>
        <v>0</v>
      </c>
      <c r="G46" s="659">
        <f>summ!F32</f>
        <v>0</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No</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0</v>
      </c>
      <c r="H85" s="632" t="str">
        <f>CONCATENATE("Total ",E1," Mill Rate")</f>
        <v>Total 2014 Mill Rate</v>
      </c>
      <c r="I85" s="656"/>
      <c r="J85" s="657"/>
      <c r="K85" s="582"/>
    </row>
    <row r="86" spans="7:11" ht="15.75">
      <c r="G86" s="659">
        <f>summ!F32</f>
        <v>0</v>
      </c>
      <c r="H86" s="662" t="str">
        <f>CONCATENATE("Total ",E1-1," Mill Rate")</f>
        <v>Total 2013 Mill Rate</v>
      </c>
      <c r="I86" s="663"/>
      <c r="J86" s="664"/>
      <c r="K86" s="582"/>
    </row>
    <row r="88" spans="7:9" ht="15.75">
      <c r="G88" s="744" t="s">
        <v>933</v>
      </c>
      <c r="H88" s="743"/>
      <c r="I88" s="742" t="str">
        <f>cert!F37</f>
        <v>No</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Independence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Independence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1">
      <selection activeCell="E62" sqref="E62"/>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947</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550</v>
      </c>
      <c r="E16" s="187">
        <v>0</v>
      </c>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c r="E19" s="187"/>
      <c r="G19" s="32">
        <f>IF(H15&gt;0,ROUND(E19-(E19*H15),0),0)</f>
        <v>0</v>
      </c>
    </row>
    <row r="20" spans="1:7" ht="15.75">
      <c r="A20" s="14"/>
      <c r="B20" s="379" t="s">
        <v>942</v>
      </c>
      <c r="C20" s="380" t="s">
        <v>945</v>
      </c>
      <c r="D20" s="187"/>
      <c r="E20" s="187"/>
      <c r="G20" s="32">
        <f>IF(H15&gt;0,ROUND(E20-(E20*H15),0),0)</f>
        <v>0</v>
      </c>
    </row>
    <row r="21" spans="1:7" ht="15.75">
      <c r="A21" s="14"/>
      <c r="B21" s="187" t="s">
        <v>943</v>
      </c>
      <c r="C21" s="391" t="s">
        <v>944</v>
      </c>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550</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v>0.099</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t="str">
        <f t="shared" si="0"/>
        <v>Hall</v>
      </c>
      <c r="C46" s="14"/>
      <c r="D46" s="322"/>
      <c r="E46" s="14"/>
    </row>
    <row r="47" spans="1:5" ht="15.75">
      <c r="A47" s="14"/>
      <c r="B47" s="72" t="str">
        <f t="shared" si="0"/>
        <v>Fire Protection</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0.099</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3084</v>
      </c>
    </row>
    <row r="55" spans="1:5" ht="15.75">
      <c r="A55" s="327" t="str">
        <f>CONCATENATE("Assessed Valuation (",D5-2," budget column)")</f>
        <v>Assessed Valuation (2012 budget column)</v>
      </c>
      <c r="B55" s="328"/>
      <c r="C55" s="267"/>
      <c r="D55" s="28"/>
      <c r="E55" s="187">
        <v>31152401</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v>0</v>
      </c>
    </row>
    <row r="60" spans="1:5" ht="15.75">
      <c r="A60" s="328" t="s">
        <v>166</v>
      </c>
      <c r="B60" s="328"/>
      <c r="C60" s="331"/>
      <c r="D60" s="36"/>
      <c r="E60" s="36">
        <v>0</v>
      </c>
    </row>
    <row r="61" spans="1:5" ht="15.75">
      <c r="A61" s="328" t="s">
        <v>167</v>
      </c>
      <c r="B61" s="328"/>
      <c r="C61" s="331"/>
      <c r="D61" s="36"/>
      <c r="E61" s="36">
        <v>0</v>
      </c>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9">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Independence Township</v>
      </c>
      <c r="C5" s="784"/>
      <c r="D5" s="784"/>
      <c r="E5" s="784"/>
      <c r="F5" s="784"/>
      <c r="G5" s="784"/>
      <c r="H5" s="784"/>
      <c r="I5" s="784"/>
    </row>
    <row r="6" spans="2:9" ht="15.75">
      <c r="B6" s="784" t="str">
        <f>inputPrYr!D3</f>
        <v>Montgomery County</v>
      </c>
      <c r="C6" s="784"/>
      <c r="D6" s="784"/>
      <c r="E6" s="784"/>
      <c r="F6" s="784"/>
      <c r="G6" s="784"/>
      <c r="H6" s="784"/>
      <c r="I6" s="784"/>
    </row>
    <row r="7" spans="2:9" ht="15.75">
      <c r="B7" s="775" t="str">
        <f>CONCATENATE("will meet on ",inputBudSum!B8," at ",inputBudSum!B10," at ",inputBudSum!B12," for the purpose of hearing and")</f>
        <v>will meet on August 16, 2013 at 10:00 AM at Padley Residence, 440 58 Road, Independence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Montgomery County Clerk's Office, 217 E. Myrtle, Independence, KS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155</v>
      </c>
      <c r="D18" s="524">
        <f>IF(inputPrYr!D42&gt;0,inputPrYr!D42,"  ")</f>
        <v>0.099</v>
      </c>
      <c r="E18" s="32">
        <f>IF(gen!$D$50&lt;&gt;0,gen!$D$50,"  ")</f>
        <v>450</v>
      </c>
      <c r="F18" s="235" t="str">
        <f>IF(inputOth!D17&gt;0,inputOth!D17,"  ")</f>
        <v>  </v>
      </c>
      <c r="G18" s="32">
        <f>IF(gen!$E$50&lt;&gt;0,gen!$E$50,"  ")</f>
        <v>575</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75">
      <c r="B22" s="85" t="str">
        <f>IF(inputPrYr!$B20&gt;"  ",inputPrYr!$B20,"  ")</f>
        <v>Hall</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Fire Protection</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30242</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155</v>
      </c>
      <c r="D32" s="478">
        <f t="shared" si="0"/>
        <v>0.099</v>
      </c>
      <c r="E32" s="527">
        <f t="shared" si="0"/>
        <v>450</v>
      </c>
      <c r="F32" s="478">
        <f t="shared" si="0"/>
        <v>0</v>
      </c>
      <c r="G32" s="527">
        <f t="shared" si="0"/>
        <v>575</v>
      </c>
      <c r="H32" s="527">
        <f t="shared" si="0"/>
        <v>0</v>
      </c>
      <c r="I32" s="530">
        <f t="shared" si="0"/>
        <v>0</v>
      </c>
      <c r="K32" s="833" t="str">
        <f>CONCATENATE("Impact On Keeping The Same Mill Rate As For ",I1-1,"")</f>
        <v>Impact On Keeping The Same Mill Rate As For 2013</v>
      </c>
      <c r="L32" s="834"/>
      <c r="M32" s="834"/>
      <c r="N32" s="835"/>
    </row>
    <row r="33" spans="2:14" ht="15.75">
      <c r="B33" s="274" t="s">
        <v>44</v>
      </c>
      <c r="C33" s="32">
        <f>transfer!C29</f>
        <v>0</v>
      </c>
      <c r="D33" s="14"/>
      <c r="E33" s="32">
        <f>transfer!D29</f>
        <v>0</v>
      </c>
      <c r="F33" s="61"/>
      <c r="G33" s="32">
        <f>transfer!E29</f>
        <v>0</v>
      </c>
      <c r="H33" s="14"/>
      <c r="I33" s="14"/>
      <c r="K33" s="507"/>
      <c r="L33" s="501"/>
      <c r="M33" s="501"/>
      <c r="N33" s="508"/>
    </row>
    <row r="34" spans="2:14" ht="16.5" thickBot="1">
      <c r="B34" s="274" t="s">
        <v>45</v>
      </c>
      <c r="C34" s="528">
        <f>C32-C33</f>
        <v>155</v>
      </c>
      <c r="D34" s="14"/>
      <c r="E34" s="528">
        <f>E32-E33</f>
        <v>450</v>
      </c>
      <c r="F34" s="14"/>
      <c r="G34" s="528">
        <f>G32-G33</f>
        <v>575</v>
      </c>
      <c r="H34" s="14"/>
      <c r="I34" s="14"/>
      <c r="K34" s="507" t="str">
        <f>CONCATENATE("",I1," Ad Valorem Tax Revenue:")</f>
        <v>2014 Ad Valorem Tax Revenue:</v>
      </c>
      <c r="L34" s="501"/>
      <c r="M34" s="501"/>
      <c r="N34" s="502">
        <f>H32</f>
        <v>0</v>
      </c>
    </row>
    <row r="35" spans="2:14" ht="16.5" thickTop="1">
      <c r="B35" s="274" t="s">
        <v>46</v>
      </c>
      <c r="C35" s="529">
        <f>inputPrYr!E54</f>
        <v>3084</v>
      </c>
      <c r="D35" s="61"/>
      <c r="E35" s="529">
        <f>inputPrYr!E26</f>
        <v>0</v>
      </c>
      <c r="F35" s="14"/>
      <c r="G35" s="520" t="s">
        <v>289</v>
      </c>
      <c r="H35" s="14"/>
      <c r="I35" s="14"/>
      <c r="K35" s="507" t="str">
        <f>CONCATENATE("",I1-1," Ad Valorem Tax Revenue:")</f>
        <v>2013 Ad Valorem Tax Revenue:</v>
      </c>
      <c r="L35" s="501"/>
      <c r="M35" s="501"/>
      <c r="N35" s="515">
        <f>ROUND(G37*N27/1000,0)</f>
        <v>0</v>
      </c>
    </row>
    <row r="36" spans="2:14" ht="15.75">
      <c r="B36" s="274" t="s">
        <v>47</v>
      </c>
      <c r="C36" s="55"/>
      <c r="D36" s="61"/>
      <c r="E36" s="55"/>
      <c r="F36" s="61"/>
      <c r="G36" s="14"/>
      <c r="H36" s="14"/>
      <c r="I36" s="14"/>
      <c r="K36" s="512" t="s">
        <v>717</v>
      </c>
      <c r="L36" s="513"/>
      <c r="M36" s="513"/>
      <c r="N36" s="505">
        <f>N34-N35</f>
        <v>0</v>
      </c>
    </row>
    <row r="37" spans="2:14" ht="15.75">
      <c r="B37" s="274" t="s">
        <v>48</v>
      </c>
      <c r="C37" s="32">
        <f>inputPrYr!E55</f>
        <v>31152401</v>
      </c>
      <c r="D37" s="14"/>
      <c r="E37" s="32">
        <f>inputOth!E29</f>
        <v>32145397</v>
      </c>
      <c r="F37" s="14"/>
      <c r="G37" s="32">
        <f>inputOth!E7</f>
        <v>30242461</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Independence Township</v>
      </c>
      <c r="C46" s="832"/>
      <c r="D46" s="14"/>
      <c r="E46" s="14"/>
      <c r="F46" s="14"/>
      <c r="G46" s="14"/>
      <c r="H46" s="14"/>
      <c r="I46" s="14"/>
    </row>
    <row r="47" spans="2:9" ht="15.75">
      <c r="B47" s="830">
        <f>inputBudSum!B6</f>
        <v>0</v>
      </c>
      <c r="C47" s="831"/>
      <c r="D47" s="14"/>
      <c r="E47" s="14"/>
      <c r="F47" s="14"/>
      <c r="G47" s="14"/>
      <c r="H47" s="14"/>
      <c r="I47" s="14"/>
    </row>
    <row r="48" spans="2:9" ht="15.75">
      <c r="B48" s="14"/>
      <c r="C48" s="14"/>
      <c r="D48" s="14"/>
      <c r="E48" s="14"/>
      <c r="F48" s="14"/>
      <c r="G48" s="14"/>
      <c r="H48" s="14"/>
      <c r="I48" s="14"/>
    </row>
    <row r="49" spans="2:9" ht="15.75">
      <c r="B49" s="14"/>
      <c r="C49" s="52" t="s">
        <v>9</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
      <selection activeCell="C39" sqref="C39"/>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Independence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t="str">
        <f>inputPrYr!B20</f>
        <v>Hall</v>
      </c>
      <c r="C10" s="130"/>
      <c r="D10" s="131">
        <f t="shared" si="0"/>
      </c>
      <c r="E10" s="132">
        <f t="shared" si="1"/>
      </c>
      <c r="F10" s="129"/>
    </row>
    <row r="11" spans="1:6" ht="15.75">
      <c r="A11" s="14"/>
      <c r="B11" s="72" t="str">
        <f>inputPrYr!B21</f>
        <v>Fire Protection</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30242461</v>
      </c>
      <c r="E19" s="14"/>
      <c r="F19" s="129"/>
    </row>
    <row r="20" spans="1:6" ht="15.75">
      <c r="A20" s="14"/>
      <c r="B20" s="14"/>
      <c r="C20" s="14"/>
      <c r="D20" s="14"/>
      <c r="E20" s="14"/>
      <c r="F20" s="129"/>
    </row>
    <row r="21" spans="1:6" ht="15.75">
      <c r="A21" s="14"/>
      <c r="B21" s="842" t="s">
        <v>365</v>
      </c>
      <c r="C21" s="842"/>
      <c r="D21" s="137">
        <f>IF(D19&gt;0,(D19*0.001),"")</f>
        <v>30242.461</v>
      </c>
      <c r="E21" s="14"/>
      <c r="F21" s="129"/>
    </row>
    <row r="22" spans="1:6" ht="15.75">
      <c r="A22" s="14"/>
      <c r="B22" s="48"/>
      <c r="C22" s="48"/>
      <c r="D22" s="138"/>
      <c r="E22" s="14"/>
      <c r="F22" s="129"/>
    </row>
    <row r="23" spans="1:6" ht="15.75">
      <c r="A23" s="840" t="s">
        <v>367</v>
      </c>
      <c r="B23" s="765"/>
      <c r="C23" s="765"/>
      <c r="D23" s="139">
        <f>inputOth!E13</f>
        <v>0</v>
      </c>
      <c r="E23" s="140"/>
      <c r="F23" s="140"/>
    </row>
    <row r="24" spans="1:6" ht="15.75">
      <c r="A24" s="140"/>
      <c r="B24" s="140"/>
      <c r="C24" s="140"/>
      <c r="D24" s="141"/>
      <c r="E24" s="140"/>
      <c r="F24" s="140"/>
    </row>
    <row r="25" spans="1:6" ht="15.75">
      <c r="A25" s="140"/>
      <c r="B25" s="840" t="s">
        <v>368</v>
      </c>
      <c r="C25" s="841"/>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8</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Independence Township </v>
      </c>
      <c r="I6">
        <f>CONCATENATE(I7)</f>
      </c>
    </row>
    <row r="7" spans="1:7" ht="15.75">
      <c r="A7" s="852" t="str">
        <f>CONCATENATE("   with respect to financing the ",inputPrYr!D5," annual budget for ",(inputPrYr!D2)," , ",(inputPrYr!D3)," , Kansas.")</f>
        <v>   with respect to financing the 2014 annual budget for Independence Township , Montgomery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Independence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Independence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Independence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Independence Township of Montgomery County, Kansas that is our desire to notify the public of increased property taxes to finance the 2014 Independence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Independence Township Board, Montgomery County,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Independence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14" sqref="E14"/>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Independence Township</v>
      </c>
      <c r="B1" s="90"/>
      <c r="C1" s="90"/>
      <c r="D1" s="90"/>
      <c r="E1" s="90">
        <f>inputPrYr!D5</f>
        <v>2014</v>
      </c>
    </row>
    <row r="2" spans="1:5" ht="15.75">
      <c r="A2" s="88" t="str">
        <f>inputPrYr!D3</f>
        <v>Montgomery County</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30242461</v>
      </c>
    </row>
    <row r="8" spans="1:5" ht="15.75">
      <c r="A8" s="22" t="str">
        <f>CONCATENATE("New Improvements for ",E1-1,"")</f>
        <v>New Improvements for 2013</v>
      </c>
      <c r="B8" s="19"/>
      <c r="C8" s="19"/>
      <c r="D8" s="19"/>
      <c r="E8" s="283">
        <v>100664</v>
      </c>
    </row>
    <row r="9" spans="1:5" ht="15.75">
      <c r="A9" s="22" t="str">
        <f>CONCATENATE("Personal Property excluding oil, gas, and mobile homes - ",E1-1,"")</f>
        <v>Personal Property excluding oil, gas, and mobile homes - 2013</v>
      </c>
      <c r="B9" s="19"/>
      <c r="C9" s="19"/>
      <c r="D9" s="19"/>
      <c r="E9" s="283">
        <v>1992596</v>
      </c>
    </row>
    <row r="10" spans="1:5" ht="15.75">
      <c r="A10" s="22" t="str">
        <f>CONCATENATE("Property that has changed in use for ",E1-1,"")</f>
        <v>Property that has changed in use for 2013</v>
      </c>
      <c r="B10" s="19"/>
      <c r="C10" s="19"/>
      <c r="D10" s="19"/>
      <c r="E10" s="283">
        <v>6387</v>
      </c>
    </row>
    <row r="11" spans="1:5" ht="15.75">
      <c r="A11" s="22" t="str">
        <f>CONCATENATE("Personal Property excluding oil, gas, and mobile homes- ",E1-2,"")</f>
        <v>Personal Property excluding oil, gas, and mobile homes- 2012</v>
      </c>
      <c r="B11" s="19"/>
      <c r="C11" s="19"/>
      <c r="D11" s="19"/>
      <c r="E11" s="283">
        <v>2127918</v>
      </c>
    </row>
    <row r="12" spans="1:5" ht="15.75">
      <c r="A12" s="22" t="str">
        <f>CONCATENATE("Gross earnings (intangible) tax estimate for ",E1,"")</f>
        <v>Gross earnings (intangible) tax estimate for 2014</v>
      </c>
      <c r="B12" s="19"/>
      <c r="C12" s="19"/>
      <c r="D12" s="19"/>
      <c r="E12" s="283">
        <v>0</v>
      </c>
    </row>
    <row r="13" spans="1:5" ht="15.75">
      <c r="A13" s="22" t="str">
        <f>CONCATENATE("Neighborhood Revitalization - ",E1,"")</f>
        <v>Neighborhood Revitalization - 2014</v>
      </c>
      <c r="B13" s="19"/>
      <c r="C13" s="19"/>
      <c r="D13" s="19"/>
      <c r="E13" s="283">
        <v>0</v>
      </c>
    </row>
    <row r="14" spans="1:5" ht="15.75">
      <c r="A14" s="22"/>
      <c r="B14" s="19"/>
      <c r="C14" s="19"/>
      <c r="D14" s="19"/>
      <c r="E14" s="284" t="s">
        <v>950</v>
      </c>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v>0</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t="str">
        <f>inputPrYr!B20</f>
        <v>Hall</v>
      </c>
      <c r="B21" s="267"/>
      <c r="C21" s="19"/>
      <c r="D21" s="289"/>
      <c r="E21" s="286"/>
    </row>
    <row r="22" spans="1:5" ht="15.75">
      <c r="A22" s="71" t="str">
        <f>inputPrYr!B21</f>
        <v>Fire Protection</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0</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32145397</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0</v>
      </c>
    </row>
    <row r="33" spans="1:5" ht="15.75">
      <c r="A33" s="296" t="s">
        <v>276</v>
      </c>
      <c r="B33" s="267"/>
      <c r="C33" s="267"/>
      <c r="D33" s="31"/>
      <c r="E33" s="34">
        <v>0</v>
      </c>
    </row>
    <row r="34" spans="1:5" ht="15.75">
      <c r="A34" s="296" t="s">
        <v>160</v>
      </c>
      <c r="B34" s="267"/>
      <c r="C34" s="267"/>
      <c r="D34" s="31"/>
      <c r="E34" s="34">
        <v>9</v>
      </c>
    </row>
    <row r="35" spans="1:5" ht="15.75">
      <c r="A35" s="296" t="s">
        <v>161</v>
      </c>
      <c r="B35" s="267"/>
      <c r="C35" s="267"/>
      <c r="D35" s="31"/>
      <c r="E35" s="34">
        <v>0</v>
      </c>
    </row>
    <row r="36" spans="1:5" ht="15.75">
      <c r="A36" s="296" t="s">
        <v>100</v>
      </c>
      <c r="B36" s="20"/>
      <c r="C36" s="20"/>
      <c r="D36" s="295"/>
      <c r="E36" s="34">
        <v>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7280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t="str">
        <f>inputPrYr!B20</f>
        <v>Hall</v>
      </c>
      <c r="B50" s="36"/>
      <c r="C50" s="140"/>
      <c r="D50" s="140"/>
      <c r="E50" s="140"/>
    </row>
    <row r="51" spans="1:5" ht="15.75">
      <c r="A51" s="304" t="str">
        <f>inputPrYr!B21</f>
        <v>Fire Protection</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947</v>
      </c>
      <c r="C4" s="710"/>
      <c r="J4" s="711" t="s">
        <v>843</v>
      </c>
    </row>
    <row r="5" spans="1:10" ht="15.75">
      <c r="A5" s="474"/>
      <c r="B5" s="710"/>
      <c r="J5" s="711" t="s">
        <v>844</v>
      </c>
    </row>
    <row r="6" spans="1:10" ht="15.75">
      <c r="A6" s="474" t="s">
        <v>839</v>
      </c>
      <c r="B6" s="356"/>
      <c r="J6" s="711" t="s">
        <v>845</v>
      </c>
    </row>
    <row r="7" spans="1:10" ht="15.75">
      <c r="A7" s="353"/>
      <c r="B7" s="353"/>
      <c r="C7" s="353"/>
      <c r="D7" s="355"/>
      <c r="E7" s="353"/>
      <c r="F7" s="353"/>
      <c r="J7" s="711" t="s">
        <v>846</v>
      </c>
    </row>
    <row r="8" spans="1:10" ht="15.75">
      <c r="A8" s="354" t="s">
        <v>372</v>
      </c>
      <c r="B8" s="356" t="s">
        <v>951</v>
      </c>
      <c r="C8" s="357"/>
      <c r="D8" s="354" t="s">
        <v>837</v>
      </c>
      <c r="E8" s="353"/>
      <c r="F8" s="353"/>
      <c r="J8" s="711" t="s">
        <v>847</v>
      </c>
    </row>
    <row r="9" spans="1:10" ht="15.75">
      <c r="A9" s="354"/>
      <c r="B9" s="358"/>
      <c r="C9" s="359"/>
      <c r="D9" s="354" t="str">
        <f>IF(B8="","",CONCATENATE("Latest date for notice to be published in your newspaper: ",G19," ",G23,", ",G24))</f>
        <v>Latest date for notice to be published in your newspaper: August 6, 2013</v>
      </c>
      <c r="E9" s="353"/>
      <c r="F9" s="353"/>
      <c r="J9" s="711" t="s">
        <v>848</v>
      </c>
    </row>
    <row r="10" spans="1:10" ht="15.75">
      <c r="A10" s="354" t="s">
        <v>373</v>
      </c>
      <c r="B10" s="356" t="s">
        <v>952</v>
      </c>
      <c r="C10" s="360"/>
      <c r="D10" s="354"/>
      <c r="E10" s="353"/>
      <c r="F10" s="353"/>
      <c r="J10" s="711" t="s">
        <v>849</v>
      </c>
    </row>
    <row r="11" spans="1:10" ht="15.75">
      <c r="A11" s="354"/>
      <c r="B11" s="354"/>
      <c r="C11" s="354"/>
      <c r="D11" s="354"/>
      <c r="E11" s="353"/>
      <c r="F11" s="353"/>
      <c r="J11" s="711" t="s">
        <v>850</v>
      </c>
    </row>
    <row r="12" spans="1:10" ht="15.75">
      <c r="A12" s="354" t="s">
        <v>374</v>
      </c>
      <c r="B12" s="361" t="s">
        <v>953</v>
      </c>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t="s">
        <v>946</v>
      </c>
      <c r="C15" s="361"/>
      <c r="D15" s="361"/>
      <c r="E15" s="362"/>
      <c r="F15" s="353"/>
    </row>
    <row r="18" spans="1:6" ht="15.75">
      <c r="A18" s="763" t="s">
        <v>376</v>
      </c>
      <c r="B18" s="763"/>
      <c r="C18" s="354"/>
      <c r="D18" s="354"/>
      <c r="E18" s="354"/>
      <c r="F18" s="353"/>
    </row>
    <row r="19" spans="1:7" ht="15.75">
      <c r="A19" s="354"/>
      <c r="B19" s="354"/>
      <c r="C19" s="354"/>
      <c r="D19" s="354"/>
      <c r="E19" s="354"/>
      <c r="F19" s="353"/>
      <c r="G19" s="711" t="str">
        <f ca="1">IF(B8="","",INDIRECT(G20))</f>
        <v>August</v>
      </c>
    </row>
    <row r="20" spans="1:7" ht="15.75">
      <c r="A20" s="354" t="s">
        <v>372</v>
      </c>
      <c r="B20" s="358" t="s">
        <v>377</v>
      </c>
      <c r="C20" s="354"/>
      <c r="D20" s="354"/>
      <c r="E20" s="354"/>
      <c r="G20" s="712" t="str">
        <f>IF(B8="","",CONCATENATE("J",G22))</f>
        <v>J8</v>
      </c>
    </row>
    <row r="21" spans="1:7" ht="15.75">
      <c r="A21" s="354"/>
      <c r="B21" s="354"/>
      <c r="C21" s="354"/>
      <c r="D21" s="354"/>
      <c r="E21" s="354"/>
      <c r="G21" s="713">
        <f>B8-10</f>
        <v>41492</v>
      </c>
    </row>
    <row r="22" spans="1:7" ht="15.75">
      <c r="A22" s="354" t="s">
        <v>373</v>
      </c>
      <c r="B22" s="354" t="s">
        <v>378</v>
      </c>
      <c r="C22" s="354"/>
      <c r="D22" s="354"/>
      <c r="E22" s="354"/>
      <c r="G22" s="714">
        <f>IF(B8="","",MONTH(G21))</f>
        <v>8</v>
      </c>
    </row>
    <row r="23" spans="1:7" ht="15.75">
      <c r="A23" s="354"/>
      <c r="B23" s="354"/>
      <c r="C23" s="354"/>
      <c r="D23" s="354"/>
      <c r="E23" s="354"/>
      <c r="G23" s="715">
        <f>IF(B8="","",DAY(G21))</f>
        <v>6</v>
      </c>
    </row>
    <row r="24" spans="1:7" ht="15.75">
      <c r="A24" s="354" t="s">
        <v>374</v>
      </c>
      <c r="B24" s="354" t="s">
        <v>380</v>
      </c>
      <c r="C24" s="354"/>
      <c r="D24" s="354"/>
      <c r="E24" s="354"/>
      <c r="G24" s="716">
        <f>IF(B8="","",YEAR(G21))</f>
        <v>2013</v>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Montgomery County,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Independence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575</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75">
      <c r="B25" s="85" t="str">
        <f>IF(inputPrYr!$B20&gt;"  ",inputPrYr!$B20,"  ")</f>
        <v>Hall</v>
      </c>
      <c r="C25" s="260" t="str">
        <f>IF(inputPrYr!C20&gt;0,inputPrYr!C20,"  ")</f>
        <v>80-115</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Fire Protection</v>
      </c>
      <c r="C26" s="260" t="str">
        <f>IF(inputPrYr!C21&gt;0,inputPrYr!C21,"  ")</f>
        <v>80-1503</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t="str">
        <f>IF(road!C67&gt;0,road!C67,"  ")</f>
        <v>  </v>
      </c>
      <c r="E34" s="236"/>
      <c r="F34" s="236"/>
      <c r="G34" s="723"/>
    </row>
    <row r="35" spans="2:7" s="14" customFormat="1" ht="16.5" thickBot="1">
      <c r="B35" s="266" t="s">
        <v>288</v>
      </c>
      <c r="C35" s="267"/>
      <c r="D35" s="159" t="s">
        <v>289</v>
      </c>
      <c r="E35" s="724">
        <f>SUM(E21:E30)</f>
        <v>575</v>
      </c>
      <c r="F35" s="724">
        <f>SUM(F21:F30)</f>
        <v>0</v>
      </c>
      <c r="G35" s="725">
        <f>IF(SUM(G21:G30)&gt;0,SUM(G21:G30),"")</f>
      </c>
    </row>
    <row r="36" spans="2:4" s="14" customFormat="1" ht="16.5" thickTop="1">
      <c r="B36" s="27" t="s">
        <v>168</v>
      </c>
      <c r="C36" s="259"/>
      <c r="D36" s="264">
        <f>summ!D49</f>
        <v>7</v>
      </c>
    </row>
    <row r="37" spans="2:6" s="14" customFormat="1" ht="15.75">
      <c r="B37" s="27" t="s">
        <v>214</v>
      </c>
      <c r="C37" s="28"/>
      <c r="D37" s="264">
        <f>IF(nhood!C38&gt;0,nhood!C38,"")</f>
        <v>8</v>
      </c>
      <c r="E37" s="268" t="s">
        <v>157</v>
      </c>
      <c r="F37" s="269" t="str">
        <f>IF(F35&gt;computation!J34,"Yes","No")</f>
        <v>No</v>
      </c>
    </row>
    <row r="38" spans="2:6" s="14" customFormat="1" ht="15.75">
      <c r="B38" s="27" t="s">
        <v>156</v>
      </c>
      <c r="C38" s="28"/>
      <c r="D38" s="264">
        <f>IF(Resolution!D50&gt;0,Resolution!D50,"")</f>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Independence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0</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100664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1992596</v>
      </c>
      <c r="F14" s="246"/>
      <c r="G14" s="55"/>
      <c r="H14" s="55"/>
      <c r="I14" s="53"/>
      <c r="J14" s="55"/>
    </row>
    <row r="15" spans="1:10" ht="15.75">
      <c r="A15" s="245"/>
      <c r="B15" s="14" t="s">
        <v>87</v>
      </c>
      <c r="C15" s="14" t="str">
        <f>CONCATENATE("Personal Property ",J1-2,"")</f>
        <v>Personal Property 2012</v>
      </c>
      <c r="D15" s="245" t="s">
        <v>82</v>
      </c>
      <c r="E15" s="249">
        <f>inputOth!E11</f>
        <v>2127918</v>
      </c>
      <c r="F15" s="246"/>
      <c r="G15" s="53"/>
      <c r="H15" s="53"/>
      <c r="I15" s="55"/>
      <c r="J15" s="55"/>
    </row>
    <row r="16" spans="1:10" ht="15.75">
      <c r="A16" s="245"/>
      <c r="B16" s="14" t="s">
        <v>88</v>
      </c>
      <c r="C16" s="14" t="s">
        <v>108</v>
      </c>
      <c r="D16" s="14"/>
      <c r="E16" s="55"/>
      <c r="F16" s="55" t="s">
        <v>15</v>
      </c>
      <c r="G16" s="247">
        <f>IF(E14&gt;E15,E14-E15,0)</f>
        <v>0</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6387</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107051</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30242461</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30135410</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0.00355233262132488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0</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0</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0</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I11" sqref="I11"/>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Independence Township</v>
      </c>
      <c r="C1" s="14"/>
      <c r="D1" s="14"/>
      <c r="E1" s="14"/>
      <c r="F1" s="14"/>
      <c r="G1" s="14"/>
      <c r="H1" s="14"/>
      <c r="I1" s="14"/>
      <c r="J1" s="15">
        <f>inputPrYr!D5</f>
        <v>2014</v>
      </c>
      <c r="K1" s="15"/>
      <c r="L1" s="90"/>
    </row>
    <row r="2" spans="2:12" ht="15.75">
      <c r="B2" s="13" t="str">
        <f>inputPrYr!D3</f>
        <v>Montgomery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75">
      <c r="B15" s="85" t="str">
        <f>IF(inputPrYr!$B20&gt;"  ",inputPrYr!$B20,"  ")</f>
        <v>Hall</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Fire Protection</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0</v>
      </c>
      <c r="E21" s="720">
        <f>SUM(E11:E20)</f>
        <v>0</v>
      </c>
      <c r="F21" s="721"/>
      <c r="G21" s="719">
        <f>SUM(G11:G20)</f>
        <v>0</v>
      </c>
      <c r="H21" s="719"/>
      <c r="I21" s="719">
        <f>SUM(I11:I20)</f>
        <v>0</v>
      </c>
      <c r="J21" s="719">
        <f>SUM(J11:J20)</f>
        <v>0</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0</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0</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9</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Independence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0</v>
      </c>
      <c r="D27" s="228">
        <f>SUM(D10:D26)</f>
        <v>0</v>
      </c>
      <c r="E27" s="228">
        <f>SUM(E10:E26)</f>
        <v>0</v>
      </c>
      <c r="F27" s="129"/>
    </row>
    <row r="28" spans="1:6" ht="15.75">
      <c r="A28" s="129"/>
      <c r="B28" s="227" t="s">
        <v>609</v>
      </c>
      <c r="C28" s="129"/>
      <c r="D28" s="224"/>
      <c r="E28" s="224"/>
      <c r="F28" s="129"/>
    </row>
    <row r="29" spans="1:6" ht="15.75">
      <c r="A29" s="129"/>
      <c r="B29" s="179" t="s">
        <v>177</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2013-07-18T13:48:56Z</cp:lastPrinted>
  <dcterms:created xsi:type="dcterms:W3CDTF">1998-08-26T16:30:41Z</dcterms:created>
  <dcterms:modified xsi:type="dcterms:W3CDTF">2013-07-18T16:44:06Z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