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activeTab="5"/>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debt" sheetId="9" r:id="rId9"/>
    <sheet name="gen" sheetId="10" r:id="rId10"/>
    <sheet name="road" sheetId="11" r:id="rId11"/>
    <sheet name="levypage10" sheetId="12" r:id="rId12"/>
    <sheet name="nolevypage13" sheetId="13" r:id="rId13"/>
    <sheet name="levypage11" sheetId="14" r:id="rId14"/>
    <sheet name="levypage12" sheetId="15" r:id="rId15"/>
    <sheet name="nolevypage14" sheetId="16" r:id="rId16"/>
    <sheet name="nonbud" sheetId="17" r:id="rId17"/>
    <sheet name="NonBudFunds"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 name="transfer" sheetId="29" r:id="rId29"/>
    <sheet name="TransferStatutes" sheetId="30" r:id="rId30"/>
    <sheet name="Library Grant" sheetId="31" r:id="rId31"/>
    <sheet name="DebtSvs-Library" sheetId="32" r:id="rId32"/>
    <sheet name="SpecRoad&amp;Noxious" sheetId="33" r:id="rId33"/>
  </sheets>
  <externalReferences>
    <externalReference r:id="rId36"/>
  </externalReferences>
  <definedNames>
    <definedName name="_xlnm.Print_Area" localSheetId="31">'DebtSvs-Library'!$B$1:$E$83</definedName>
    <definedName name="_xlnm.Print_Area" localSheetId="9">'gen'!$B$1:$E$61</definedName>
    <definedName name="_xlnm.Print_Area" localSheetId="1">'inputPrYr'!$A$1:$E$93</definedName>
    <definedName name="_xlnm.Print_Area" localSheetId="11">'levypage10'!$A$1:$E$90</definedName>
    <definedName name="_xlnm.Print_Area" localSheetId="13">'levypage11'!$A$1:$E$90</definedName>
    <definedName name="_xlnm.Print_Area" localSheetId="14">'levypage12'!$A$1:$E$90</definedName>
    <definedName name="_xlnm.Print_Area" localSheetId="30">'Library Grant'!$A$1:$J$40</definedName>
    <definedName name="_xlnm.Print_Area" localSheetId="10">'road'!$B$1:$E$67</definedName>
    <definedName name="_xlnm.Print_Area" localSheetId="32">'SpecRoad&amp;Noxious'!$A$1:$E$90</definedName>
    <definedName name="_xlnm.Print_Area" localSheetId="5">'summ'!$A$2:$H$54</definedName>
  </definedNames>
  <calcPr fullCalcOnLoad="1"/>
</workbook>
</file>

<file path=xl/sharedStrings.xml><?xml version="1.0" encoding="utf-8"?>
<sst xmlns="http://schemas.openxmlformats.org/spreadsheetml/2006/main" count="1721" uniqueCount="974">
  <si>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</si>
  <si>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</si>
  <si>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</si>
  <si>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</si>
  <si>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</si>
  <si>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</si>
  <si>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</si>
  <si>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</si>
  <si>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</si>
  <si>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</si>
  <si>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</si>
  <si>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</si>
  <si>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</si>
  <si>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</si>
  <si>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</si>
  <si>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</si>
  <si>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</si>
  <si>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</si>
  <si>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</si>
  <si>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</si>
  <si>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</si>
  <si>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</si>
  <si>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</si>
  <si>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</si>
  <si>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</si>
  <si>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</si>
  <si>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</si>
  <si>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</si>
  <si>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</si>
  <si>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</si>
  <si>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</si>
  <si>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</si>
  <si>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</si>
  <si>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</si>
  <si>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</si>
  <si>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</si>
  <si>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</si>
  <si>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</si>
  <si>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</si>
  <si>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</si>
  <si>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</si>
  <si>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</si>
  <si>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</si>
  <si>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</si>
  <si>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</si>
  <si>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</si>
  <si>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</si>
  <si>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</si>
  <si>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</si>
  <si>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</si>
  <si>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</si>
  <si>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</si>
  <si>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</si>
  <si>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</si>
  <si>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</si>
  <si>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</si>
  <si>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</si>
  <si>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</si>
  <si>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</si>
  <si>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</si>
  <si>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</si>
  <si>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</si>
  <si>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</si>
  <si>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</si>
  <si>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</si>
  <si>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</si>
  <si>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</si>
  <si>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</si>
  <si>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</si>
  <si>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</si>
  <si>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</si>
  <si>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</si>
  <si>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</si>
  <si>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</si>
  <si>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</si>
  <si>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</si>
  <si>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</si>
  <si>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</si>
  <si>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</si>
  <si>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</si>
  <si>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</si>
  <si>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</si>
  <si>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</si>
  <si>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</si>
  <si>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</si>
  <si>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</si>
  <si>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</si>
  <si>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</si>
  <si>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</si>
  <si>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</si>
  <si>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</si>
  <si>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</si>
  <si>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</si>
  <si>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</si>
  <si>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</si>
  <si>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</si>
  <si>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</si>
  <si>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</si>
  <si>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</si>
  <si>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</si>
  <si>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</si>
  <si>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</si>
  <si>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</si>
  <si>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</si>
  <si>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</si>
  <si>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</si>
  <si>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</si>
  <si>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</si>
  <si>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</si>
  <si>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</si>
  <si>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</si>
  <si>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</si>
  <si>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</si>
  <si>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</si>
  <si>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</si>
  <si>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</si>
  <si>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</si>
  <si>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</si>
  <si>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</si>
  <si>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</si>
  <si>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</si>
  <si>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</si>
  <si>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</si>
  <si>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</si>
  <si>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</si>
  <si>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</si>
  <si>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</si>
  <si>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</si>
  <si>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</si>
  <si>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</si>
  <si>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</si>
  <si>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</si>
  <si>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</si>
  <si>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</si>
  <si>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</si>
  <si>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</si>
  <si>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</si>
  <si>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</si>
  <si>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</si>
  <si>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</si>
  <si>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</si>
  <si>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</si>
  <si>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</si>
  <si>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</si>
  <si>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</si>
  <si>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</si>
  <si>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</si>
  <si>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</si>
  <si>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</si>
  <si>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</si>
  <si>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</si>
  <si>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</si>
  <si>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</si>
  <si>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</si>
  <si>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</si>
  <si>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</si>
  <si>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</si>
  <si>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</si>
  <si>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</si>
  <si>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</si>
  <si>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</si>
  <si>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</si>
  <si>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</si>
  <si>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</si>
  <si>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</si>
  <si>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</si>
  <si>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</si>
  <si>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</si>
  <si>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</si>
  <si>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</si>
  <si>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</si>
  <si>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</si>
  <si>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</si>
  <si>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</si>
  <si>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</si>
  <si>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</si>
  <si>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</si>
  <si>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</si>
  <si>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</si>
  <si>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</si>
  <si>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</si>
  <si>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</si>
  <si>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</si>
  <si>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</si>
  <si>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</si>
  <si>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</si>
  <si>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</si>
  <si>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</si>
  <si>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</si>
  <si>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</si>
  <si>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</si>
  <si>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</si>
  <si>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</si>
  <si>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</si>
  <si>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</si>
  <si>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</si>
  <si>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</si>
  <si>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</si>
  <si>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</si>
  <si>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</si>
  <si>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</si>
  <si>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</si>
  <si>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</si>
  <si>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</si>
  <si>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</si>
  <si>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</si>
  <si>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</si>
  <si>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</si>
  <si>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</si>
  <si>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</si>
  <si>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</si>
  <si>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</si>
  <si>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</si>
  <si>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</si>
  <si>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</si>
  <si>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</si>
  <si>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</si>
  <si>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</si>
  <si>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</si>
  <si>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</si>
  <si>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</si>
  <si>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</si>
  <si>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</si>
  <si>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</si>
  <si>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</si>
  <si>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</si>
  <si>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</si>
  <si>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</si>
  <si>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</si>
  <si>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</si>
  <si>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</si>
  <si>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</si>
  <si>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</si>
  <si>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</si>
  <si>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</si>
  <si>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</si>
  <si>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</si>
  <si>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</si>
  <si>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</si>
  <si>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</si>
  <si>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</si>
  <si>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</si>
  <si>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</si>
  <si>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</si>
  <si>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</si>
  <si>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</si>
  <si>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</si>
  <si>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</si>
  <si>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</si>
  <si>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</si>
  <si>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</si>
  <si>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</si>
  <si>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</si>
  <si>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</si>
  <si>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</si>
  <si>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</si>
  <si>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</si>
  <si>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</si>
  <si>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</si>
  <si>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</si>
  <si>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</si>
  <si>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</si>
  <si>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</si>
  <si>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</si>
  <si>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</si>
  <si>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</si>
  <si>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</si>
  <si>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</si>
  <si>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</si>
  <si>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</si>
  <si>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</si>
  <si>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</si>
  <si>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</si>
  <si>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</si>
  <si>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</si>
  <si>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</si>
  <si>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</si>
  <si>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</si>
  <si>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</si>
  <si>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</si>
  <si>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</si>
  <si>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</si>
  <si>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</si>
  <si>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</si>
  <si>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</si>
  <si>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</si>
  <si>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</si>
  <si>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</si>
  <si>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</si>
  <si>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</si>
  <si>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</si>
  <si>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</si>
  <si>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</si>
  <si>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</si>
  <si>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</si>
  <si>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</si>
  <si>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</si>
  <si>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</si>
  <si>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</si>
  <si>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</si>
  <si>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</si>
  <si>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</si>
  <si>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</si>
  <si>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</si>
  <si>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</si>
  <si>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</si>
  <si>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</si>
  <si>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</si>
  <si>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</si>
  <si>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</si>
  <si>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</si>
  <si>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</si>
  <si>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</si>
  <si>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</si>
  <si>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</si>
  <si>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</si>
  <si>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</si>
  <si>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</si>
  <si>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</si>
  <si>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</si>
  <si>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</si>
  <si>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</si>
  <si>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</si>
  <si>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</si>
  <si>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</si>
  <si>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</si>
  <si>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</si>
  <si>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</si>
  <si>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</si>
  <si>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</si>
  <si>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</si>
  <si>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</si>
  <si>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</si>
  <si>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</si>
  <si>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</si>
  <si>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</si>
  <si>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</si>
  <si>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</si>
  <si>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</si>
  <si>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</si>
  <si>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</si>
  <si>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</si>
  <si>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</si>
  <si>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</si>
  <si>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</si>
  <si>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</si>
  <si>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</si>
  <si>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</si>
  <si>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</si>
  <si>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</si>
  <si>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</si>
  <si>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</si>
  <si>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</si>
  <si>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</si>
  <si>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</si>
  <si>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</si>
  <si>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</si>
  <si>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</si>
  <si>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</si>
  <si>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</si>
  <si>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</si>
  <si>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</si>
  <si>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</si>
  <si>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</si>
  <si>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</si>
  <si>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</si>
  <si>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</si>
  <si>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</si>
  <si>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</si>
  <si>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</si>
  <si>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</si>
  <si>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</si>
  <si>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</si>
  <si>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</si>
  <si>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</si>
  <si>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</si>
  <si>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</si>
  <si>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</si>
  <si>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</si>
  <si>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</si>
  <si>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</si>
  <si>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</si>
  <si>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</si>
  <si>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</si>
  <si>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</si>
  <si>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</si>
  <si>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</si>
  <si>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</si>
  <si>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</si>
  <si>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</si>
  <si>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</si>
  <si>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</si>
  <si>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</si>
  <si>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</si>
  <si>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</si>
  <si>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</si>
  <si>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</si>
  <si>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</si>
  <si>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</si>
  <si>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</si>
  <si>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</si>
  <si>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</si>
  <si>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</si>
  <si>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</si>
  <si>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</si>
  <si>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</si>
  <si>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</si>
  <si>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</si>
  <si>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</si>
  <si>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</si>
  <si>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</si>
  <si>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</si>
  <si>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</si>
  <si>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</si>
  <si>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</si>
  <si>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</si>
  <si>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</si>
  <si>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</si>
  <si>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</si>
  <si>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</si>
  <si>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</si>
  <si>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</si>
  <si>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</si>
  <si>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</si>
  <si>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</si>
  <si>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</si>
  <si>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</si>
  <si>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</si>
  <si>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</si>
  <si>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</si>
  <si>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</si>
  <si>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</si>
  <si>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</si>
  <si>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</si>
  <si>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</si>
  <si>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</si>
  <si>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</si>
  <si>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</si>
  <si>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</si>
  <si>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</si>
  <si>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</si>
  <si>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</si>
  <si>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</si>
  <si>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</si>
  <si>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</si>
  <si>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</si>
  <si>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</si>
  <si>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</si>
  <si>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</si>
  <si>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</si>
  <si>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</si>
  <si>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</si>
  <si>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</si>
  <si>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</si>
  <si>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</si>
  <si>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</si>
  <si>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</si>
  <si>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</si>
  <si>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</si>
  <si>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</si>
  <si>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</si>
  <si>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</si>
  <si>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</si>
  <si>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</si>
  <si>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</si>
  <si>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</si>
  <si>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</si>
  <si>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</si>
  <si>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</si>
  <si>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</si>
  <si>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</si>
  <si>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</si>
  <si>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</si>
  <si>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</si>
  <si>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</si>
  <si>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</si>
  <si>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</si>
  <si>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</si>
  <si>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</si>
  <si>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</si>
  <si>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</si>
  <si>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</si>
  <si>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</si>
  <si>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</si>
  <si>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</si>
  <si>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</si>
  <si>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</si>
  <si>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</si>
  <si>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</si>
  <si>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</si>
  <si>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</si>
  <si>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</si>
  <si>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</si>
  <si>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</si>
  <si>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</si>
  <si>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</si>
  <si>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</si>
  <si>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</si>
  <si>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</si>
  <si>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</si>
  <si>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</si>
  <si>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</si>
  <si>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</si>
  <si>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</si>
  <si>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</si>
  <si>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</si>
  <si>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</si>
  <si>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</si>
  <si>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</si>
  <si>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</si>
  <si>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</si>
  <si>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</si>
  <si>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</si>
  <si>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</si>
  <si>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</si>
  <si>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</si>
  <si>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</si>
  <si>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</si>
  <si>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</si>
  <si>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</si>
  <si>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</si>
  <si>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</si>
  <si>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</si>
  <si>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</si>
  <si>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</si>
  <si>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</si>
  <si>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</si>
  <si>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</si>
  <si>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</si>
  <si>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</si>
  <si>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</si>
  <si>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</si>
  <si>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</si>
  <si>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</si>
  <si>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</si>
  <si>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</si>
  <si>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</si>
  <si>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</si>
  <si>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</si>
  <si>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</si>
  <si>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</si>
  <si>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</si>
  <si>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</si>
  <si>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</si>
  <si>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</si>
  <si>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</si>
  <si>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</si>
  <si>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</si>
  <si>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</si>
  <si>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</si>
  <si>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</si>
  <si>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</si>
  <si>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</si>
  <si>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</si>
  <si>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</si>
  <si>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</si>
  <si>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</si>
  <si>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</si>
  <si>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</si>
  <si>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</si>
  <si>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</si>
  <si>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</si>
  <si>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</si>
  <si>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</si>
  <si>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</si>
  <si>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</si>
  <si>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</si>
  <si>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</si>
  <si>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</si>
  <si>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</si>
  <si>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</si>
  <si>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</si>
  <si>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</si>
  <si>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</si>
  <si>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</si>
  <si>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</si>
  <si>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</si>
  <si>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</si>
  <si>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</si>
  <si>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</si>
  <si>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</si>
  <si>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</si>
  <si>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</si>
  <si>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</si>
  <si>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</si>
  <si>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</si>
  <si>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</si>
  <si>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</si>
  <si>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</si>
  <si>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</si>
  <si>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</si>
  <si>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</si>
  <si>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</si>
  <si>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</si>
  <si>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</si>
  <si>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</si>
  <si>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</si>
  <si>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</si>
  <si>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</si>
  <si>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</si>
  <si>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</si>
  <si>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</si>
  <si>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</si>
  <si>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</si>
  <si>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</si>
  <si>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</si>
  <si>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</si>
  <si>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</si>
  <si>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</si>
  <si>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</si>
  <si>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</si>
  <si>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</si>
  <si>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</si>
  <si>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</si>
  <si>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</si>
  <si>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</si>
  <si>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</si>
  <si>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</si>
  <si>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</si>
  <si>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</si>
  <si>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</si>
  <si>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</si>
  <si>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</si>
  <si>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</si>
  <si>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</si>
  <si>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</si>
  <si>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</si>
  <si>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</si>
  <si>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</si>
  <si>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</si>
  <si>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</si>
  <si>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</si>
  <si>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</si>
  <si>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</si>
  <si>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</si>
  <si>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</si>
  <si>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</si>
  <si>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</si>
  <si>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</si>
  <si>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</si>
  <si>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</si>
  <si>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</si>
  <si>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</si>
  <si>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</si>
  <si>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</si>
  <si>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</si>
  <si>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</si>
  <si>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</si>
  <si>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</si>
  <si>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</si>
  <si>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</si>
  <si>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</si>
  <si>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</si>
  <si>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</si>
  <si>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</si>
  <si>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</si>
  <si>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</si>
  <si>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</si>
  <si>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</si>
  <si>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</si>
  <si>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</si>
  <si>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</si>
  <si>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</si>
  <si>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</si>
  <si>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</si>
  <si>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</si>
  <si>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</si>
  <si>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</si>
  <si>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</si>
  <si>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</si>
  <si>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</si>
  <si>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</si>
  <si>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</si>
  <si>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</si>
  <si>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</si>
  <si>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</si>
  <si>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</si>
  <si>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</si>
  <si>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</si>
  <si>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</si>
  <si>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</si>
  <si>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</si>
  <si>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</si>
  <si>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</si>
  <si>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</si>
  <si>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</si>
  <si>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</si>
  <si>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</si>
  <si>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</si>
  <si>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</si>
  <si>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</si>
  <si>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</si>
  <si>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</si>
  <si>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</si>
  <si>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</si>
  <si>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</si>
  <si>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</si>
  <si>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</si>
  <si>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</si>
  <si>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</si>
  <si>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</si>
  <si>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</si>
  <si>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</si>
  <si>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</si>
  <si>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</si>
  <si>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</si>
  <si>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</si>
  <si>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</si>
  <si>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</si>
  <si>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</si>
  <si>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</si>
  <si>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</si>
  <si>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</si>
  <si>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</si>
  <si>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</si>
  <si>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</si>
  <si>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</si>
  <si>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</si>
  <si>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</si>
  <si>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</si>
  <si>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</si>
  <si>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</si>
  <si>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</si>
  <si>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</si>
  <si>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</si>
  <si>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</si>
  <si>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</si>
  <si>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</si>
  <si>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</si>
  <si>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</si>
  <si>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</si>
  <si>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</si>
  <si>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</si>
  <si>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</si>
  <si>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</si>
  <si>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</si>
  <si>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</si>
  <si>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</si>
  <si>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</si>
  <si>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</si>
  <si>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</si>
  <si>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</si>
  <si>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</si>
  <si>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</si>
  <si>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</si>
  <si>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</si>
  <si>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</si>
  <si>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</si>
  <si>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</si>
  <si>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</si>
  <si>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</si>
  <si>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</si>
  <si>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</si>
  <si>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</si>
  <si>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</si>
  <si>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</si>
  <si>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</si>
  <si>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</si>
  <si>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</si>
  <si>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</si>
  <si>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</si>
  <si>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</si>
  <si>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</si>
  <si>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</si>
  <si>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</si>
  <si>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</si>
  <si>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</si>
  <si>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</si>
  <si>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</si>
  <si>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</si>
  <si>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</si>
  <si>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</si>
  <si>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</si>
  <si>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</si>
  <si>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</si>
  <si>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</si>
  <si>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</si>
  <si>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</si>
  <si>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</si>
  <si>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</si>
  <si>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</si>
  <si>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</si>
  <si>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</si>
  <si>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</si>
  <si>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</si>
  <si>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</si>
  <si>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</si>
  <si>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</si>
  <si>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</si>
  <si>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</si>
  <si>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</si>
  <si>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</si>
  <si>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</si>
  <si>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</si>
  <si>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</si>
  <si>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</si>
  <si>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</si>
  <si>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</si>
  <si>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</si>
  <si>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</si>
  <si>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</si>
  <si>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</si>
  <si>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</si>
  <si>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</si>
  <si>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</si>
  <si>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</si>
  <si>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</si>
  <si>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</si>
  <si>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</si>
  <si>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</si>
  <si>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</si>
  <si>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</si>
  <si>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</si>
  <si>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</si>
  <si>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</si>
  <si>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</si>
  <si>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</si>
  <si>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</si>
  <si>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</si>
  <si>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</si>
  <si>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</si>
  <si>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</si>
  <si>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</si>
  <si>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</si>
  <si>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</si>
  <si>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</si>
  <si>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</si>
  <si>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</si>
  <si>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</si>
  <si>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</si>
  <si>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</si>
  <si>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</si>
  <si>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</si>
  <si>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</si>
  <si>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</si>
  <si>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</si>
  <si>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</si>
  <si>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</si>
  <si>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</si>
  <si>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</si>
  <si>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</si>
  <si>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</si>
  <si>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</si>
  <si>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</si>
  <si>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</si>
  <si>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</si>
  <si>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</si>
  <si>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</si>
  <si>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</si>
  <si>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</si>
  <si>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</si>
  <si>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</si>
  <si>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</si>
  <si>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</si>
  <si>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</si>
  <si>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</si>
  <si>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</si>
  <si>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</si>
  <si>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</si>
  <si>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</si>
  <si>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</si>
  <si>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</si>
  <si>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</si>
  <si>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</si>
  <si>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</si>
  <si>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</si>
  <si>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</si>
  <si>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</si>
  <si>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</si>
  <si>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</si>
  <si>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</si>
  <si>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</si>
  <si>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</si>
  <si>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</si>
  <si>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</si>
  <si>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</si>
  <si>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</si>
  <si>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</si>
  <si>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</si>
  <si>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</si>
  <si>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</si>
  <si>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</si>
  <si>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</si>
  <si>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</si>
  <si>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</si>
  <si>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</si>
  <si>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</si>
  <si>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</si>
  <si>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</si>
  <si>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</si>
  <si>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</si>
  <si>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</si>
  <si>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</si>
  <si>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</si>
  <si>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</si>
  <si>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</si>
  <si>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</si>
  <si>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</si>
  <si>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</si>
  <si>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</si>
  <si>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</si>
  <si>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</si>
  <si>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</si>
  <si>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</si>
  <si>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</si>
  <si>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</si>
  <si>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</si>
  <si>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</si>
  <si>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</si>
  <si>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</si>
  <si>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</si>
  <si>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</si>
  <si>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</si>
  <si>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</si>
  <si>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</si>
  <si>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</si>
  <si>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</si>
  <si>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</si>
  <si>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</si>
  <si>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</si>
  <si>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</si>
  <si>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</si>
  <si>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</si>
  <si>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</si>
  <si>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</si>
  <si>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</si>
  <si>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</si>
  <si>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</si>
  <si>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</si>
  <si>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</si>
  <si>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</si>
  <si>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</si>
  <si>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</si>
  <si>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</si>
  <si>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</si>
  <si>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</si>
  <si>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</si>
  <si>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</si>
  <si>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</si>
  <si>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</si>
  <si>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</si>
  <si>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</si>
  <si>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</si>
  <si>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</si>
  <si>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</si>
  <si>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</si>
  <si>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</si>
  <si>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</si>
  <si>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</si>
  <si>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</si>
  <si>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</si>
  <si>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</si>
  <si>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</si>
  <si>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</si>
  <si>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</si>
  <si>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</si>
  <si>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Fairview Township</t>
  </si>
  <si>
    <t>Russell County</t>
  </si>
  <si>
    <t xml:space="preserve">Lucas </t>
  </si>
  <si>
    <t>Cemetery</t>
  </si>
  <si>
    <t>12-1403</t>
  </si>
  <si>
    <t>Cemetery Spec Machine</t>
  </si>
  <si>
    <t>FEMA reimbursement</t>
  </si>
  <si>
    <t>Gift</t>
  </si>
  <si>
    <t>lot sales</t>
  </si>
  <si>
    <t>Operating Expense</t>
  </si>
  <si>
    <t xml:space="preserve">Transfer to Cemetery Machine </t>
  </si>
  <si>
    <t>contract labor</t>
  </si>
  <si>
    <t>August 5, 2013</t>
  </si>
  <si>
    <t>8 pm</t>
  </si>
  <si>
    <t>the Lucas District Fire Station</t>
  </si>
  <si>
    <t>Gudenkauf &amp; Malone</t>
  </si>
  <si>
    <t>639 N Main St</t>
  </si>
  <si>
    <t>Russell, KS 67665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</si>
</sst>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1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D13" sqref="D13"/>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Fairview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8535</v>
      </c>
      <c r="D6" s="390">
        <f>C51</f>
        <v>15362</v>
      </c>
      <c r="E6" s="261">
        <f>D51</f>
        <v>7082</v>
      </c>
    </row>
    <row r="7" spans="2:5" ht="15">
      <c r="B7" s="80" t="s">
        <v>72</v>
      </c>
      <c r="C7" s="390"/>
      <c r="D7" s="390"/>
      <c r="E7" s="315"/>
    </row>
    <row r="8" spans="2:5" ht="15">
      <c r="B8" s="80" t="s">
        <v>279</v>
      </c>
      <c r="C8" s="313">
        <v>20886</v>
      </c>
      <c r="D8" s="390">
        <f>IF(inputPrYr!H19&gt;0,inputPrYr!G20,inputPrYr!E20)</f>
        <v>11756</v>
      </c>
      <c r="E8" s="315" t="s">
        <v>258</v>
      </c>
    </row>
    <row r="9" spans="2:5" ht="15">
      <c r="B9" s="80" t="s">
        <v>280</v>
      </c>
      <c r="C9" s="313">
        <v>251</v>
      </c>
      <c r="D9" s="313"/>
      <c r="E9" s="171"/>
    </row>
    <row r="10" spans="2:5" ht="15">
      <c r="B10" s="80" t="s">
        <v>281</v>
      </c>
      <c r="C10" s="313">
        <v>695</v>
      </c>
      <c r="D10" s="313">
        <v>1981</v>
      </c>
      <c r="E10" s="261">
        <f>mvalloc!G11</f>
        <v>897</v>
      </c>
    </row>
    <row r="11" spans="2:5" ht="15">
      <c r="B11" s="80" t="s">
        <v>282</v>
      </c>
      <c r="C11" s="313">
        <v>12</v>
      </c>
      <c r="D11" s="313">
        <v>23</v>
      </c>
      <c r="E11" s="261">
        <f>mvalloc!I11</f>
        <v>13</v>
      </c>
    </row>
    <row r="12" spans="2:5" ht="15">
      <c r="B12" s="316" t="s">
        <v>21</v>
      </c>
      <c r="C12" s="313">
        <v>25</v>
      </c>
      <c r="D12" s="313">
        <v>285</v>
      </c>
      <c r="E12" s="261">
        <f>mvalloc!J11</f>
        <v>195</v>
      </c>
    </row>
    <row r="13" spans="2:5" ht="15">
      <c r="B13" s="316" t="s">
        <v>113</v>
      </c>
      <c r="C13" s="313"/>
      <c r="D13" s="313"/>
      <c r="E13" s="261">
        <f>inputOth!E71</f>
        <v>0</v>
      </c>
    </row>
    <row r="14" spans="2:5" ht="15">
      <c r="B14" s="80" t="s">
        <v>283</v>
      </c>
      <c r="C14" s="313">
        <v>286</v>
      </c>
      <c r="D14" s="313">
        <v>600</v>
      </c>
      <c r="E14" s="261">
        <f>inputOth!E32</f>
        <v>400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22155</v>
      </c>
      <c r="D26" s="393">
        <f>SUM(D8:D24)</f>
        <v>14645</v>
      </c>
      <c r="E26" s="322">
        <f>SUM(E8:E24)</f>
        <v>1505</v>
      </c>
    </row>
    <row r="27" spans="2:5" ht="15">
      <c r="B27" s="98" t="s">
        <v>287</v>
      </c>
      <c r="C27" s="393">
        <f>C26+C6</f>
        <v>30690</v>
      </c>
      <c r="D27" s="393">
        <f>D26+D6</f>
        <v>30007</v>
      </c>
      <c r="E27" s="322">
        <f>E26+E6</f>
        <v>8587</v>
      </c>
    </row>
    <row r="28" spans="2:5" ht="15">
      <c r="B28" s="80" t="s">
        <v>288</v>
      </c>
      <c r="C28" s="390"/>
      <c r="D28" s="390"/>
      <c r="E28" s="261"/>
    </row>
    <row r="29" spans="2:5" ht="15">
      <c r="B29" s="317"/>
      <c r="C29" s="313"/>
      <c r="D29" s="313"/>
      <c r="E29" s="171"/>
    </row>
    <row r="30" spans="2:5" ht="15">
      <c r="B30" s="318" t="s">
        <v>53</v>
      </c>
      <c r="C30" s="313">
        <v>2947</v>
      </c>
      <c r="D30" s="313">
        <v>2500</v>
      </c>
      <c r="E30" s="171">
        <v>2500</v>
      </c>
    </row>
    <row r="31" spans="2:5" ht="15">
      <c r="B31" s="318" t="s">
        <v>77</v>
      </c>
      <c r="C31" s="313"/>
      <c r="D31" s="313"/>
      <c r="E31" s="171"/>
    </row>
    <row r="32" spans="2:5" ht="15">
      <c r="B32" s="318" t="s">
        <v>54</v>
      </c>
      <c r="C32" s="313">
        <v>1893</v>
      </c>
      <c r="D32" s="313"/>
      <c r="E32" s="171"/>
    </row>
    <row r="33" spans="2:5" ht="15">
      <c r="B33" s="318" t="s">
        <v>299</v>
      </c>
      <c r="C33" s="313">
        <v>646</v>
      </c>
      <c r="D33" s="313">
        <v>5600</v>
      </c>
      <c r="E33" s="171">
        <v>5600</v>
      </c>
    </row>
    <row r="34" spans="2:5" ht="15">
      <c r="B34" s="317" t="s">
        <v>55</v>
      </c>
      <c r="C34" s="313">
        <v>273</v>
      </c>
      <c r="D34" s="313">
        <v>9900</v>
      </c>
      <c r="E34" s="171">
        <v>9900</v>
      </c>
    </row>
    <row r="35" spans="2:5" ht="15">
      <c r="B35" s="317" t="s">
        <v>78</v>
      </c>
      <c r="C35" s="313"/>
      <c r="D35" s="313">
        <v>1425</v>
      </c>
      <c r="E35" s="171">
        <v>1425</v>
      </c>
    </row>
    <row r="36" spans="2:5" ht="15">
      <c r="B36" s="318" t="s">
        <v>80</v>
      </c>
      <c r="C36" s="313">
        <v>3869</v>
      </c>
      <c r="D36" s="313">
        <v>3500</v>
      </c>
      <c r="E36" s="171">
        <v>3500</v>
      </c>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25" t="str">
        <f>CONCATENATE("Desired Carryover Into ",E1+1,"")</f>
        <v>Desired Carryover Into 2015</v>
      </c>
      <c r="H41" s="826"/>
      <c r="I41" s="826"/>
      <c r="J41" s="827"/>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v>5700</v>
      </c>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
      <c r="B48" s="316" t="s">
        <v>231</v>
      </c>
      <c r="C48" s="313"/>
      <c r="D48" s="313"/>
      <c r="E48" s="171"/>
      <c r="G48" s="825" t="str">
        <f>CONCATENATE("Projected Carryover Into ",E1+1,"")</f>
        <v>Projected Carryover Into 2015</v>
      </c>
      <c r="H48" s="826"/>
      <c r="I48" s="826"/>
      <c r="J48" s="827"/>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15328</v>
      </c>
      <c r="D50" s="393">
        <f>SUM(D29:D43,D45,D47:D48)</f>
        <v>22925</v>
      </c>
      <c r="E50" s="322">
        <f>SUM(E29:E43,E47:E48,E45)</f>
        <v>22925</v>
      </c>
      <c r="G50" s="545">
        <f>D51</f>
        <v>7082</v>
      </c>
      <c r="H50" s="546" t="str">
        <f>CONCATENATE("",E1-1," Ending Cash Balance (est.)")</f>
        <v>2013 Ending Cash Balance (est.)</v>
      </c>
      <c r="I50" s="547"/>
      <c r="J50" s="84"/>
    </row>
    <row r="51" spans="2:10" ht="15">
      <c r="B51" s="80" t="s">
        <v>71</v>
      </c>
      <c r="C51" s="394">
        <f>C27-C50</f>
        <v>15362</v>
      </c>
      <c r="D51" s="394">
        <f>D27-D50</f>
        <v>7082</v>
      </c>
      <c r="E51" s="315" t="s">
        <v>258</v>
      </c>
      <c r="G51" s="545">
        <f>E26</f>
        <v>1505</v>
      </c>
      <c r="H51" s="548" t="str">
        <f>CONCATENATE("",E1," Non-AV Receipts (est.)")</f>
        <v>2014 Non-AV Receipts (est.)</v>
      </c>
      <c r="I51" s="547"/>
      <c r="J51" s="84"/>
    </row>
    <row r="52" spans="2:11" ht="15">
      <c r="B52" s="117" t="str">
        <f>CONCATENATE("",E1-2,"/",E1-1," Budget Authority Amount:")</f>
        <v>2012/2013 Budget Authority Amount:</v>
      </c>
      <c r="C52" s="338">
        <f>inputOth!B83</f>
        <v>22925</v>
      </c>
      <c r="D52" s="68">
        <f>inputPrYr!D20</f>
        <v>22925</v>
      </c>
      <c r="E52" s="315" t="s">
        <v>258</v>
      </c>
      <c r="F52" s="324"/>
      <c r="G52" s="549">
        <f>IF(D56&gt;0,E55,E57)</f>
        <v>14338</v>
      </c>
      <c r="H52" s="548" t="str">
        <f>CONCATENATE("",E1," Ad Valorem Tax (est.)")</f>
        <v>2014 Ad Valorem Tax (est.)</v>
      </c>
      <c r="I52" s="547"/>
      <c r="J52" s="84"/>
      <c r="K52" s="724">
        <f>IF(G52=E57,"","Note: Does not include Delinquent Taxes")</f>
      </c>
    </row>
    <row r="53" spans="2:10" ht="15">
      <c r="B53" s="117"/>
      <c r="C53" s="819" t="s">
        <v>730</v>
      </c>
      <c r="D53" s="820"/>
      <c r="E53" s="171"/>
      <c r="F53" s="324">
        <f>IF(E50/0.95-E50&lt;E53,"Exceeds 5%","")</f>
      </c>
      <c r="G53" s="545">
        <f>SUM(G50:G52)</f>
        <v>22925</v>
      </c>
      <c r="H53" s="548" t="str">
        <f>CONCATENATE("Total ",E1," Resources Available")</f>
        <v>Total 2014 Resources Available</v>
      </c>
      <c r="I53" s="547"/>
      <c r="J53" s="84"/>
    </row>
    <row r="54" spans="2:10" ht="15">
      <c r="B54" s="499" t="str">
        <f>CONCATENATE(C74,"      ",D74)</f>
        <v>      </v>
      </c>
      <c r="C54" s="821" t="s">
        <v>731</v>
      </c>
      <c r="D54" s="822"/>
      <c r="E54" s="261">
        <f>E50+E53</f>
        <v>22925</v>
      </c>
      <c r="G54" s="550"/>
      <c r="H54" s="548"/>
      <c r="I54" s="548"/>
      <c r="J54" s="84"/>
    </row>
    <row r="55" spans="2:10" ht="15">
      <c r="B55" s="499" t="str">
        <f>CONCATENATE(C75,"       ",D75)</f>
        <v>       </v>
      </c>
      <c r="C55" s="502"/>
      <c r="D55" s="501" t="s">
        <v>291</v>
      </c>
      <c r="E55" s="182">
        <f>IF(E54-E27&gt;0,E54-E27,0)</f>
        <v>14338</v>
      </c>
      <c r="G55" s="549">
        <f>ROUND(C50*0.05+C50,0)</f>
        <v>16094</v>
      </c>
      <c r="H55" s="548" t="str">
        <f>CONCATENATE("Less ",E1-2," Expenditures + 5%")</f>
        <v>Less 2012 Expenditures + 5%</v>
      </c>
      <c r="I55" s="547"/>
      <c r="J55" s="84"/>
    </row>
    <row r="56" spans="2:10" ht="15">
      <c r="B56" s="211"/>
      <c r="C56" s="500" t="s">
        <v>732</v>
      </c>
      <c r="D56" s="717">
        <f>inputOth!$E$77</f>
        <v>0</v>
      </c>
      <c r="E56" s="261">
        <f>ROUND(IF(D56&gt;0,(E55*D56),0),0)</f>
        <v>0</v>
      </c>
      <c r="G56" s="551">
        <f>G53-G55</f>
        <v>6831</v>
      </c>
      <c r="H56" s="552" t="str">
        <f>CONCATENATE("Projected ",E1+1," Carryover (est.)")</f>
        <v>Projected 2015 Carryover (est.)</v>
      </c>
      <c r="I56" s="553"/>
      <c r="J56" s="554"/>
    </row>
    <row r="57" spans="2:5" ht="15">
      <c r="B57" s="65"/>
      <c r="C57" s="823" t="str">
        <f>CONCATENATE("Amount of  ",$E$1-1," Ad Valorem Tax")</f>
        <v>Amount of  2013 Ad Valorem Tax</v>
      </c>
      <c r="D57" s="824"/>
      <c r="E57" s="182">
        <f>E55+E56</f>
        <v>14338</v>
      </c>
    </row>
    <row r="58" spans="2:10" ht="15">
      <c r="B58" s="65"/>
      <c r="C58" s="65"/>
      <c r="D58" s="65"/>
      <c r="E58" s="65"/>
      <c r="G58" s="828" t="s">
        <v>870</v>
      </c>
      <c r="H58" s="829"/>
      <c r="I58" s="829"/>
      <c r="J58" s="830"/>
    </row>
    <row r="59" spans="2:11" s="326" customFormat="1" ht="15">
      <c r="B59" s="71"/>
      <c r="C59" s="71"/>
      <c r="D59" s="268"/>
      <c r="E59" s="71"/>
      <c r="G59" s="725"/>
      <c r="H59" s="546"/>
      <c r="I59" s="716"/>
      <c r="J59" s="726"/>
      <c r="K59" s="156"/>
    </row>
    <row r="60" spans="2:11" s="327" customFormat="1" ht="15">
      <c r="B60" s="65"/>
      <c r="C60" s="65"/>
      <c r="D60" s="190"/>
      <c r="E60" s="65"/>
      <c r="G60" s="727">
        <f>summ!H18</f>
        <v>4.607</v>
      </c>
      <c r="H60" s="546" t="str">
        <f>CONCATENATE("",E1," Fund Mill Rate")</f>
        <v>2014 Fund Mill Rate</v>
      </c>
      <c r="I60" s="716"/>
      <c r="J60" s="726"/>
      <c r="K60" s="156"/>
    </row>
    <row r="61" spans="2:10" ht="15">
      <c r="B61" s="211" t="s">
        <v>272</v>
      </c>
      <c r="C61" s="153"/>
      <c r="D61" s="65"/>
      <c r="E61" s="65"/>
      <c r="G61" s="728">
        <f>summ!E18</f>
        <v>4.197</v>
      </c>
      <c r="H61" s="546" t="str">
        <f>CONCATENATE("",E1-1," Fund Mill Rate")</f>
        <v>2013 Fund Mill Rate</v>
      </c>
      <c r="I61" s="716"/>
      <c r="J61" s="726"/>
    </row>
    <row r="62" spans="7:10" ht="15">
      <c r="G62" s="729">
        <f>summ!H36</f>
        <v>32.568</v>
      </c>
      <c r="H62" s="546" t="str">
        <f>CONCATENATE("Total ",E1," Mill Rate")</f>
        <v>Total 2014 Mill Rate</v>
      </c>
      <c r="I62" s="716"/>
      <c r="J62" s="726"/>
    </row>
    <row r="63" spans="2:10" ht="15">
      <c r="B63" s="109"/>
      <c r="G63" s="728">
        <f>summ!E36</f>
        <v>32.97</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Fairview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v>46415</v>
      </c>
      <c r="D6" s="390">
        <f>C44</f>
        <v>44594</v>
      </c>
      <c r="E6" s="261">
        <f>D44</f>
        <v>23913</v>
      </c>
    </row>
    <row r="7" spans="2:5" ht="15">
      <c r="B7" s="80" t="s">
        <v>72</v>
      </c>
      <c r="C7" s="390"/>
      <c r="D7" s="390"/>
      <c r="E7" s="315"/>
    </row>
    <row r="8" spans="2:5" ht="15">
      <c r="B8" s="80" t="s">
        <v>279</v>
      </c>
      <c r="C8" s="313">
        <v>28479</v>
      </c>
      <c r="D8" s="390">
        <f>IF(inputPrYr!H19&gt;0,inputPrYr!G23,inputPrYr!E23)</f>
        <v>34678</v>
      </c>
      <c r="E8" s="315" t="s">
        <v>258</v>
      </c>
    </row>
    <row r="9" spans="2:5" ht="15">
      <c r="B9" s="80" t="s">
        <v>280</v>
      </c>
      <c r="C9" s="313">
        <v>1081</v>
      </c>
      <c r="D9" s="313"/>
      <c r="E9" s="171"/>
    </row>
    <row r="10" spans="2:5" ht="15">
      <c r="B10" s="80" t="s">
        <v>281</v>
      </c>
      <c r="C10" s="313">
        <v>1705</v>
      </c>
      <c r="D10" s="313">
        <v>2726</v>
      </c>
      <c r="E10" s="261">
        <f>mvalloc!G14</f>
        <v>2646</v>
      </c>
    </row>
    <row r="11" spans="2:5" ht="15">
      <c r="B11" s="80" t="s">
        <v>282</v>
      </c>
      <c r="C11" s="313">
        <v>25</v>
      </c>
      <c r="D11" s="313">
        <v>31</v>
      </c>
      <c r="E11" s="261">
        <f>mvalloc!I14</f>
        <v>41</v>
      </c>
    </row>
    <row r="12" spans="2:5" ht="15">
      <c r="B12" s="80" t="s">
        <v>51</v>
      </c>
      <c r="C12" s="313">
        <v>533</v>
      </c>
      <c r="D12" s="313">
        <v>391</v>
      </c>
      <c r="E12" s="261">
        <f>mvalloc!J14</f>
        <v>575</v>
      </c>
    </row>
    <row r="13" spans="2:5" ht="15">
      <c r="B13" s="80" t="s">
        <v>52</v>
      </c>
      <c r="C13" s="313">
        <v>3557</v>
      </c>
      <c r="D13" s="313">
        <v>3243</v>
      </c>
      <c r="E13" s="261">
        <f>inputOth!E72</f>
        <v>3159</v>
      </c>
    </row>
    <row r="14" spans="2:5" ht="15">
      <c r="B14" s="318"/>
      <c r="C14" s="313"/>
      <c r="D14" s="313"/>
      <c r="E14" s="171"/>
    </row>
    <row r="15" spans="2:5" ht="15">
      <c r="B15" s="318" t="s">
        <v>962</v>
      </c>
      <c r="C15" s="313">
        <v>15647</v>
      </c>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v>429</v>
      </c>
      <c r="D20" s="313">
        <v>500</v>
      </c>
      <c r="E20" s="171">
        <v>500</v>
      </c>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51456</v>
      </c>
      <c r="D23" s="393">
        <f>SUM(D8:D21)</f>
        <v>41569</v>
      </c>
      <c r="E23" s="322">
        <f>SUM(E8:E21)</f>
        <v>6921</v>
      </c>
    </row>
    <row r="24" spans="2:5" ht="15">
      <c r="B24" s="98" t="s">
        <v>287</v>
      </c>
      <c r="C24" s="393">
        <f>C23+C6</f>
        <v>97871</v>
      </c>
      <c r="D24" s="393">
        <f>D23+D6</f>
        <v>86163</v>
      </c>
      <c r="E24" s="322">
        <f>E23+E6</f>
        <v>30834</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v>4436</v>
      </c>
      <c r="D28" s="313">
        <v>6000</v>
      </c>
      <c r="E28" s="171">
        <v>6000</v>
      </c>
    </row>
    <row r="29" spans="2:5" ht="15">
      <c r="B29" s="317" t="s">
        <v>54</v>
      </c>
      <c r="C29" s="313"/>
      <c r="D29" s="313">
        <v>3000</v>
      </c>
      <c r="E29" s="171">
        <v>3000</v>
      </c>
    </row>
    <row r="30" spans="2:5" ht="15">
      <c r="B30" s="318" t="s">
        <v>79</v>
      </c>
      <c r="C30" s="313">
        <v>4724</v>
      </c>
      <c r="D30" s="313">
        <v>24000</v>
      </c>
      <c r="E30" s="171">
        <v>24000</v>
      </c>
    </row>
    <row r="31" spans="2:5" ht="15">
      <c r="B31" s="318" t="s">
        <v>57</v>
      </c>
      <c r="C31" s="313">
        <v>25351</v>
      </c>
      <c r="D31" s="313">
        <v>17250</v>
      </c>
      <c r="E31" s="171">
        <v>24450</v>
      </c>
    </row>
    <row r="32" spans="2:5" ht="15">
      <c r="B32" s="318" t="s">
        <v>55</v>
      </c>
      <c r="C32" s="313">
        <v>3203</v>
      </c>
      <c r="D32" s="313">
        <v>12000</v>
      </c>
      <c r="E32" s="171">
        <v>12000</v>
      </c>
    </row>
    <row r="33" spans="2:5" ht="15">
      <c r="B33" s="318" t="s">
        <v>246</v>
      </c>
      <c r="C33" s="313"/>
      <c r="D33" s="313"/>
      <c r="E33" s="171" t="s">
        <v>246</v>
      </c>
    </row>
    <row r="34" spans="2:10" ht="15">
      <c r="B34" s="318"/>
      <c r="C34" s="313"/>
      <c r="D34" s="313"/>
      <c r="E34" s="171"/>
      <c r="G34" s="825" t="str">
        <f>CONCATENATE("Desired Carryover Into ",E1+1,"")</f>
        <v>Desired Carryover Into 2015</v>
      </c>
      <c r="H34" s="826"/>
      <c r="I34" s="826"/>
      <c r="J34" s="827"/>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v>15563</v>
      </c>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
      <c r="B41" s="316" t="s">
        <v>231</v>
      </c>
      <c r="C41" s="313"/>
      <c r="D41" s="313"/>
      <c r="E41" s="171"/>
      <c r="G41" s="825" t="str">
        <f>CONCATENATE("Projected Carryover Into ",E1+1,"")</f>
        <v>Projected Carryover Into 2015</v>
      </c>
      <c r="H41" s="826"/>
      <c r="I41" s="826"/>
      <c r="J41" s="827"/>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53277</v>
      </c>
      <c r="D43" s="393">
        <f>SUM(D26:D41)</f>
        <v>62250</v>
      </c>
      <c r="E43" s="322">
        <f>SUM(E26:E38,E41)</f>
        <v>69450</v>
      </c>
      <c r="G43" s="545">
        <f>D44</f>
        <v>23913</v>
      </c>
      <c r="H43" s="546" t="str">
        <f>CONCATENATE("",E1-1," Ending Cash Balance (est.)")</f>
        <v>2013 Ending Cash Balance (est.)</v>
      </c>
      <c r="I43" s="547"/>
      <c r="J43" s="84"/>
    </row>
    <row r="44" spans="2:10" ht="15">
      <c r="B44" s="80" t="s">
        <v>71</v>
      </c>
      <c r="C44" s="394">
        <f>C24-C43</f>
        <v>44594</v>
      </c>
      <c r="D44" s="394">
        <f>D24-D43</f>
        <v>23913</v>
      </c>
      <c r="E44" s="315" t="s">
        <v>258</v>
      </c>
      <c r="G44" s="545">
        <f>E23</f>
        <v>6921</v>
      </c>
      <c r="H44" s="548" t="str">
        <f>CONCATENATE("",E1," Non-AV Receipts (est.)")</f>
        <v>2014 Non-AV Receipts (est.)</v>
      </c>
      <c r="I44" s="547"/>
      <c r="J44" s="84"/>
    </row>
    <row r="45" spans="2:11" ht="15">
      <c r="B45" s="117" t="str">
        <f>CONCATENATE("",$E$1-2,"/",$E$1-1," Budget Authority Amount:")</f>
        <v>2012/2013 Budget Authority Amount:</v>
      </c>
      <c r="C45" s="338">
        <f>inputOth!B86</f>
        <v>62250</v>
      </c>
      <c r="D45" s="83">
        <f>inputPrYr!D23</f>
        <v>62250</v>
      </c>
      <c r="E45" s="315" t="s">
        <v>258</v>
      </c>
      <c r="F45" s="324"/>
      <c r="G45" s="549">
        <f>IF(D49&gt;0,E48,E50)</f>
        <v>38616</v>
      </c>
      <c r="H45" s="548" t="str">
        <f>CONCATENATE("",E1," Ad Valorem Tax (est.)")</f>
        <v>2014 Ad Valorem Tax (est.)</v>
      </c>
      <c r="I45" s="547"/>
      <c r="J45" s="84"/>
      <c r="K45" s="724">
        <f>IF(G45=E50,"","Note: Does not include Delinquent Taxes")</f>
      </c>
    </row>
    <row r="46" spans="2:10" ht="15">
      <c r="B46" s="117"/>
      <c r="C46" s="819" t="s">
        <v>730</v>
      </c>
      <c r="D46" s="820"/>
      <c r="E46" s="171"/>
      <c r="F46" s="733">
        <f>IF(E43/0.95-E43&lt;E46,"Exceeds 5%","")</f>
      </c>
      <c r="G46" s="545">
        <f>SUM(G43:G45)</f>
        <v>69450</v>
      </c>
      <c r="H46" s="548" t="str">
        <f>CONCATENATE("Total ",E1," Resources Available")</f>
        <v>Total 2014 Resources Available</v>
      </c>
      <c r="I46" s="547"/>
      <c r="J46" s="84"/>
    </row>
    <row r="47" spans="2:10" ht="15">
      <c r="B47" s="499" t="str">
        <f>CONCATENATE(C72,"     ",D72)</f>
        <v>     </v>
      </c>
      <c r="C47" s="821" t="s">
        <v>731</v>
      </c>
      <c r="D47" s="822"/>
      <c r="E47" s="261">
        <f>E43+E46</f>
        <v>69450</v>
      </c>
      <c r="G47" s="550"/>
      <c r="H47" s="548"/>
      <c r="I47" s="548"/>
      <c r="J47" s="84"/>
    </row>
    <row r="48" spans="2:10" ht="15">
      <c r="B48" s="499" t="str">
        <f>CONCATENATE(C73,"     ",D73)</f>
        <v>     </v>
      </c>
      <c r="C48" s="502"/>
      <c r="D48" s="501" t="s">
        <v>291</v>
      </c>
      <c r="E48" s="182">
        <f>IF(E47-E24&gt;0,E47-E24,0)</f>
        <v>38616</v>
      </c>
      <c r="G48" s="549">
        <f>ROUND(C43*0.05+C43,0)</f>
        <v>55941</v>
      </c>
      <c r="H48" s="548" t="str">
        <f>CONCATENATE("Less ",E1-2," Expenditures + 5%")</f>
        <v>Less 2012 Expenditures + 5%</v>
      </c>
      <c r="I48" s="547"/>
      <c r="J48" s="84"/>
    </row>
    <row r="49" spans="2:10" ht="15">
      <c r="B49" s="211"/>
      <c r="C49" s="500" t="s">
        <v>732</v>
      </c>
      <c r="D49" s="717">
        <f>inputOth!$E$77</f>
        <v>0</v>
      </c>
      <c r="E49" s="261">
        <f>ROUND(IF(D49&gt;0,(E48*D49),0),0)</f>
        <v>0</v>
      </c>
      <c r="G49" s="551">
        <f>G46-G48</f>
        <v>13509</v>
      </c>
      <c r="H49" s="552" t="str">
        <f>CONCATENATE("Projected ",E1+1," Carryover (est.)")</f>
        <v>Projected 2015 Carryover (est.)</v>
      </c>
      <c r="I49" s="553"/>
      <c r="J49" s="554"/>
    </row>
    <row r="50" spans="2:5" ht="15">
      <c r="B50" s="65"/>
      <c r="C50" s="823" t="str">
        <f>CONCATENATE("Amount of  ",$E$1-1," Ad Valorem Tax")</f>
        <v>Amount of  2013 Ad Valorem Tax</v>
      </c>
      <c r="D50" s="824"/>
      <c r="E50" s="182">
        <f>E48+E49</f>
        <v>38616</v>
      </c>
    </row>
    <row r="51" spans="2:10" ht="15">
      <c r="B51" s="65"/>
      <c r="C51" s="65"/>
      <c r="D51" s="65"/>
      <c r="E51" s="65"/>
      <c r="G51" s="828" t="s">
        <v>870</v>
      </c>
      <c r="H51" s="829"/>
      <c r="I51" s="829"/>
      <c r="J51" s="830"/>
    </row>
    <row r="52" spans="2:10" ht="15">
      <c r="B52" s="65"/>
      <c r="C52" s="65"/>
      <c r="D52" s="65"/>
      <c r="E52" s="65"/>
      <c r="G52" s="725"/>
      <c r="H52" s="546"/>
      <c r="I52" s="716"/>
      <c r="J52" s="726"/>
    </row>
    <row r="53" spans="2:10" ht="15">
      <c r="B53" s="157" t="s">
        <v>293</v>
      </c>
      <c r="C53" s="205">
        <f>E1-2</f>
        <v>2012</v>
      </c>
      <c r="D53" s="65"/>
      <c r="E53" s="65"/>
      <c r="G53" s="727">
        <f>summ!H21</f>
        <v>26.265</v>
      </c>
      <c r="H53" s="546" t="str">
        <f>CONCATENATE("",E1," Fund Mill Rate")</f>
        <v>2014 Fund Mill Rate</v>
      </c>
      <c r="I53" s="716"/>
      <c r="J53" s="726"/>
    </row>
    <row r="54" spans="2:10" ht="15">
      <c r="B54" s="77" t="s">
        <v>294</v>
      </c>
      <c r="C54" s="79" t="s">
        <v>295</v>
      </c>
      <c r="D54" s="65"/>
      <c r="E54" s="65"/>
      <c r="G54" s="728">
        <f>summ!E21</f>
        <v>25.82</v>
      </c>
      <c r="H54" s="546" t="str">
        <f>CONCATENATE("",E1-1," Fund Mill Rate")</f>
        <v>2013 Fund Mill Rate</v>
      </c>
      <c r="I54" s="716"/>
      <c r="J54" s="726"/>
    </row>
    <row r="55" spans="2:10" ht="15">
      <c r="B55" s="105" t="s">
        <v>277</v>
      </c>
      <c r="C55" s="498">
        <v>114950</v>
      </c>
      <c r="D55" s="65"/>
      <c r="E55" s="65"/>
      <c r="G55" s="729">
        <f>summ!H36</f>
        <v>32.568</v>
      </c>
      <c r="H55" s="546" t="str">
        <f>CONCATENATE("Total ",E1," Mill Rate")</f>
        <v>Total 2014 Mill Rate</v>
      </c>
      <c r="I55" s="716"/>
      <c r="J55" s="726"/>
    </row>
    <row r="56" spans="2:10" ht="15">
      <c r="B56" s="105" t="s">
        <v>296</v>
      </c>
      <c r="C56" s="338"/>
      <c r="D56" s="65"/>
      <c r="E56" s="65"/>
      <c r="G56" s="728">
        <f>summ!E36</f>
        <v>32.97</v>
      </c>
      <c r="H56" s="730" t="str">
        <f>CONCATENATE("Total ",E1-1," Mill Rate")</f>
        <v>Total 2013 Mill Rate</v>
      </c>
      <c r="I56" s="731"/>
      <c r="J56" s="732"/>
    </row>
    <row r="57" spans="2:5" ht="15">
      <c r="B57" s="105" t="s">
        <v>297</v>
      </c>
      <c r="C57" s="493">
        <f>IF(C38&gt;0,C38,0)</f>
        <v>15563</v>
      </c>
      <c r="D57" s="329">
        <f>IF(C38&gt;(C24*0.25),"Exceeds 25% of Resources Available","")</f>
      </c>
      <c r="E57" s="65"/>
    </row>
    <row r="58" spans="2:9" ht="15">
      <c r="B58" s="105" t="s">
        <v>195</v>
      </c>
      <c r="C58" s="492">
        <f>IF(gen!C43&gt;0,gen!C43,0)</f>
        <v>0</v>
      </c>
      <c r="D58" s="831">
        <f>IF(AND(gen!C43&gt;0,gen!C45&gt;0),"Not Auth. Two General Transfers - Only One","")</f>
      </c>
      <c r="E58" s="65"/>
      <c r="G58" s="745" t="s">
        <v>947</v>
      </c>
      <c r="H58" s="744"/>
      <c r="I58" s="743" t="str">
        <f>cert!E41</f>
        <v>No</v>
      </c>
    </row>
    <row r="59" spans="2:5" ht="15">
      <c r="B59" s="105" t="s">
        <v>196</v>
      </c>
      <c r="C59" s="493">
        <f>IF(gen!C45&gt;0,gen!C45,0)</f>
        <v>5700</v>
      </c>
      <c r="D59" s="832"/>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136213</v>
      </c>
      <c r="D63" s="65"/>
      <c r="E63" s="65"/>
    </row>
    <row r="64" spans="2:5" ht="15">
      <c r="B64" s="330" t="s">
        <v>289</v>
      </c>
      <c r="C64" s="498"/>
      <c r="D64" s="65"/>
      <c r="E64" s="65"/>
    </row>
    <row r="65" spans="2:5" ht="15">
      <c r="B65" s="330" t="s">
        <v>290</v>
      </c>
      <c r="C65" s="491">
        <f>C63-C64</f>
        <v>136213</v>
      </c>
      <c r="D65" s="65"/>
      <c r="E65" s="65"/>
    </row>
    <row r="66" spans="2:5" ht="15">
      <c r="B66" s="65"/>
      <c r="C66" s="65"/>
      <c r="D66" s="65"/>
      <c r="E66" s="65"/>
    </row>
    <row r="67" spans="2:5" ht="15">
      <c r="B67" s="211" t="s">
        <v>272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0">
      <selection activeCell="E68" sqref="E6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Fairview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summ!H24</f>
        <v> </v>
      </c>
      <c r="H43" s="665" t="str">
        <f>CONCATENATE("",E1," Fund Mill Rate")</f>
        <v>2014 Fund Mill Rate</v>
      </c>
      <c r="I43" s="689"/>
      <c r="J43" s="690"/>
      <c r="K43" s="614"/>
    </row>
    <row r="44" spans="2:11" ht="15">
      <c r="B44" s="65"/>
      <c r="C44" s="388" t="s">
        <v>274</v>
      </c>
      <c r="D44" s="391" t="s">
        <v>275</v>
      </c>
      <c r="E44" s="74" t="s">
        <v>276</v>
      </c>
      <c r="G44" s="692" t="str">
        <f>summ!E24</f>
        <v>  </v>
      </c>
      <c r="H44" s="665" t="str">
        <f>CONCATENATE("",E1-1," Fund Mill Rate")</f>
        <v>2013 Fund Mill Rate</v>
      </c>
      <c r="I44" s="689"/>
      <c r="J44" s="690"/>
      <c r="K44" s="614"/>
    </row>
    <row r="45" spans="2:11" ht="15">
      <c r="B45" s="485" t="str">
        <f>inputPrYr!B27</f>
        <v>Cemetery</v>
      </c>
      <c r="C45" s="389" t="str">
        <f>C5</f>
        <v>Actual for 2012</v>
      </c>
      <c r="D45" s="389" t="str">
        <f>D5</f>
        <v>Estimate for 2013</v>
      </c>
      <c r="E45" s="79" t="str">
        <f>E5</f>
        <v>Year for 2014</v>
      </c>
      <c r="G45" s="694">
        <f>summ!H36</f>
        <v>32.568</v>
      </c>
      <c r="H45" s="665" t="str">
        <f>CONCATENATE("Total ",E1," Mill Rate")</f>
        <v>Total 2014 Mill Rate</v>
      </c>
      <c r="I45" s="689"/>
      <c r="J45" s="690"/>
      <c r="K45" s="614"/>
    </row>
    <row r="46" spans="2:11" ht="15">
      <c r="B46" s="80" t="s">
        <v>70</v>
      </c>
      <c r="C46" s="313">
        <v>5438</v>
      </c>
      <c r="D46" s="390">
        <f>C74</f>
        <v>6037</v>
      </c>
      <c r="E46" s="261">
        <f>D74</f>
        <v>4443</v>
      </c>
      <c r="G46" s="692">
        <f>summ!E36</f>
        <v>32.97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v>5791</v>
      </c>
      <c r="D48" s="390">
        <f>IF(inputPrYr!H19&gt;0,inputPrYr!G27,inputPrYr!E27)</f>
        <v>8271</v>
      </c>
      <c r="E48" s="315" t="s">
        <v>258</v>
      </c>
      <c r="G48" s="745" t="s">
        <v>947</v>
      </c>
      <c r="H48" s="744"/>
      <c r="I48" s="743" t="str">
        <f>cert!E41</f>
        <v>No</v>
      </c>
      <c r="J48" s="614"/>
      <c r="K48" s="614"/>
    </row>
    <row r="49" spans="2:11" ht="15">
      <c r="B49" s="80" t="s">
        <v>280</v>
      </c>
      <c r="C49" s="313">
        <v>288</v>
      </c>
      <c r="D49" s="313"/>
      <c r="E49" s="171"/>
      <c r="G49" s="614"/>
      <c r="H49" s="614"/>
      <c r="I49" s="614"/>
      <c r="J49" s="614"/>
      <c r="K49" s="614"/>
    </row>
    <row r="50" spans="2:11" ht="15">
      <c r="B50" s="80" t="s">
        <v>281</v>
      </c>
      <c r="C50" s="313">
        <v>1078</v>
      </c>
      <c r="D50" s="313">
        <v>550</v>
      </c>
      <c r="E50" s="261">
        <f>mvalloc!G18</f>
        <v>631</v>
      </c>
      <c r="G50" s="614"/>
      <c r="H50" s="614"/>
      <c r="I50" s="614"/>
      <c r="J50" s="614"/>
      <c r="K50" s="614"/>
    </row>
    <row r="51" spans="2:11" ht="15">
      <c r="B51" s="80" t="s">
        <v>282</v>
      </c>
      <c r="C51" s="313">
        <v>18</v>
      </c>
      <c r="D51" s="313">
        <v>6</v>
      </c>
      <c r="E51" s="261">
        <f>mvalloc!I18</f>
        <v>10</v>
      </c>
      <c r="G51" s="614"/>
      <c r="H51" s="614"/>
      <c r="I51" s="614"/>
      <c r="J51" s="614"/>
      <c r="K51" s="614"/>
    </row>
    <row r="52" spans="2:11" ht="15">
      <c r="B52" s="80" t="s">
        <v>51</v>
      </c>
      <c r="C52" s="313">
        <v>75</v>
      </c>
      <c r="D52" s="313">
        <v>79</v>
      </c>
      <c r="E52" s="261">
        <f>mvalloc!J18</f>
        <v>137</v>
      </c>
      <c r="G52" s="614"/>
      <c r="H52" s="614"/>
      <c r="I52" s="614"/>
      <c r="J52" s="614"/>
      <c r="K52" s="614"/>
    </row>
    <row r="53" spans="2:11" ht="15">
      <c r="B53" s="318" t="s">
        <v>963</v>
      </c>
      <c r="C53" s="313">
        <v>501</v>
      </c>
      <c r="D53" s="313"/>
      <c r="E53" s="171"/>
      <c r="G53" s="614"/>
      <c r="H53" s="614"/>
      <c r="I53" s="614"/>
      <c r="J53" s="614"/>
      <c r="K53" s="614"/>
    </row>
    <row r="54" spans="2:11" ht="15">
      <c r="B54" s="318" t="s">
        <v>964</v>
      </c>
      <c r="C54" s="313">
        <v>300</v>
      </c>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v>41</v>
      </c>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8092</v>
      </c>
      <c r="D60" s="393">
        <f>SUM(D48:D58)</f>
        <v>8906</v>
      </c>
      <c r="E60" s="322">
        <f>SUM(E48:E58)</f>
        <v>778</v>
      </c>
      <c r="G60" s="614"/>
      <c r="H60" s="614"/>
      <c r="I60" s="614"/>
      <c r="J60" s="614"/>
      <c r="K60" s="614"/>
    </row>
    <row r="61" spans="2:11" ht="15">
      <c r="B61" s="98" t="s">
        <v>287</v>
      </c>
      <c r="C61" s="393">
        <f>C60+C46</f>
        <v>13530</v>
      </c>
      <c r="D61" s="393">
        <f>D60+D46</f>
        <v>14943</v>
      </c>
      <c r="E61" s="322">
        <f>E60+E46</f>
        <v>5221</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t="s">
        <v>77</v>
      </c>
      <c r="C64" s="313">
        <v>600</v>
      </c>
      <c r="D64" s="313">
        <v>4500</v>
      </c>
      <c r="E64" s="171">
        <v>4500</v>
      </c>
      <c r="G64" s="833" t="str">
        <f>CONCATENATE("Desired Carryover Into ",E1+1,"")</f>
        <v>Desired Carryover Into 2015</v>
      </c>
      <c r="H64" s="834"/>
      <c r="I64" s="834"/>
      <c r="J64" s="835"/>
      <c r="K64" s="614"/>
    </row>
    <row r="65" spans="2:11" ht="15">
      <c r="B65" s="318" t="s">
        <v>55</v>
      </c>
      <c r="C65" s="313">
        <v>116</v>
      </c>
      <c r="D65" s="313"/>
      <c r="E65" s="171"/>
      <c r="G65" s="646"/>
      <c r="H65" s="647"/>
      <c r="I65" s="648"/>
      <c r="J65" s="649"/>
      <c r="K65" s="614"/>
    </row>
    <row r="66" spans="2:11" ht="15">
      <c r="B66" s="318" t="s">
        <v>965</v>
      </c>
      <c r="C66" s="313">
        <v>2267</v>
      </c>
      <c r="D66" s="313">
        <v>2800</v>
      </c>
      <c r="E66" s="171">
        <v>2800</v>
      </c>
      <c r="G66" s="650" t="s">
        <v>736</v>
      </c>
      <c r="H66" s="648"/>
      <c r="I66" s="648"/>
      <c r="J66" s="651">
        <v>0</v>
      </c>
      <c r="K66" s="614"/>
    </row>
    <row r="67" spans="2:11" ht="15">
      <c r="B67" s="318" t="s">
        <v>967</v>
      </c>
      <c r="C67" s="313">
        <v>4510</v>
      </c>
      <c r="D67" s="313">
        <v>3200</v>
      </c>
      <c r="E67" s="171">
        <v>3200</v>
      </c>
      <c r="G67" s="646" t="s">
        <v>737</v>
      </c>
      <c r="H67" s="647"/>
      <c r="I67" s="647"/>
      <c r="J67" s="652">
        <f>IF(J66=0,"",ROUND((J66+E80-G79)/inputOth!E11*1000,3)-G84)</f>
      </c>
      <c r="K67" s="614"/>
    </row>
    <row r="68" spans="2:11" ht="15">
      <c r="B68" s="318" t="s">
        <v>966</v>
      </c>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7493</v>
      </c>
      <c r="D73" s="393">
        <f>SUM(D63:D71)</f>
        <v>10500</v>
      </c>
      <c r="E73" s="322">
        <f>SUM(E63:E71)</f>
        <v>10500</v>
      </c>
      <c r="G73" s="664">
        <f>D74</f>
        <v>4443</v>
      </c>
      <c r="H73" s="665" t="str">
        <f>CONCATENATE("",E1-1," Ending Cash Balance (est.)")</f>
        <v>2013 Ending Cash Balance (est.)</v>
      </c>
      <c r="I73" s="666"/>
      <c r="J73" s="701"/>
      <c r="K73" s="614"/>
    </row>
    <row r="74" spans="2:11" ht="15">
      <c r="B74" s="80" t="s">
        <v>71</v>
      </c>
      <c r="C74" s="394">
        <f>C61-C73</f>
        <v>6037</v>
      </c>
      <c r="D74" s="394">
        <f>D61-D73</f>
        <v>4443</v>
      </c>
      <c r="E74" s="315" t="s">
        <v>258</v>
      </c>
      <c r="G74" s="664">
        <f>E60</f>
        <v>778</v>
      </c>
      <c r="H74" s="648" t="str">
        <f>CONCATENATE("",E1," Non-AV Receipts (est.)")</f>
        <v>2014 Non-AV Receipts (est.)</v>
      </c>
      <c r="I74" s="666"/>
      <c r="J74" s="701"/>
      <c r="K74" s="614"/>
    </row>
    <row r="75" spans="2:11" ht="15">
      <c r="B75" s="117" t="str">
        <f>CONCATENATE("",$E$1-2,"/",$E$1-1," Budget Authority Amount:")</f>
        <v>2012/2013 Budget Authority Amount:</v>
      </c>
      <c r="C75" s="338">
        <f>inputOth!$B90</f>
        <v>10500</v>
      </c>
      <c r="D75" s="83">
        <f>inputPrYr!$D27</f>
        <v>10500</v>
      </c>
      <c r="E75" s="315" t="s">
        <v>258</v>
      </c>
      <c r="F75" s="324"/>
      <c r="G75" s="673">
        <f>IF(E79&gt;0,E78,E80)</f>
        <v>5279</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664">
        <f>SUM(G73:G75)</f>
        <v>10500</v>
      </c>
      <c r="H76" s="648" t="str">
        <f>CONCATENATE("Total ",E1," Resources Available")</f>
        <v>Total 2014 Resources Available</v>
      </c>
      <c r="I76" s="704"/>
      <c r="J76" s="701"/>
      <c r="K76" s="614"/>
    </row>
    <row r="77" spans="2:11" ht="15">
      <c r="B77" s="499" t="str">
        <f>CONCATENATE(C87,"     ",D87)</f>
        <v>     </v>
      </c>
      <c r="C77" s="821" t="s">
        <v>731</v>
      </c>
      <c r="D77" s="822"/>
      <c r="E77" s="261">
        <f>E73+E76</f>
        <v>10500</v>
      </c>
      <c r="G77" s="705"/>
      <c r="H77" s="706"/>
      <c r="I77" s="647"/>
      <c r="J77" s="701"/>
      <c r="K77" s="614"/>
    </row>
    <row r="78" spans="2:11" ht="15">
      <c r="B78" s="499" t="str">
        <f>CONCATENATE(C88,"     ",D88)</f>
        <v>     </v>
      </c>
      <c r="C78" s="502"/>
      <c r="D78" s="501" t="s">
        <v>291</v>
      </c>
      <c r="E78" s="182">
        <f>IF(E77-E61&gt;0,E77-E61,0)</f>
        <v>5279</v>
      </c>
      <c r="G78" s="673">
        <f>ROUND(C73*0.05+C73,0)</f>
        <v>7868</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2632</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5279</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f>summ!H25</f>
        <v>1.696</v>
      </c>
      <c r="H83" s="665" t="str">
        <f>CONCATENATE("",E1," Fund Mill Rate")</f>
        <v>2014 Fund Mill Rate</v>
      </c>
      <c r="I83" s="689"/>
      <c r="J83" s="690"/>
      <c r="K83" s="614"/>
    </row>
    <row r="84" spans="7:11" ht="15">
      <c r="G84" s="692">
        <f>summ!E25</f>
        <v>2.953</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32.568</v>
      </c>
      <c r="H89" s="665" t="str">
        <f>CONCATENATE("Total ",E1," Mill Rate")</f>
        <v>Total 2014 Mill Rate</v>
      </c>
      <c r="I89" s="689"/>
      <c r="J89" s="690"/>
    </row>
    <row r="90" spans="7:10" ht="15">
      <c r="G90" s="692">
        <f>summ!E36</f>
        <v>32.97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C7" sqref="C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Fairview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t="str">
        <f>inputPrYr!B35</f>
        <v>Cemetery Spec Machine</v>
      </c>
      <c r="C5" s="79" t="str">
        <f>gen!C5</f>
        <v>Actual for 2012</v>
      </c>
      <c r="D5" s="79" t="str">
        <f>gen!D5</f>
        <v>Estimate for 2013</v>
      </c>
      <c r="E5" s="79" t="str">
        <f>gen!E5</f>
        <v>Year for 2014</v>
      </c>
    </row>
    <row r="6" spans="2:5" ht="15">
      <c r="B6" s="335" t="s">
        <v>96</v>
      </c>
      <c r="C6" s="171">
        <v>4500</v>
      </c>
      <c r="D6" s="261">
        <f>C29</f>
        <v>4500</v>
      </c>
      <c r="E6" s="261">
        <f>D29</f>
        <v>4500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4500</v>
      </c>
      <c r="D16" s="331">
        <f>D6+D15</f>
        <v>4500</v>
      </c>
      <c r="E16" s="331">
        <f>E6+E15</f>
        <v>4500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4500</v>
      </c>
      <c r="D29" s="182">
        <f>D16-D28</f>
        <v>4500</v>
      </c>
      <c r="E29" s="182">
        <f>E16-E28</f>
        <v>4500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Fairview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summ!H26</f>
        <v> </v>
      </c>
      <c r="H43" s="665" t="str">
        <f>CONCATENATE("",E1," Fund Mill Rate")</f>
        <v>2014 Fund Mill Rate</v>
      </c>
      <c r="I43" s="689"/>
      <c r="J43" s="690"/>
      <c r="K43" s="614"/>
    </row>
    <row r="44" spans="2:11" ht="15">
      <c r="B44" s="65"/>
      <c r="C44" s="388" t="s">
        <v>274</v>
      </c>
      <c r="D44" s="391" t="s">
        <v>275</v>
      </c>
      <c r="E44" s="74" t="s">
        <v>276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32.568</v>
      </c>
      <c r="H45" s="665" t="str">
        <f>CONCATENATE("Total ",E1," Mill Rate")</f>
        <v>Total 2014 Mill Rate</v>
      </c>
      <c r="I45" s="689"/>
      <c r="J45" s="690"/>
      <c r="K45" s="614"/>
    </row>
    <row r="46" spans="2:11" ht="15">
      <c r="B46" s="80" t="s">
        <v>70</v>
      </c>
      <c r="C46" s="313"/>
      <c r="D46" s="390">
        <f>C74</f>
        <v>0</v>
      </c>
      <c r="E46" s="261">
        <f>D74</f>
        <v>0</v>
      </c>
      <c r="G46" s="692">
        <f>summ!E36</f>
        <v>32.97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1" t="s">
        <v>731</v>
      </c>
      <c r="D77" s="822"/>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32.568</v>
      </c>
      <c r="H89" s="665" t="str">
        <f>CONCATENATE("Total ",E1," Mill Rate")</f>
        <v>Total 2014 Mill Rate</v>
      </c>
      <c r="I89" s="689"/>
      <c r="J89" s="690"/>
    </row>
    <row r="90" spans="7:10" ht="15">
      <c r="G90" s="692">
        <f>summ!E36</f>
        <v>32.97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Fairview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summ!H28</f>
        <v> </v>
      </c>
      <c r="H43" s="665" t="str">
        <f>CONCATENATE("",E1," Fund Mill Rate")</f>
        <v>2014 Fund Mill Rate</v>
      </c>
      <c r="I43" s="689"/>
      <c r="J43" s="690"/>
      <c r="K43" s="614"/>
    </row>
    <row r="44" spans="2:11" ht="15">
      <c r="B44" s="65"/>
      <c r="C44" s="388" t="s">
        <v>274</v>
      </c>
      <c r="D44" s="391" t="s">
        <v>275</v>
      </c>
      <c r="E44" s="74" t="s">
        <v>276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32.568</v>
      </c>
      <c r="H45" s="665" t="str">
        <f>CONCATENATE("Total ",E1," Mill Rate")</f>
        <v>Total 2014 Mill Rate</v>
      </c>
      <c r="I45" s="689"/>
      <c r="J45" s="690"/>
      <c r="K45" s="614"/>
    </row>
    <row r="46" spans="2:11" ht="15">
      <c r="B46" s="80" t="s">
        <v>70</v>
      </c>
      <c r="C46" s="313"/>
      <c r="D46" s="390">
        <f>C74</f>
        <v>0</v>
      </c>
      <c r="E46" s="261">
        <f>D74</f>
        <v>0</v>
      </c>
      <c r="G46" s="692">
        <f>summ!E36</f>
        <v>32.97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1" t="s">
        <v>731</v>
      </c>
      <c r="D77" s="822"/>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32.568</v>
      </c>
      <c r="H89" s="665" t="str">
        <f>CONCATENATE("Total ",E1," Mill Rate")</f>
        <v>Total 2014 Mill Rate</v>
      </c>
      <c r="I89" s="689"/>
      <c r="J89" s="690"/>
    </row>
    <row r="90" spans="7:10" ht="15">
      <c r="G90" s="692">
        <f>summ!E36</f>
        <v>32.97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Fairview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Fairview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2">
        <f>inputPrYr!B41</f>
        <v>0</v>
      </c>
      <c r="B5" s="843"/>
      <c r="C5" s="842">
        <f>inputPrYr!B42</f>
        <v>0</v>
      </c>
      <c r="D5" s="843"/>
      <c r="E5" s="842">
        <f>inputPrYr!B43</f>
        <v>0</v>
      </c>
      <c r="F5" s="843"/>
      <c r="G5" s="844">
        <f>inputPrYr!B44</f>
        <v>0</v>
      </c>
      <c r="H5" s="843"/>
      <c r="I5" s="844">
        <f>inputPrYr!B45</f>
        <v>0</v>
      </c>
      <c r="J5" s="843"/>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8.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
      <c r="A3" s="358"/>
    </row>
    <row r="4" ht="58.5" customHeight="1">
      <c r="A4" s="217" t="s">
        <v>358</v>
      </c>
    </row>
    <row r="5" ht="15">
      <c r="A5" s="113"/>
    </row>
    <row r="6" ht="55.5" customHeight="1">
      <c r="A6" s="217" t="s">
        <v>359</v>
      </c>
    </row>
    <row r="7" ht="15">
      <c r="A7" s="358"/>
    </row>
    <row r="8" ht="42.75" customHeight="1">
      <c r="A8" s="217" t="s">
        <v>360</v>
      </c>
    </row>
    <row r="9" ht="15">
      <c r="A9" s="113"/>
    </row>
    <row r="10" ht="30.75">
      <c r="A10" s="217" t="s">
        <v>361</v>
      </c>
    </row>
    <row r="11" ht="15">
      <c r="A11" s="358"/>
    </row>
    <row r="12" ht="69.75" customHeight="1">
      <c r="A12" s="217" t="s">
        <v>362</v>
      </c>
    </row>
    <row r="13" ht="15">
      <c r="A13" s="358"/>
    </row>
    <row r="14" ht="40.5" customHeight="1">
      <c r="A14" s="217" t="s">
        <v>363</v>
      </c>
    </row>
    <row r="15" ht="15">
      <c r="A15" s="113"/>
    </row>
    <row r="16" ht="56.25" customHeight="1">
      <c r="A16" s="217" t="s">
        <v>364</v>
      </c>
    </row>
    <row r="17" ht="15">
      <c r="A17" s="358"/>
    </row>
    <row r="18" ht="54.75" customHeight="1">
      <c r="A18" s="217" t="s">
        <v>365</v>
      </c>
    </row>
    <row r="19" ht="15">
      <c r="A19" s="358"/>
    </row>
    <row r="20" ht="55.5" customHeight="1">
      <c r="A20" s="217" t="s">
        <v>366</v>
      </c>
    </row>
    <row r="21" ht="1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Fairview Township</v>
      </c>
      <c r="B1" s="65"/>
      <c r="C1" s="65"/>
      <c r="D1" s="65"/>
      <c r="E1" s="65"/>
      <c r="F1" s="65">
        <f>inputPrYr!D9</f>
        <v>2014</v>
      </c>
    </row>
    <row r="2" spans="1:6" ht="15">
      <c r="A2" s="65"/>
      <c r="B2" s="65"/>
      <c r="C2" s="65"/>
      <c r="D2" s="65"/>
      <c r="E2" s="65"/>
      <c r="F2" s="65"/>
    </row>
    <row r="3" spans="1:6" ht="15">
      <c r="A3" s="65"/>
      <c r="B3" s="783" t="str">
        <f>CONCATENATE("",F1," Neighborhood Revitalization Rebate")</f>
        <v>2014 Neighborhood Revitalization Rebate</v>
      </c>
      <c r="C3" s="791"/>
      <c r="D3" s="791"/>
      <c r="E3" s="791"/>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t="str">
        <f>IF(inputPrYr!B27&gt;0,inputPrYr!B27,"")</f>
        <v>Cemetery</v>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230</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47" t="str">
        <f>CONCATENATE("",F1-1," July 1 Valuation:")</f>
        <v>2013 July 1 Valuation:</v>
      </c>
      <c r="B21" s="846"/>
      <c r="C21" s="847"/>
      <c r="D21" s="347">
        <f>inputOth!E11</f>
        <v>3112497</v>
      </c>
      <c r="E21" s="65"/>
      <c r="F21" s="192"/>
    </row>
    <row r="22" spans="1:6" ht="15">
      <c r="A22" s="65"/>
      <c r="B22" s="65"/>
      <c r="C22" s="65"/>
      <c r="D22" s="65"/>
      <c r="E22" s="65"/>
      <c r="F22" s="192"/>
    </row>
    <row r="23" spans="1:6" ht="15">
      <c r="A23" s="65"/>
      <c r="B23" s="847" t="s">
        <v>378</v>
      </c>
      <c r="C23" s="847"/>
      <c r="D23" s="348">
        <f>IF(D21&gt;0,(D21*0.001),"")</f>
        <v>3112.497</v>
      </c>
      <c r="E23" s="65"/>
      <c r="F23" s="192"/>
    </row>
    <row r="24" spans="1:6" ht="15">
      <c r="A24" s="65"/>
      <c r="B24" s="117"/>
      <c r="C24" s="117"/>
      <c r="D24" s="349"/>
      <c r="E24" s="65"/>
      <c r="F24" s="192"/>
    </row>
    <row r="25" spans="1:6" ht="15">
      <c r="A25" s="845" t="s">
        <v>379</v>
      </c>
      <c r="B25" s="779"/>
      <c r="C25" s="779"/>
      <c r="D25" s="350">
        <f>inputOth!E33</f>
        <v>0</v>
      </c>
      <c r="E25" s="179"/>
      <c r="F25" s="179"/>
    </row>
    <row r="26" spans="1:6" ht="15">
      <c r="A26" s="179"/>
      <c r="B26" s="179"/>
      <c r="C26" s="179"/>
      <c r="D26" s="351"/>
      <c r="E26" s="179"/>
      <c r="F26" s="179"/>
    </row>
    <row r="27" spans="1:6" ht="15">
      <c r="A27" s="179"/>
      <c r="B27" s="845" t="s">
        <v>380</v>
      </c>
      <c r="C27" s="846"/>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7">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956</v>
      </c>
      <c r="E3" s="71"/>
    </row>
    <row r="4" spans="1:5" ht="15">
      <c r="A4" s="157" t="s">
        <v>227</v>
      </c>
      <c r="B4" s="65"/>
      <c r="C4" s="65"/>
      <c r="D4" s="158" t="s">
        <v>957</v>
      </c>
      <c r="E4" s="71"/>
    </row>
    <row r="5" spans="1:5" ht="15">
      <c r="A5" s="65"/>
      <c r="B5" s="65"/>
      <c r="C5" s="65"/>
      <c r="D5" s="65"/>
      <c r="E5" s="65"/>
    </row>
    <row r="6" spans="1:5" ht="15">
      <c r="A6" s="159" t="s">
        <v>149</v>
      </c>
      <c r="B6" s="65"/>
      <c r="C6" s="65"/>
      <c r="D6" s="110" t="s">
        <v>958</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22925</v>
      </c>
      <c r="E20" s="171">
        <v>11756</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v>62250</v>
      </c>
      <c r="E23" s="171">
        <v>34678</v>
      </c>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t="s">
        <v>959</v>
      </c>
      <c r="C27" s="483" t="s">
        <v>960</v>
      </c>
      <c r="D27" s="171">
        <v>10500</v>
      </c>
      <c r="E27" s="171">
        <v>8271</v>
      </c>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54705</v>
      </c>
    </row>
    <row r="33" spans="1:5" ht="15">
      <c r="A33" s="71"/>
      <c r="B33" s="71"/>
      <c r="C33" s="71"/>
      <c r="D33" s="178"/>
      <c r="E33" s="179"/>
    </row>
    <row r="34" spans="1:5" ht="15">
      <c r="A34" s="65" t="s">
        <v>94</v>
      </c>
      <c r="B34" s="65"/>
      <c r="C34" s="65"/>
      <c r="D34" s="65"/>
      <c r="E34" s="65"/>
    </row>
    <row r="35" spans="1:5" ht="15">
      <c r="A35" s="65"/>
      <c r="B35" s="180" t="s">
        <v>961</v>
      </c>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95675</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7.64</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23.247</v>
      </c>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t="str">
        <f t="shared" si="0"/>
        <v>Cemetery</v>
      </c>
      <c r="C56" s="65"/>
      <c r="D56" s="185">
        <v>2.119</v>
      </c>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33.006</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57176</v>
      </c>
    </row>
    <row r="64" spans="1:5" ht="15">
      <c r="A64" s="188" t="str">
        <f>CONCATENATE("Assessed Valuation (",D9-2," budget column):")</f>
        <v>Assessed Valuation (2012 budget column):</v>
      </c>
      <c r="B64" s="164"/>
      <c r="C64" s="65"/>
      <c r="D64" s="65"/>
      <c r="E64" s="189">
        <v>2820066</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48" t="s">
        <v>81</v>
      </c>
      <c r="B1" s="848"/>
      <c r="C1" s="848"/>
      <c r="D1" s="848"/>
      <c r="E1" s="848"/>
      <c r="F1" s="848"/>
      <c r="G1" s="848"/>
    </row>
    <row r="2" ht="15">
      <c r="A2" s="21"/>
    </row>
    <row r="3" spans="1:7" ht="15">
      <c r="A3" s="849" t="s">
        <v>82</v>
      </c>
      <c r="B3" s="849"/>
      <c r="C3" s="849"/>
      <c r="D3" s="849"/>
      <c r="E3" s="849"/>
      <c r="F3" s="849"/>
      <c r="G3" s="849"/>
    </row>
    <row r="4" ht="15">
      <c r="A4" s="22"/>
    </row>
    <row r="5" ht="15">
      <c r="A5" s="22"/>
    </row>
    <row r="6" spans="1:9" ht="15">
      <c r="A6" s="28" t="str">
        <f>CONCATENATE("A resolution expressing the property taxation policy of the Board of ",(inputPrYr!D3)," ")</f>
        <v>A resolution expressing the property taxation policy of the Board of Fairview Township </v>
      </c>
      <c r="I6">
        <f>CONCATENATE(I7)</f>
      </c>
    </row>
    <row r="7" spans="1:7" ht="15">
      <c r="A7" s="850" t="str">
        <f>CONCATENATE("   with respect to financing the ",inputPrYr!D9," annual budget for ",(inputPrYr!D3)," , ",(inputPrYr!D4)," , Kansas.")</f>
        <v>   with respect to financing the 2014 annual budget for Fairview Township , Russell County , Kansas.</v>
      </c>
      <c r="B7" s="760"/>
      <c r="C7" s="760"/>
      <c r="D7" s="760"/>
      <c r="E7" s="760"/>
      <c r="F7" s="760"/>
      <c r="G7" s="760"/>
    </row>
    <row r="8" spans="1:7" ht="15">
      <c r="A8" s="760"/>
      <c r="B8" s="760"/>
      <c r="C8" s="760"/>
      <c r="D8" s="760"/>
      <c r="E8" s="760"/>
      <c r="F8" s="760"/>
      <c r="G8" s="760"/>
    </row>
    <row r="9" ht="15">
      <c r="A9" s="21"/>
    </row>
    <row r="10" ht="15">
      <c r="A10" s="29" t="s">
        <v>83</v>
      </c>
    </row>
    <row r="11" ht="15">
      <c r="A11" s="27" t="str">
        <f>CONCATENATE("to finance the ",inputPrYr!D9," ",(inputPrYr!D3)," budget exceed the amount levied to finance the ",inputPrYr!D9-1,"")</f>
        <v>to finance the 2014 Fairview Township budget exceed the amount levied to finance the 2013</v>
      </c>
    </row>
    <row r="12" spans="1:7" ht="15">
      <c r="A12" s="853" t="str">
        <f>CONCATENATE((inputPrYr!D3)," Township budget, except with regard to revenue produced and attributable to the taxation of 1) new improvements to real property; 2) increased personal property valuation, other than increased")</f>
        <v>Fairview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
      <c r="A13" s="760"/>
      <c r="B13" s="760"/>
      <c r="C13" s="760"/>
      <c r="D13" s="760"/>
      <c r="E13" s="760"/>
      <c r="F13" s="760"/>
      <c r="G13" s="760"/>
    </row>
    <row r="14" spans="1:7" ht="15">
      <c r="A14" s="853" t="s">
        <v>88</v>
      </c>
      <c r="B14" s="760"/>
      <c r="C14" s="760"/>
      <c r="D14" s="760"/>
      <c r="E14" s="760"/>
      <c r="F14" s="760"/>
      <c r="G14" s="760"/>
    </row>
    <row r="15" spans="1:7" ht="15">
      <c r="A15" s="760"/>
      <c r="B15" s="760"/>
      <c r="C15" s="760"/>
      <c r="D15" s="760"/>
      <c r="E15" s="760"/>
      <c r="F15" s="760"/>
      <c r="G15" s="760"/>
    </row>
    <row r="16" spans="1:7" ht="15">
      <c r="A16" s="854"/>
      <c r="B16" s="854"/>
      <c r="C16" s="854"/>
      <c r="D16" s="854"/>
      <c r="E16" s="854"/>
      <c r="F16" s="854"/>
      <c r="G16" s="854"/>
    </row>
    <row r="17" ht="15">
      <c r="A17" s="22"/>
    </row>
    <row r="18" spans="1:7" ht="15">
      <c r="A18" s="851" t="s">
        <v>84</v>
      </c>
      <c r="B18" s="760"/>
      <c r="C18" s="760"/>
      <c r="D18" s="760"/>
      <c r="E18" s="760"/>
      <c r="F18" s="760"/>
      <c r="G18" s="760"/>
    </row>
    <row r="19" spans="1:7" ht="15">
      <c r="A19" s="760"/>
      <c r="B19" s="760"/>
      <c r="C19" s="760"/>
      <c r="D19" s="760"/>
      <c r="E19" s="760"/>
      <c r="F19" s="760"/>
      <c r="G19" s="760"/>
    </row>
    <row r="20" ht="15">
      <c r="A20" s="22"/>
    </row>
    <row r="21" spans="1:7" ht="15">
      <c r="A21" s="851" t="str">
        <f>CONCATENATE("Whereas, ",(inputPrYr!D3)," provides essential services to protect the safety and well being of the citizens of the township; and")</f>
        <v>Whereas, Fairview Township provides essential services to protect the safety and well being of the citizens of the township; and</v>
      </c>
      <c r="B21" s="760"/>
      <c r="C21" s="760"/>
      <c r="D21" s="760"/>
      <c r="E21" s="760"/>
      <c r="F21" s="760"/>
      <c r="G21" s="760"/>
    </row>
    <row r="22" spans="1:7" ht="15">
      <c r="A22" s="760"/>
      <c r="B22" s="760"/>
      <c r="C22" s="760"/>
      <c r="D22" s="760"/>
      <c r="E22" s="760"/>
      <c r="F22" s="760"/>
      <c r="G22" s="760"/>
    </row>
    <row r="23" ht="15">
      <c r="A23" s="24"/>
    </row>
    <row r="24" ht="15">
      <c r="A24" s="23" t="s">
        <v>85</v>
      </c>
    </row>
    <row r="25" ht="15">
      <c r="A25" s="24"/>
    </row>
    <row r="26" spans="1:7" ht="15">
      <c r="A26" s="851" t="str">
        <f>CONCATENATE("NOW, THEREFORE, BE IT RESOLVED by the Board of ",(inputPrYr!D3)," of ",(inputPrYr!D4),", Kansas that is our desire to notify the public of increased property taxes to finance the ",inputPrYr!D9," ",(inputPrYr!D3),"  budget as defined above.")</f>
        <v>NOW, THEREFORE, BE IT RESOLVED by the Board of Fairview Township of Russell County, Kansas that is our desire to notify the public of increased property taxes to finance the 2014 Fairview Township  budget as defined above.</v>
      </c>
      <c r="B26" s="760"/>
      <c r="C26" s="760"/>
      <c r="D26" s="760"/>
      <c r="E26" s="760"/>
      <c r="F26" s="760"/>
      <c r="G26" s="760"/>
    </row>
    <row r="27" spans="1:7" ht="15">
      <c r="A27" s="760"/>
      <c r="B27" s="760"/>
      <c r="C27" s="760"/>
      <c r="D27" s="760"/>
      <c r="E27" s="760"/>
      <c r="F27" s="760"/>
      <c r="G27" s="760"/>
    </row>
    <row r="28" spans="1:7" ht="15">
      <c r="A28" s="760"/>
      <c r="B28" s="760"/>
      <c r="C28" s="760"/>
      <c r="D28" s="760"/>
      <c r="E28" s="760"/>
      <c r="F28" s="760"/>
      <c r="G28" s="760"/>
    </row>
    <row r="29" ht="15">
      <c r="A29" s="24"/>
    </row>
    <row r="30" spans="1:7" ht="15">
      <c r="A30" s="856" t="str">
        <f>CONCATENATE("Adopted this _________ day of ___________, ",inputPrYr!D9-1," by the ",(inputPrYr!D3)," Board, ",(inputPrYr!D4),", Kansas.")</f>
        <v>Adopted this _________ day of ___________, 2013 by the Fairview Township Board, Russell County, Kansas.</v>
      </c>
      <c r="B30" s="760"/>
      <c r="C30" s="760"/>
      <c r="D30" s="760"/>
      <c r="E30" s="760"/>
      <c r="F30" s="760"/>
      <c r="G30" s="760"/>
    </row>
    <row r="31" spans="1:7" ht="15">
      <c r="A31" s="760"/>
      <c r="B31" s="760"/>
      <c r="C31" s="760"/>
      <c r="D31" s="760"/>
      <c r="E31" s="760"/>
      <c r="F31" s="760"/>
      <c r="G31" s="760"/>
    </row>
    <row r="32" ht="15">
      <c r="A32" s="24"/>
    </row>
    <row r="33" spans="4:7" ht="15">
      <c r="D33" s="852" t="str">
        <f>CONCATENATE((inputPrYr!D3)," Board")</f>
        <v>Fairview Township Board</v>
      </c>
      <c r="E33" s="852"/>
      <c r="F33" s="852"/>
      <c r="G33" s="852"/>
    </row>
    <row r="35" spans="4:7" ht="15">
      <c r="D35" s="855" t="s">
        <v>86</v>
      </c>
      <c r="E35" s="855"/>
      <c r="F35" s="855"/>
      <c r="G35" s="855"/>
    </row>
    <row r="36" spans="1:7" ht="15">
      <c r="A36" s="25"/>
      <c r="D36" s="855" t="s">
        <v>90</v>
      </c>
      <c r="E36" s="855"/>
      <c r="F36" s="855"/>
      <c r="G36" s="855"/>
    </row>
    <row r="37" spans="4:7" ht="15">
      <c r="D37" s="855"/>
      <c r="E37" s="855"/>
      <c r="F37" s="855"/>
      <c r="G37" s="855"/>
    </row>
    <row r="38" spans="4:7" ht="15">
      <c r="D38" s="855" t="s">
        <v>86</v>
      </c>
      <c r="E38" s="855"/>
      <c r="F38" s="855"/>
      <c r="G38" s="855"/>
    </row>
    <row r="39" spans="1:7" ht="15">
      <c r="A39" s="24"/>
      <c r="D39" s="855" t="s">
        <v>91</v>
      </c>
      <c r="E39" s="855"/>
      <c r="F39" s="855"/>
      <c r="G39" s="855"/>
    </row>
    <row r="40" spans="4:7" ht="15">
      <c r="D40" s="855"/>
      <c r="E40" s="855"/>
      <c r="F40" s="855"/>
      <c r="G40" s="855"/>
    </row>
    <row r="41" spans="4:7" ht="15">
      <c r="D41" s="855" t="s">
        <v>89</v>
      </c>
      <c r="E41" s="855"/>
      <c r="F41" s="855"/>
      <c r="G41" s="855"/>
    </row>
    <row r="42" spans="1:7" ht="15">
      <c r="A42" s="24"/>
      <c r="D42" s="855" t="s">
        <v>92</v>
      </c>
      <c r="E42" s="855"/>
      <c r="F42" s="855"/>
      <c r="G42" s="855"/>
    </row>
    <row r="43" ht="15">
      <c r="A43" s="26"/>
    </row>
    <row r="44" ht="15">
      <c r="A44" s="26"/>
    </row>
    <row r="45" ht="15">
      <c r="A45" s="26" t="s">
        <v>87</v>
      </c>
    </row>
    <row r="50" spans="3:4" ht="1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9" r:id="rId1"/>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412</v>
      </c>
      <c r="B3" s="374"/>
      <c r="C3" s="374"/>
      <c r="D3" s="374"/>
      <c r="E3" s="374"/>
      <c r="F3" s="374"/>
      <c r="G3" s="374"/>
      <c r="H3" s="374"/>
      <c r="I3" s="374"/>
      <c r="J3" s="374"/>
      <c r="K3" s="374"/>
      <c r="L3" s="374"/>
    </row>
    <row r="5" ht="15">
      <c r="A5" s="375" t="s">
        <v>413</v>
      </c>
    </row>
    <row r="6" ht="15">
      <c r="A6" s="375" t="str">
        <f>CONCATENATE(inputPrYr!D9-2," 'total expenditures' exceed your ",inputPrYr!D9-2," 'budget authority.'")</f>
        <v>2012 'total expenditures' exceed your 2012 'budget authority.'</v>
      </c>
    </row>
    <row r="7" ht="15">
      <c r="A7" s="375"/>
    </row>
    <row r="8" ht="15">
      <c r="A8" s="375" t="s">
        <v>414</v>
      </c>
    </row>
    <row r="9" ht="15">
      <c r="A9" s="375" t="s">
        <v>415</v>
      </c>
    </row>
    <row r="10" ht="15">
      <c r="A10" s="375" t="s">
        <v>416</v>
      </c>
    </row>
    <row r="11" ht="15">
      <c r="A11" s="375"/>
    </row>
    <row r="12" ht="15">
      <c r="A12" s="375"/>
    </row>
    <row r="13" ht="15">
      <c r="A13" s="376" t="s">
        <v>417</v>
      </c>
    </row>
    <row r="15" ht="15">
      <c r="A15" s="375" t="s">
        <v>418</v>
      </c>
    </row>
    <row r="16" ht="15">
      <c r="A16" s="375" t="str">
        <f>CONCATENATE("(i.e. an audit has not been completed, or the ",inputPrYr!D9," adopted")</f>
        <v>(i.e. an audit has not been completed, or the 2014 adopted</v>
      </c>
    </row>
    <row r="17" ht="15">
      <c r="A17" s="375" t="s">
        <v>419</v>
      </c>
    </row>
    <row r="18" ht="15">
      <c r="A18" s="375" t="s">
        <v>420</v>
      </c>
    </row>
    <row r="19" ht="15">
      <c r="A19" s="375" t="s">
        <v>421</v>
      </c>
    </row>
    <row r="21" ht="15">
      <c r="A21" s="376" t="s">
        <v>422</v>
      </c>
    </row>
    <row r="22" ht="15">
      <c r="A22" s="376"/>
    </row>
    <row r="23" ht="15">
      <c r="A23" s="375" t="s">
        <v>423</v>
      </c>
    </row>
    <row r="24" ht="15">
      <c r="A24" s="375" t="s">
        <v>424</v>
      </c>
    </row>
    <row r="25" ht="15">
      <c r="A25" s="375" t="str">
        <f>CONCATENATE("particular fund.  If your ",inputPrYr!D9-2," budget was amended, did you")</f>
        <v>particular fund.  If your 2012 budget was amended, did you</v>
      </c>
    </row>
    <row r="26" ht="15">
      <c r="A26" s="375" t="s">
        <v>425</v>
      </c>
    </row>
    <row r="27" ht="15">
      <c r="A27" s="375"/>
    </row>
    <row r="28" ht="15">
      <c r="A28" s="375" t="str">
        <f>CONCATENATE("Next, look to see if any of your ",inputPrYr!D9-2," expenditures can be")</f>
        <v>Next, look to see if any of your 2012 expenditures can be</v>
      </c>
    </row>
    <row r="29" ht="15">
      <c r="A29" s="375" t="s">
        <v>426</v>
      </c>
    </row>
    <row r="30" ht="15">
      <c r="A30" s="375" t="s">
        <v>427</v>
      </c>
    </row>
    <row r="31" ht="15">
      <c r="A31" s="375" t="s">
        <v>428</v>
      </c>
    </row>
    <row r="32" ht="15">
      <c r="A32" s="375"/>
    </row>
    <row r="33" ht="15">
      <c r="A33" s="375" t="str">
        <f>CONCATENATE("Additionally, do your ",inputPrYr!D9-2," receipts contain a reimbursement")</f>
        <v>Additionally, do your 2012 receipts contain a reimbursement</v>
      </c>
    </row>
    <row r="34" ht="15">
      <c r="A34" s="375" t="s">
        <v>429</v>
      </c>
    </row>
    <row r="35" ht="15">
      <c r="A35" s="375" t="s">
        <v>430</v>
      </c>
    </row>
    <row r="36" ht="15">
      <c r="A36" s="375"/>
    </row>
    <row r="37" ht="15">
      <c r="A37" s="375" t="s">
        <v>431</v>
      </c>
    </row>
    <row r="38" ht="15">
      <c r="A38" s="375" t="s">
        <v>432</v>
      </c>
    </row>
    <row r="39" ht="15">
      <c r="A39" s="375" t="s">
        <v>433</v>
      </c>
    </row>
    <row r="40" ht="15">
      <c r="A40" s="375" t="s">
        <v>434</v>
      </c>
    </row>
    <row r="41" ht="15">
      <c r="A41" s="375" t="s">
        <v>435</v>
      </c>
    </row>
    <row r="42" ht="15">
      <c r="A42" s="375" t="s">
        <v>436</v>
      </c>
    </row>
    <row r="43" ht="15">
      <c r="A43" s="375" t="s">
        <v>437</v>
      </c>
    </row>
    <row r="44" ht="15">
      <c r="A44" s="375" t="s">
        <v>438</v>
      </c>
    </row>
    <row r="45" ht="15">
      <c r="A45" s="375"/>
    </row>
    <row r="46" ht="15">
      <c r="A46" s="375" t="s">
        <v>439</v>
      </c>
    </row>
    <row r="47" ht="15">
      <c r="A47" s="375" t="s">
        <v>440</v>
      </c>
    </row>
    <row r="48" ht="15">
      <c r="A48" s="375" t="s">
        <v>441</v>
      </c>
    </row>
    <row r="49" ht="15">
      <c r="A49" s="375"/>
    </row>
    <row r="50" ht="15">
      <c r="A50" s="375" t="s">
        <v>442</v>
      </c>
    </row>
    <row r="51" ht="15">
      <c r="A51" s="375" t="s">
        <v>443</v>
      </c>
    </row>
    <row r="52" ht="15">
      <c r="A52" s="375" t="s">
        <v>444</v>
      </c>
    </row>
    <row r="53" ht="15">
      <c r="A53" s="375"/>
    </row>
    <row r="54" ht="15">
      <c r="A54" s="376" t="s">
        <v>445</v>
      </c>
    </row>
    <row r="55" ht="15">
      <c r="A55" s="375"/>
    </row>
    <row r="56" ht="15">
      <c r="A56" s="375" t="s">
        <v>446</v>
      </c>
    </row>
    <row r="57" ht="15">
      <c r="A57" s="375" t="s">
        <v>447</v>
      </c>
    </row>
    <row r="58" ht="15">
      <c r="A58" s="375" t="s">
        <v>448</v>
      </c>
    </row>
    <row r="59" ht="15">
      <c r="A59" s="375" t="s">
        <v>449</v>
      </c>
    </row>
    <row r="60" ht="15">
      <c r="A60" s="375" t="s">
        <v>450</v>
      </c>
    </row>
    <row r="61" ht="15">
      <c r="A61" s="375" t="s">
        <v>451</v>
      </c>
    </row>
    <row r="62" ht="15">
      <c r="A62" s="375" t="s">
        <v>452</v>
      </c>
    </row>
    <row r="63" ht="15">
      <c r="A63" s="375" t="s">
        <v>453</v>
      </c>
    </row>
    <row r="64" ht="15">
      <c r="A64" s="375" t="s">
        <v>454</v>
      </c>
    </row>
    <row r="65" ht="15">
      <c r="A65" s="375" t="s">
        <v>455</v>
      </c>
    </row>
    <row r="66" ht="15">
      <c r="A66" s="375" t="s">
        <v>456</v>
      </c>
    </row>
    <row r="67" ht="15">
      <c r="A67" s="375" t="s">
        <v>457</v>
      </c>
    </row>
    <row r="68" ht="15">
      <c r="A68" s="375" t="s">
        <v>458</v>
      </c>
    </row>
    <row r="69" ht="15">
      <c r="A69" s="375"/>
    </row>
    <row r="70" ht="15">
      <c r="A70" s="375" t="s">
        <v>459</v>
      </c>
    </row>
    <row r="71" ht="15">
      <c r="A71" s="375" t="s">
        <v>460</v>
      </c>
    </row>
    <row r="72" ht="15">
      <c r="A72" s="375" t="s">
        <v>461</v>
      </c>
    </row>
    <row r="73" ht="15">
      <c r="A73" s="375"/>
    </row>
    <row r="74" ht="15">
      <c r="A74" s="376" t="str">
        <f>CONCATENATE("What if the ",inputPrYr!D9-2," financial records have been closed?")</f>
        <v>What if the 2012 financial records have been closed?</v>
      </c>
    </row>
    <row r="76" ht="15">
      <c r="A76" s="375" t="s">
        <v>462</v>
      </c>
    </row>
    <row r="77" ht="15">
      <c r="A77" s="375" t="str">
        <f>CONCATENATE("(i.e. an audit for ",inputPrYr!D9-2," has been completed, or the ",inputPrYr!D9)</f>
        <v>(i.e. an audit for 2012 has been completed, or the 2014</v>
      </c>
    </row>
    <row r="78" ht="15">
      <c r="A78" s="375" t="s">
        <v>463</v>
      </c>
    </row>
    <row r="79" ht="15">
      <c r="A79" s="375" t="s">
        <v>464</v>
      </c>
    </row>
    <row r="80" ht="15">
      <c r="A80" s="375"/>
    </row>
    <row r="81" ht="15">
      <c r="A81" s="375" t="s">
        <v>465</v>
      </c>
    </row>
    <row r="82" ht="15">
      <c r="A82" s="375" t="s">
        <v>466</v>
      </c>
    </row>
    <row r="83" ht="15">
      <c r="A83" s="375" t="s">
        <v>467</v>
      </c>
    </row>
    <row r="84" ht="15">
      <c r="A84" s="375"/>
    </row>
    <row r="85" ht="15">
      <c r="A85" s="375" t="s">
        <v>468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469</v>
      </c>
      <c r="B3" s="374"/>
      <c r="C3" s="374"/>
      <c r="D3" s="374"/>
      <c r="E3" s="374"/>
      <c r="F3" s="374"/>
      <c r="G3" s="374"/>
      <c r="H3" s="377"/>
      <c r="I3" s="377"/>
      <c r="J3" s="377"/>
    </row>
    <row r="5" ht="15">
      <c r="A5" s="375"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76" t="s">
        <v>475</v>
      </c>
    </row>
    <row r="14" ht="15">
      <c r="A14" s="376"/>
    </row>
    <row r="15" ht="15">
      <c r="A15" s="375" t="s">
        <v>476</v>
      </c>
    </row>
    <row r="16" ht="15">
      <c r="A16" s="375" t="s">
        <v>477</v>
      </c>
    </row>
    <row r="17" ht="15">
      <c r="A17" s="375" t="s">
        <v>478</v>
      </c>
    </row>
    <row r="18" ht="15">
      <c r="A18" s="375"/>
    </row>
    <row r="19" ht="15">
      <c r="A19" s="376" t="s">
        <v>479</v>
      </c>
    </row>
    <row r="20" ht="15">
      <c r="A20" s="376"/>
    </row>
    <row r="21" ht="15">
      <c r="A21" s="375" t="s">
        <v>480</v>
      </c>
    </row>
    <row r="22" ht="15">
      <c r="A22" s="375" t="s">
        <v>481</v>
      </c>
    </row>
    <row r="23" ht="15">
      <c r="A23" s="375" t="s">
        <v>482</v>
      </c>
    </row>
    <row r="24" ht="15">
      <c r="A24" s="375"/>
    </row>
    <row r="25" ht="15">
      <c r="A25" s="376" t="s">
        <v>483</v>
      </c>
    </row>
    <row r="26" ht="15">
      <c r="A26" s="376"/>
    </row>
    <row r="27" ht="15">
      <c r="A27" s="375" t="s">
        <v>484</v>
      </c>
    </row>
    <row r="28" ht="15">
      <c r="A28" s="375" t="s">
        <v>485</v>
      </c>
    </row>
    <row r="29" ht="15">
      <c r="A29" s="375" t="s">
        <v>486</v>
      </c>
    </row>
    <row r="30" ht="15">
      <c r="A30" s="375"/>
    </row>
    <row r="31" ht="15">
      <c r="A31" s="376" t="s">
        <v>487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488</v>
      </c>
      <c r="B35" s="375"/>
      <c r="C35" s="375"/>
      <c r="D35" s="375"/>
      <c r="E35" s="375"/>
      <c r="F35" s="375"/>
      <c r="G35" s="375"/>
      <c r="H35" s="375"/>
    </row>
    <row r="36" spans="1:8" ht="15">
      <c r="A36" s="375" t="s">
        <v>489</v>
      </c>
      <c r="B36" s="375"/>
      <c r="C36" s="375"/>
      <c r="D36" s="375"/>
      <c r="E36" s="375"/>
      <c r="F36" s="375"/>
      <c r="G36" s="375"/>
      <c r="H36" s="375"/>
    </row>
    <row r="37" spans="1:8" ht="15">
      <c r="A37" s="375" t="s">
        <v>490</v>
      </c>
      <c r="B37" s="375"/>
      <c r="C37" s="375"/>
      <c r="D37" s="375"/>
      <c r="E37" s="375"/>
      <c r="F37" s="375"/>
      <c r="G37" s="375"/>
      <c r="H37" s="375"/>
    </row>
    <row r="38" spans="1:8" ht="15">
      <c r="A38" s="375" t="s">
        <v>491</v>
      </c>
      <c r="B38" s="375"/>
      <c r="C38" s="375"/>
      <c r="D38" s="375"/>
      <c r="E38" s="375"/>
      <c r="F38" s="375"/>
      <c r="G38" s="375"/>
      <c r="H38" s="375"/>
    </row>
    <row r="39" spans="1:8" ht="15">
      <c r="A39" s="375" t="s">
        <v>492</v>
      </c>
      <c r="B39" s="375"/>
      <c r="C39" s="375"/>
      <c r="D39" s="375"/>
      <c r="E39" s="375"/>
      <c r="F39" s="375"/>
      <c r="G39" s="375"/>
      <c r="H39" s="375"/>
    </row>
    <row r="40" spans="1:8" ht="15">
      <c r="A40" s="375"/>
      <c r="B40" s="375"/>
      <c r="C40" s="375"/>
      <c r="D40" s="375"/>
      <c r="E40" s="375"/>
      <c r="F40" s="375"/>
      <c r="G40" s="375"/>
      <c r="H40" s="375"/>
    </row>
    <row r="41" spans="1:8" ht="15">
      <c r="A41" s="375" t="s">
        <v>493</v>
      </c>
      <c r="B41" s="375"/>
      <c r="C41" s="375"/>
      <c r="D41" s="375"/>
      <c r="E41" s="375"/>
      <c r="F41" s="375"/>
      <c r="G41" s="375"/>
      <c r="H41" s="375"/>
    </row>
    <row r="42" spans="1:8" ht="15">
      <c r="A42" s="375" t="s">
        <v>494</v>
      </c>
      <c r="B42" s="375"/>
      <c r="C42" s="375"/>
      <c r="D42" s="375"/>
      <c r="E42" s="375"/>
      <c r="F42" s="375"/>
      <c r="G42" s="375"/>
      <c r="H42" s="375"/>
    </row>
    <row r="43" spans="1:8" ht="15">
      <c r="A43" s="375" t="s">
        <v>495</v>
      </c>
      <c r="B43" s="375"/>
      <c r="C43" s="375"/>
      <c r="D43" s="375"/>
      <c r="E43" s="375"/>
      <c r="F43" s="375"/>
      <c r="G43" s="375"/>
      <c r="H43" s="375"/>
    </row>
    <row r="44" spans="1:8" ht="15">
      <c r="A44" s="375" t="s">
        <v>496</v>
      </c>
      <c r="B44" s="375"/>
      <c r="C44" s="375"/>
      <c r="D44" s="375"/>
      <c r="E44" s="375"/>
      <c r="F44" s="375"/>
      <c r="G44" s="375"/>
      <c r="H44" s="375"/>
    </row>
    <row r="45" spans="1:8" ht="15">
      <c r="A45" s="375"/>
      <c r="B45" s="375"/>
      <c r="C45" s="375"/>
      <c r="D45" s="375"/>
      <c r="E45" s="375"/>
      <c r="F45" s="375"/>
      <c r="G45" s="375"/>
      <c r="H45" s="375"/>
    </row>
    <row r="46" spans="1:8" ht="15">
      <c r="A46" s="375" t="s">
        <v>497</v>
      </c>
      <c r="B46" s="375"/>
      <c r="C46" s="375"/>
      <c r="D46" s="375"/>
      <c r="E46" s="375"/>
      <c r="F46" s="375"/>
      <c r="G46" s="375"/>
      <c r="H46" s="375"/>
    </row>
    <row r="47" spans="1:8" ht="15">
      <c r="A47" s="375" t="s">
        <v>498</v>
      </c>
      <c r="B47" s="375"/>
      <c r="C47" s="375"/>
      <c r="D47" s="375"/>
      <c r="E47" s="375"/>
      <c r="F47" s="375"/>
      <c r="G47" s="375"/>
      <c r="H47" s="375"/>
    </row>
    <row r="48" spans="1:8" ht="15">
      <c r="A48" s="375" t="s">
        <v>499</v>
      </c>
      <c r="B48" s="375"/>
      <c r="C48" s="375"/>
      <c r="D48" s="375"/>
      <c r="E48" s="375"/>
      <c r="F48" s="375"/>
      <c r="G48" s="375"/>
      <c r="H48" s="375"/>
    </row>
    <row r="49" spans="1:8" ht="15">
      <c r="A49" s="375" t="s">
        <v>500</v>
      </c>
      <c r="B49" s="375"/>
      <c r="C49" s="375"/>
      <c r="D49" s="375"/>
      <c r="E49" s="375"/>
      <c r="F49" s="375"/>
      <c r="G49" s="375"/>
      <c r="H49" s="375"/>
    </row>
    <row r="50" spans="1:8" ht="15">
      <c r="A50" s="375" t="s">
        <v>501</v>
      </c>
      <c r="B50" s="375"/>
      <c r="C50" s="375"/>
      <c r="D50" s="375"/>
      <c r="E50" s="375"/>
      <c r="F50" s="375"/>
      <c r="G50" s="375"/>
      <c r="H50" s="375"/>
    </row>
    <row r="51" spans="1:8" ht="15">
      <c r="A51" s="375"/>
      <c r="B51" s="375"/>
      <c r="C51" s="375"/>
      <c r="D51" s="375"/>
      <c r="E51" s="375"/>
      <c r="F51" s="375"/>
      <c r="G51" s="375"/>
      <c r="H51" s="375"/>
    </row>
    <row r="52" spans="1:8" ht="15">
      <c r="A52" s="376" t="s">
        <v>502</v>
      </c>
      <c r="B52" s="376"/>
      <c r="C52" s="376"/>
      <c r="D52" s="376"/>
      <c r="E52" s="376"/>
      <c r="F52" s="376"/>
      <c r="G52" s="376"/>
      <c r="H52" s="375"/>
    </row>
    <row r="53" spans="1:8" ht="15">
      <c r="A53" s="376" t="s">
        <v>503</v>
      </c>
      <c r="B53" s="376"/>
      <c r="C53" s="376"/>
      <c r="D53" s="376"/>
      <c r="E53" s="376"/>
      <c r="F53" s="376"/>
      <c r="G53" s="376"/>
      <c r="H53" s="375"/>
    </row>
    <row r="54" spans="1:8" ht="15">
      <c r="A54" s="375"/>
      <c r="B54" s="375"/>
      <c r="C54" s="375"/>
      <c r="D54" s="375"/>
      <c r="E54" s="375"/>
      <c r="F54" s="375"/>
      <c r="G54" s="375"/>
      <c r="H54" s="375"/>
    </row>
    <row r="55" spans="1:8" ht="15">
      <c r="A55" s="375" t="s">
        <v>504</v>
      </c>
      <c r="B55" s="375"/>
      <c r="C55" s="375"/>
      <c r="D55" s="375"/>
      <c r="E55" s="375"/>
      <c r="F55" s="375"/>
      <c r="G55" s="375"/>
      <c r="H55" s="375"/>
    </row>
    <row r="56" spans="1:8" ht="15">
      <c r="A56" s="375" t="s">
        <v>505</v>
      </c>
      <c r="B56" s="375"/>
      <c r="C56" s="375"/>
      <c r="D56" s="375"/>
      <c r="E56" s="375"/>
      <c r="F56" s="375"/>
      <c r="G56" s="375"/>
      <c r="H56" s="375"/>
    </row>
    <row r="57" spans="1:8" ht="15">
      <c r="A57" s="375" t="s">
        <v>506</v>
      </c>
      <c r="B57" s="375"/>
      <c r="C57" s="375"/>
      <c r="D57" s="375"/>
      <c r="E57" s="375"/>
      <c r="F57" s="375"/>
      <c r="G57" s="375"/>
      <c r="H57" s="375"/>
    </row>
    <row r="58" spans="1:8" ht="15">
      <c r="A58" s="375" t="s">
        <v>507</v>
      </c>
      <c r="B58" s="375"/>
      <c r="C58" s="375"/>
      <c r="D58" s="375"/>
      <c r="E58" s="375"/>
      <c r="F58" s="375"/>
      <c r="G58" s="375"/>
      <c r="H58" s="375"/>
    </row>
    <row r="59" spans="1:8" ht="15">
      <c r="A59" s="375"/>
      <c r="B59" s="375"/>
      <c r="C59" s="375"/>
      <c r="D59" s="375"/>
      <c r="E59" s="375"/>
      <c r="F59" s="375"/>
      <c r="G59" s="375"/>
      <c r="H59" s="375"/>
    </row>
    <row r="60" spans="1:8" ht="15">
      <c r="A60" s="375" t="s">
        <v>508</v>
      </c>
      <c r="B60" s="375"/>
      <c r="C60" s="375"/>
      <c r="D60" s="375"/>
      <c r="E60" s="375"/>
      <c r="F60" s="375"/>
      <c r="G60" s="375"/>
      <c r="H60" s="375"/>
    </row>
    <row r="61" spans="1:8" ht="15">
      <c r="A61" s="375" t="s">
        <v>509</v>
      </c>
      <c r="B61" s="375"/>
      <c r="C61" s="375"/>
      <c r="D61" s="375"/>
      <c r="E61" s="375"/>
      <c r="F61" s="375"/>
      <c r="G61" s="375"/>
      <c r="H61" s="375"/>
    </row>
    <row r="62" spans="1:8" ht="15">
      <c r="A62" s="375" t="s">
        <v>510</v>
      </c>
      <c r="B62" s="375"/>
      <c r="C62" s="375"/>
      <c r="D62" s="375"/>
      <c r="E62" s="375"/>
      <c r="F62" s="375"/>
      <c r="G62" s="375"/>
      <c r="H62" s="375"/>
    </row>
    <row r="63" spans="1:8" ht="15">
      <c r="A63" s="375" t="s">
        <v>511</v>
      </c>
      <c r="B63" s="375"/>
      <c r="C63" s="375"/>
      <c r="D63" s="375"/>
      <c r="E63" s="375"/>
      <c r="F63" s="375"/>
      <c r="G63" s="375"/>
      <c r="H63" s="375"/>
    </row>
    <row r="64" spans="1:8" ht="15">
      <c r="A64" s="375" t="s">
        <v>512</v>
      </c>
      <c r="B64" s="375"/>
      <c r="C64" s="375"/>
      <c r="D64" s="375"/>
      <c r="E64" s="375"/>
      <c r="F64" s="375"/>
      <c r="G64" s="375"/>
      <c r="H64" s="375"/>
    </row>
    <row r="65" spans="1:8" ht="15">
      <c r="A65" s="375" t="s">
        <v>513</v>
      </c>
      <c r="B65" s="375"/>
      <c r="C65" s="375"/>
      <c r="D65" s="375"/>
      <c r="E65" s="375"/>
      <c r="F65" s="375"/>
      <c r="G65" s="375"/>
      <c r="H65" s="375"/>
    </row>
    <row r="66" spans="1:8" ht="15">
      <c r="A66" s="375"/>
      <c r="B66" s="375"/>
      <c r="C66" s="375"/>
      <c r="D66" s="375"/>
      <c r="E66" s="375"/>
      <c r="F66" s="375"/>
      <c r="G66" s="375"/>
      <c r="H66" s="375"/>
    </row>
    <row r="67" spans="1:8" ht="15">
      <c r="A67" s="375" t="s">
        <v>514</v>
      </c>
      <c r="B67" s="375"/>
      <c r="C67" s="375"/>
      <c r="D67" s="375"/>
      <c r="E67" s="375"/>
      <c r="F67" s="375"/>
      <c r="G67" s="375"/>
      <c r="H67" s="375"/>
    </row>
    <row r="68" spans="1:8" ht="15">
      <c r="A68" s="375" t="s">
        <v>515</v>
      </c>
      <c r="B68" s="375"/>
      <c r="C68" s="375"/>
      <c r="D68" s="375"/>
      <c r="E68" s="375"/>
      <c r="F68" s="375"/>
      <c r="G68" s="375"/>
      <c r="H68" s="375"/>
    </row>
    <row r="69" spans="1:8" ht="15">
      <c r="A69" s="375" t="s">
        <v>516</v>
      </c>
      <c r="B69" s="375"/>
      <c r="C69" s="375"/>
      <c r="D69" s="375"/>
      <c r="E69" s="375"/>
      <c r="F69" s="375"/>
      <c r="G69" s="375"/>
      <c r="H69" s="375"/>
    </row>
    <row r="70" spans="1:8" ht="15">
      <c r="A70" s="375" t="s">
        <v>517</v>
      </c>
      <c r="B70" s="375"/>
      <c r="C70" s="375"/>
      <c r="D70" s="375"/>
      <c r="E70" s="375"/>
      <c r="F70" s="375"/>
      <c r="G70" s="375"/>
      <c r="H70" s="375"/>
    </row>
    <row r="71" spans="1:8" ht="15">
      <c r="A71" s="375" t="s">
        <v>518</v>
      </c>
      <c r="B71" s="375"/>
      <c r="C71" s="375"/>
      <c r="D71" s="375"/>
      <c r="E71" s="375"/>
      <c r="F71" s="375"/>
      <c r="G71" s="375"/>
      <c r="H71" s="375"/>
    </row>
    <row r="72" spans="1:8" ht="15">
      <c r="A72" s="375" t="s">
        <v>519</v>
      </c>
      <c r="B72" s="375"/>
      <c r="C72" s="375"/>
      <c r="D72" s="375"/>
      <c r="E72" s="375"/>
      <c r="F72" s="375"/>
      <c r="G72" s="375"/>
      <c r="H72" s="375"/>
    </row>
    <row r="73" spans="1:8" ht="15">
      <c r="A73" s="375" t="s">
        <v>520</v>
      </c>
      <c r="B73" s="375"/>
      <c r="C73" s="375"/>
      <c r="D73" s="375"/>
      <c r="E73" s="375"/>
      <c r="F73" s="375"/>
      <c r="G73" s="375"/>
      <c r="H73" s="375"/>
    </row>
    <row r="74" spans="1:8" ht="15">
      <c r="A74" s="375"/>
      <c r="B74" s="375"/>
      <c r="C74" s="375"/>
      <c r="D74" s="375"/>
      <c r="E74" s="375"/>
      <c r="F74" s="375"/>
      <c r="G74" s="375"/>
      <c r="H74" s="375"/>
    </row>
    <row r="75" spans="1:8" ht="15">
      <c r="A75" s="375" t="s">
        <v>521</v>
      </c>
      <c r="B75" s="375"/>
      <c r="C75" s="375"/>
      <c r="D75" s="375"/>
      <c r="E75" s="375"/>
      <c r="F75" s="375"/>
      <c r="G75" s="375"/>
      <c r="H75" s="375"/>
    </row>
    <row r="76" spans="1:8" ht="15">
      <c r="A76" s="375" t="s">
        <v>522</v>
      </c>
      <c r="B76" s="375"/>
      <c r="C76" s="375"/>
      <c r="D76" s="375"/>
      <c r="E76" s="375"/>
      <c r="F76" s="375"/>
      <c r="G76" s="375"/>
      <c r="H76" s="375"/>
    </row>
    <row r="77" spans="1:8" ht="15">
      <c r="A77" s="375" t="s">
        <v>523</v>
      </c>
      <c r="B77" s="375"/>
      <c r="C77" s="375"/>
      <c r="D77" s="375"/>
      <c r="E77" s="375"/>
      <c r="F77" s="375"/>
      <c r="G77" s="375"/>
      <c r="H77" s="375"/>
    </row>
    <row r="78" spans="1:8" ht="15">
      <c r="A78" s="375"/>
      <c r="B78" s="375"/>
      <c r="C78" s="375"/>
      <c r="D78" s="375"/>
      <c r="E78" s="375"/>
      <c r="F78" s="375"/>
      <c r="G78" s="375"/>
      <c r="H78" s="375"/>
    </row>
    <row r="79" ht="15">
      <c r="A79" s="375" t="s">
        <v>468</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524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413</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525</v>
      </c>
      <c r="I7" s="374"/>
      <c r="J7" s="374"/>
      <c r="K7" s="374"/>
      <c r="L7" s="374"/>
    </row>
    <row r="8" spans="1:12" ht="15">
      <c r="A8" s="375"/>
      <c r="I8" s="374"/>
      <c r="J8" s="374"/>
      <c r="K8" s="374"/>
      <c r="L8" s="374"/>
    </row>
    <row r="9" spans="1:12" ht="15">
      <c r="A9" s="375" t="s">
        <v>526</v>
      </c>
      <c r="I9" s="374"/>
      <c r="J9" s="374"/>
      <c r="K9" s="374"/>
      <c r="L9" s="374"/>
    </row>
    <row r="10" spans="1:12" ht="15">
      <c r="A10" s="375" t="s">
        <v>527</v>
      </c>
      <c r="I10" s="374"/>
      <c r="J10" s="374"/>
      <c r="K10" s="374"/>
      <c r="L10" s="374"/>
    </row>
    <row r="11" spans="1:12" ht="15">
      <c r="A11" s="375" t="s">
        <v>528</v>
      </c>
      <c r="I11" s="374"/>
      <c r="J11" s="374"/>
      <c r="K11" s="374"/>
      <c r="L11" s="374"/>
    </row>
    <row r="12" spans="1:12" ht="15">
      <c r="A12" s="375" t="s">
        <v>529</v>
      </c>
      <c r="I12" s="374"/>
      <c r="J12" s="374"/>
      <c r="K12" s="374"/>
      <c r="L12" s="374"/>
    </row>
    <row r="13" spans="1:12" ht="15">
      <c r="A13" s="375" t="s">
        <v>530</v>
      </c>
      <c r="I13" s="374"/>
      <c r="J13" s="374"/>
      <c r="K13" s="374"/>
      <c r="L13" s="374"/>
    </row>
    <row r="14" spans="1:12" ht="15">
      <c r="A14" s="374"/>
      <c r="B14" s="374"/>
      <c r="C14" s="374"/>
      <c r="D14" s="374"/>
      <c r="E14" s="374"/>
      <c r="F14" s="374"/>
      <c r="G14" s="374"/>
      <c r="H14" s="374"/>
      <c r="I14" s="374"/>
      <c r="J14" s="374"/>
      <c r="K14" s="374"/>
      <c r="L14" s="374"/>
    </row>
    <row r="15" ht="15">
      <c r="A15" s="376" t="s">
        <v>531</v>
      </c>
    </row>
    <row r="16" ht="15">
      <c r="A16" s="376" t="s">
        <v>532</v>
      </c>
    </row>
    <row r="17" ht="15">
      <c r="A17" s="376"/>
    </row>
    <row r="18" spans="1:7" ht="15">
      <c r="A18" s="375" t="s">
        <v>533</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534</v>
      </c>
      <c r="B20" s="375"/>
      <c r="C20" s="375"/>
      <c r="D20" s="375"/>
      <c r="E20" s="375"/>
      <c r="F20" s="375"/>
      <c r="G20" s="375"/>
    </row>
    <row r="21" spans="1:7" ht="15">
      <c r="A21" s="375" t="s">
        <v>535</v>
      </c>
      <c r="B21" s="375"/>
      <c r="C21" s="375"/>
      <c r="D21" s="375"/>
      <c r="E21" s="375"/>
      <c r="F21" s="375"/>
      <c r="G21" s="375"/>
    </row>
    <row r="22" ht="15">
      <c r="A22" s="375"/>
    </row>
    <row r="23" ht="15">
      <c r="A23" s="376" t="s">
        <v>536</v>
      </c>
    </row>
    <row r="24" ht="15">
      <c r="A24" s="376"/>
    </row>
    <row r="25" ht="15">
      <c r="A25" s="375" t="s">
        <v>537</v>
      </c>
    </row>
    <row r="26" spans="1:6" ht="15">
      <c r="A26" s="375" t="s">
        <v>538</v>
      </c>
      <c r="B26" s="375"/>
      <c r="C26" s="375"/>
      <c r="D26" s="375"/>
      <c r="E26" s="375"/>
      <c r="F26" s="375"/>
    </row>
    <row r="27" spans="1:6" ht="15">
      <c r="A27" s="375" t="s">
        <v>539</v>
      </c>
      <c r="B27" s="375"/>
      <c r="C27" s="375"/>
      <c r="D27" s="375"/>
      <c r="E27" s="375"/>
      <c r="F27" s="375"/>
    </row>
    <row r="28" spans="1:6" ht="15">
      <c r="A28" s="375" t="s">
        <v>540</v>
      </c>
      <c r="B28" s="375"/>
      <c r="C28" s="375"/>
      <c r="D28" s="375"/>
      <c r="E28" s="375"/>
      <c r="F28" s="375"/>
    </row>
    <row r="29" spans="1:6" ht="15">
      <c r="A29" s="375"/>
      <c r="B29" s="375"/>
      <c r="C29" s="375"/>
      <c r="D29" s="375"/>
      <c r="E29" s="375"/>
      <c r="F29" s="375"/>
    </row>
    <row r="30" spans="1:7" ht="15">
      <c r="A30" s="376" t="s">
        <v>541</v>
      </c>
      <c r="B30" s="376"/>
      <c r="C30" s="376"/>
      <c r="D30" s="376"/>
      <c r="E30" s="376"/>
      <c r="F30" s="376"/>
      <c r="G30" s="376"/>
    </row>
    <row r="31" spans="1:7" ht="15">
      <c r="A31" s="376" t="s">
        <v>542</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543</v>
      </c>
      <c r="B34" s="375"/>
      <c r="C34" s="375"/>
      <c r="D34" s="375"/>
      <c r="E34" s="375"/>
      <c r="F34" s="375"/>
    </row>
    <row r="35" spans="1:6" ht="15">
      <c r="A35" s="379" t="s">
        <v>427</v>
      </c>
      <c r="B35" s="375"/>
      <c r="C35" s="375"/>
      <c r="D35" s="375"/>
      <c r="E35" s="375"/>
      <c r="F35" s="375"/>
    </row>
    <row r="36" spans="1:6" ht="15">
      <c r="A36" s="379" t="s">
        <v>428</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429</v>
      </c>
      <c r="B39" s="375"/>
      <c r="C39" s="375"/>
      <c r="D39" s="375"/>
      <c r="E39" s="375"/>
      <c r="F39" s="375"/>
    </row>
    <row r="40" spans="1:6" ht="15">
      <c r="A40" s="379" t="s">
        <v>430</v>
      </c>
      <c r="B40" s="375"/>
      <c r="C40" s="375"/>
      <c r="D40" s="375"/>
      <c r="E40" s="375"/>
      <c r="F40" s="375"/>
    </row>
    <row r="41" spans="1:6" ht="15">
      <c r="A41" s="379"/>
      <c r="B41" s="375"/>
      <c r="C41" s="375"/>
      <c r="D41" s="375"/>
      <c r="E41" s="375"/>
      <c r="F41" s="375"/>
    </row>
    <row r="42" spans="1:6" ht="15">
      <c r="A42" s="379" t="s">
        <v>431</v>
      </c>
      <c r="B42" s="375"/>
      <c r="C42" s="375"/>
      <c r="D42" s="375"/>
      <c r="E42" s="375"/>
      <c r="F42" s="375"/>
    </row>
    <row r="43" spans="1:6" ht="15">
      <c r="A43" s="379" t="s">
        <v>432</v>
      </c>
      <c r="B43" s="375"/>
      <c r="C43" s="375"/>
      <c r="D43" s="375"/>
      <c r="E43" s="375"/>
      <c r="F43" s="375"/>
    </row>
    <row r="44" spans="1:6" ht="15">
      <c r="A44" s="379" t="s">
        <v>433</v>
      </c>
      <c r="B44" s="375"/>
      <c r="C44" s="375"/>
      <c r="D44" s="375"/>
      <c r="E44" s="375"/>
      <c r="F44" s="375"/>
    </row>
    <row r="45" spans="1:6" ht="15">
      <c r="A45" s="379" t="s">
        <v>544</v>
      </c>
      <c r="B45" s="375"/>
      <c r="C45" s="375"/>
      <c r="D45" s="375"/>
      <c r="E45" s="375"/>
      <c r="F45" s="375"/>
    </row>
    <row r="46" spans="1:6" ht="15">
      <c r="A46" s="379" t="s">
        <v>435</v>
      </c>
      <c r="B46" s="375"/>
      <c r="C46" s="375"/>
      <c r="D46" s="375"/>
      <c r="E46" s="375"/>
      <c r="F46" s="375"/>
    </row>
    <row r="47" spans="1:6" ht="15">
      <c r="A47" s="379" t="s">
        <v>545</v>
      </c>
      <c r="B47" s="375"/>
      <c r="C47" s="375"/>
      <c r="D47" s="375"/>
      <c r="E47" s="375"/>
      <c r="F47" s="375"/>
    </row>
    <row r="48" spans="1:6" ht="15">
      <c r="A48" s="379" t="s">
        <v>546</v>
      </c>
      <c r="B48" s="375"/>
      <c r="C48" s="375"/>
      <c r="D48" s="375"/>
      <c r="E48" s="375"/>
      <c r="F48" s="375"/>
    </row>
    <row r="49" spans="1:6" ht="15">
      <c r="A49" s="379" t="s">
        <v>438</v>
      </c>
      <c r="B49" s="375"/>
      <c r="C49" s="375"/>
      <c r="D49" s="375"/>
      <c r="E49" s="375"/>
      <c r="F49" s="375"/>
    </row>
    <row r="50" spans="1:6" ht="15">
      <c r="A50" s="379"/>
      <c r="B50" s="375"/>
      <c r="C50" s="375"/>
      <c r="D50" s="375"/>
      <c r="E50" s="375"/>
      <c r="F50" s="375"/>
    </row>
    <row r="51" spans="1:6" ht="15">
      <c r="A51" s="379" t="s">
        <v>439</v>
      </c>
      <c r="B51" s="375"/>
      <c r="C51" s="375"/>
      <c r="D51" s="375"/>
      <c r="E51" s="375"/>
      <c r="F51" s="375"/>
    </row>
    <row r="52" spans="1:6" ht="15">
      <c r="A52" s="379" t="s">
        <v>440</v>
      </c>
      <c r="B52" s="375"/>
      <c r="C52" s="375"/>
      <c r="D52" s="375"/>
      <c r="E52" s="375"/>
      <c r="F52" s="375"/>
    </row>
    <row r="53" spans="1:6" ht="15">
      <c r="A53" s="379" t="s">
        <v>441</v>
      </c>
      <c r="B53" s="375"/>
      <c r="C53" s="375"/>
      <c r="D53" s="375"/>
      <c r="E53" s="375"/>
      <c r="F53" s="375"/>
    </row>
    <row r="54" spans="1:6" ht="15">
      <c r="A54" s="379"/>
      <c r="B54" s="375"/>
      <c r="C54" s="375"/>
      <c r="D54" s="375"/>
      <c r="E54" s="375"/>
      <c r="F54" s="375"/>
    </row>
    <row r="55" spans="1:6" ht="15">
      <c r="A55" s="379" t="s">
        <v>547</v>
      </c>
      <c r="B55" s="375"/>
      <c r="C55" s="375"/>
      <c r="D55" s="375"/>
      <c r="E55" s="375"/>
      <c r="F55" s="375"/>
    </row>
    <row r="56" spans="1:6" ht="15">
      <c r="A56" s="379" t="s">
        <v>548</v>
      </c>
      <c r="B56" s="375"/>
      <c r="C56" s="375"/>
      <c r="D56" s="375"/>
      <c r="E56" s="375"/>
      <c r="F56" s="375"/>
    </row>
    <row r="57" spans="1:6" ht="15">
      <c r="A57" s="379" t="s">
        <v>549</v>
      </c>
      <c r="B57" s="375"/>
      <c r="C57" s="375"/>
      <c r="D57" s="375"/>
      <c r="E57" s="375"/>
      <c r="F57" s="375"/>
    </row>
    <row r="58" spans="1:6" ht="15">
      <c r="A58" s="379" t="s">
        <v>550</v>
      </c>
      <c r="B58" s="375"/>
      <c r="C58" s="375"/>
      <c r="D58" s="375"/>
      <c r="E58" s="375"/>
      <c r="F58" s="375"/>
    </row>
    <row r="59" spans="1:6" ht="15">
      <c r="A59" s="379" t="s">
        <v>551</v>
      </c>
      <c r="B59" s="375"/>
      <c r="C59" s="375"/>
      <c r="D59" s="375"/>
      <c r="E59" s="375"/>
      <c r="F59" s="375"/>
    </row>
    <row r="60" spans="1:6" ht="15">
      <c r="A60" s="379"/>
      <c r="B60" s="375"/>
      <c r="C60" s="375"/>
      <c r="D60" s="375"/>
      <c r="E60" s="375"/>
      <c r="F60" s="375"/>
    </row>
    <row r="61" spans="1:6" ht="15">
      <c r="A61" s="380" t="s">
        <v>552</v>
      </c>
      <c r="B61" s="375"/>
      <c r="C61" s="375"/>
      <c r="D61" s="375"/>
      <c r="E61" s="375"/>
      <c r="F61" s="375"/>
    </row>
    <row r="62" spans="1:6" ht="15">
      <c r="A62" s="380" t="s">
        <v>553</v>
      </c>
      <c r="B62" s="375"/>
      <c r="C62" s="375"/>
      <c r="D62" s="375"/>
      <c r="E62" s="375"/>
      <c r="F62" s="375"/>
    </row>
    <row r="63" spans="1:6" ht="15">
      <c r="A63" s="380" t="s">
        <v>554</v>
      </c>
      <c r="B63" s="375"/>
      <c r="C63" s="375"/>
      <c r="D63" s="375"/>
      <c r="E63" s="375"/>
      <c r="F63" s="375"/>
    </row>
    <row r="64" ht="15">
      <c r="A64" s="380" t="s">
        <v>555</v>
      </c>
    </row>
    <row r="65" ht="15">
      <c r="A65" s="380" t="s">
        <v>556</v>
      </c>
    </row>
    <row r="66" ht="15">
      <c r="A66" s="380" t="s">
        <v>557</v>
      </c>
    </row>
    <row r="68" ht="15">
      <c r="A68" s="375" t="s">
        <v>558</v>
      </c>
    </row>
    <row r="69" ht="15">
      <c r="A69" s="375" t="s">
        <v>559</v>
      </c>
    </row>
    <row r="70" ht="15">
      <c r="A70" s="375" t="s">
        <v>560</v>
      </c>
    </row>
    <row r="71" ht="15">
      <c r="A71" s="375" t="s">
        <v>561</v>
      </c>
    </row>
    <row r="72" ht="15">
      <c r="A72" s="375" t="s">
        <v>562</v>
      </c>
    </row>
    <row r="73" ht="15">
      <c r="A73" s="375" t="s">
        <v>563</v>
      </c>
    </row>
    <row r="75" ht="15">
      <c r="A75" s="375" t="s">
        <v>468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564</v>
      </c>
      <c r="B3" s="374"/>
      <c r="C3" s="374"/>
      <c r="D3" s="374"/>
      <c r="E3" s="374"/>
      <c r="F3" s="374"/>
      <c r="G3" s="374"/>
    </row>
    <row r="4" spans="1:7" ht="15">
      <c r="A4" s="374"/>
      <c r="B4" s="374"/>
      <c r="C4" s="374"/>
      <c r="D4" s="374"/>
      <c r="E4" s="374"/>
      <c r="F4" s="374"/>
      <c r="G4" s="374"/>
    </row>
    <row r="5" ht="15">
      <c r="A5" s="375" t="s">
        <v>470</v>
      </c>
    </row>
    <row r="6" ht="15">
      <c r="A6" s="375" t="str">
        <f>CONCATENATE(inputPrYr!D9," estimated expenditures show that at the end of this year")</f>
        <v>2014 estimated expenditures show that at the end of this year</v>
      </c>
    </row>
    <row r="7" ht="15">
      <c r="A7" s="375" t="s">
        <v>565</v>
      </c>
    </row>
    <row r="8" ht="15">
      <c r="A8" s="375" t="s">
        <v>566</v>
      </c>
    </row>
    <row r="10" ht="15">
      <c r="A10" t="s">
        <v>472</v>
      </c>
    </row>
    <row r="11" ht="15">
      <c r="A11" t="s">
        <v>473</v>
      </c>
    </row>
    <row r="12" ht="15">
      <c r="A12" t="s">
        <v>474</v>
      </c>
    </row>
    <row r="13" spans="1:7" ht="15">
      <c r="A13" s="374"/>
      <c r="B13" s="374"/>
      <c r="C13" s="374"/>
      <c r="D13" s="374"/>
      <c r="E13" s="374"/>
      <c r="F13" s="374"/>
      <c r="G13" s="374"/>
    </row>
    <row r="14" ht="15">
      <c r="A14" s="376" t="s">
        <v>567</v>
      </c>
    </row>
    <row r="15" ht="15">
      <c r="A15" s="375"/>
    </row>
    <row r="16" ht="15">
      <c r="A16" s="375" t="s">
        <v>568</v>
      </c>
    </row>
    <row r="17" ht="15">
      <c r="A17" s="375" t="s">
        <v>569</v>
      </c>
    </row>
    <row r="18" ht="15">
      <c r="A18" s="375" t="s">
        <v>570</v>
      </c>
    </row>
    <row r="19" ht="15">
      <c r="A19" s="375"/>
    </row>
    <row r="20" ht="15">
      <c r="A20" s="375" t="s">
        <v>571</v>
      </c>
    </row>
    <row r="21" ht="15">
      <c r="A21" s="375" t="s">
        <v>572</v>
      </c>
    </row>
    <row r="22" ht="15">
      <c r="A22" s="375" t="s">
        <v>573</v>
      </c>
    </row>
    <row r="23" ht="15">
      <c r="A23" s="375" t="s">
        <v>574</v>
      </c>
    </row>
    <row r="24" ht="15">
      <c r="A24" s="375"/>
    </row>
    <row r="25" ht="15">
      <c r="A25" s="376" t="s">
        <v>536</v>
      </c>
    </row>
    <row r="26" ht="15">
      <c r="A26" s="376"/>
    </row>
    <row r="27" ht="15">
      <c r="A27" s="375" t="s">
        <v>537</v>
      </c>
    </row>
    <row r="28" spans="1:6" ht="15">
      <c r="A28" s="375" t="s">
        <v>538</v>
      </c>
      <c r="B28" s="375"/>
      <c r="C28" s="375"/>
      <c r="D28" s="375"/>
      <c r="E28" s="375"/>
      <c r="F28" s="375"/>
    </row>
    <row r="29" spans="1:6" ht="15">
      <c r="A29" s="375" t="s">
        <v>539</v>
      </c>
      <c r="B29" s="375"/>
      <c r="C29" s="375"/>
      <c r="D29" s="375"/>
      <c r="E29" s="375"/>
      <c r="F29" s="375"/>
    </row>
    <row r="30" spans="1:6" ht="15">
      <c r="A30" s="375" t="s">
        <v>540</v>
      </c>
      <c r="B30" s="375"/>
      <c r="C30" s="375"/>
      <c r="D30" s="375"/>
      <c r="E30" s="375"/>
      <c r="F30" s="375"/>
    </row>
    <row r="31" ht="15">
      <c r="A31" s="375"/>
    </row>
    <row r="32" spans="1:7" ht="15">
      <c r="A32" s="376" t="s">
        <v>541</v>
      </c>
      <c r="B32" s="376"/>
      <c r="C32" s="376"/>
      <c r="D32" s="376"/>
      <c r="E32" s="376"/>
      <c r="F32" s="376"/>
      <c r="G32" s="376"/>
    </row>
    <row r="33" spans="1:7" ht="15">
      <c r="A33" s="376" t="s">
        <v>542</v>
      </c>
      <c r="B33" s="376"/>
      <c r="C33" s="376"/>
      <c r="D33" s="376"/>
      <c r="E33" s="376"/>
      <c r="F33" s="376"/>
      <c r="G33" s="376"/>
    </row>
    <row r="34" spans="1:7" ht="15">
      <c r="A34" s="376"/>
      <c r="B34" s="376"/>
      <c r="C34" s="376"/>
      <c r="D34" s="376"/>
      <c r="E34" s="376"/>
      <c r="F34" s="376"/>
      <c r="G34" s="376"/>
    </row>
    <row r="35" spans="1:7" ht="15">
      <c r="A35" s="375" t="s">
        <v>575</v>
      </c>
      <c r="B35" s="375"/>
      <c r="C35" s="375"/>
      <c r="D35" s="375"/>
      <c r="E35" s="375"/>
      <c r="F35" s="375"/>
      <c r="G35" s="375"/>
    </row>
    <row r="36" spans="1:7" ht="15">
      <c r="A36" s="375" t="s">
        <v>576</v>
      </c>
      <c r="B36" s="375"/>
      <c r="C36" s="375"/>
      <c r="D36" s="375"/>
      <c r="E36" s="375"/>
      <c r="F36" s="375"/>
      <c r="G36" s="375"/>
    </row>
    <row r="37" spans="1:7" ht="15">
      <c r="A37" s="375" t="s">
        <v>577</v>
      </c>
      <c r="B37" s="375"/>
      <c r="C37" s="375"/>
      <c r="D37" s="375"/>
      <c r="E37" s="375"/>
      <c r="F37" s="375"/>
      <c r="G37" s="375"/>
    </row>
    <row r="38" spans="1:7" ht="15">
      <c r="A38" s="375" t="s">
        <v>578</v>
      </c>
      <c r="B38" s="375"/>
      <c r="C38" s="375"/>
      <c r="D38" s="375"/>
      <c r="E38" s="375"/>
      <c r="F38" s="375"/>
      <c r="G38" s="375"/>
    </row>
    <row r="39" spans="1:7" ht="15">
      <c r="A39" s="375" t="s">
        <v>579</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543</v>
      </c>
      <c r="B42" s="375"/>
      <c r="C42" s="375"/>
      <c r="D42" s="375"/>
      <c r="E42" s="375"/>
      <c r="F42" s="375"/>
    </row>
    <row r="43" spans="1:6" ht="15">
      <c r="A43" s="379" t="s">
        <v>427</v>
      </c>
      <c r="B43" s="375"/>
      <c r="C43" s="375"/>
      <c r="D43" s="375"/>
      <c r="E43" s="375"/>
      <c r="F43" s="375"/>
    </row>
    <row r="44" spans="1:6" ht="15">
      <c r="A44" s="379" t="s">
        <v>428</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429</v>
      </c>
      <c r="B47" s="375"/>
      <c r="C47" s="375"/>
      <c r="D47" s="375"/>
      <c r="E47" s="375"/>
      <c r="F47" s="375"/>
    </row>
    <row r="48" spans="1:6" ht="15">
      <c r="A48" s="379" t="s">
        <v>430</v>
      </c>
      <c r="B48" s="375"/>
      <c r="C48" s="375"/>
      <c r="D48" s="375"/>
      <c r="E48" s="375"/>
      <c r="F48" s="375"/>
    </row>
    <row r="49" spans="1:7" ht="15">
      <c r="A49" s="375"/>
      <c r="B49" s="375"/>
      <c r="C49" s="375"/>
      <c r="D49" s="375"/>
      <c r="E49" s="375"/>
      <c r="F49" s="375"/>
      <c r="G49" s="375"/>
    </row>
    <row r="50" spans="1:7" ht="15">
      <c r="A50" s="375" t="s">
        <v>497</v>
      </c>
      <c r="B50" s="375"/>
      <c r="C50" s="375"/>
      <c r="D50" s="375"/>
      <c r="E50" s="375"/>
      <c r="F50" s="375"/>
      <c r="G50" s="375"/>
    </row>
    <row r="51" spans="1:7" ht="15">
      <c r="A51" s="375" t="s">
        <v>498</v>
      </c>
      <c r="B51" s="375"/>
      <c r="C51" s="375"/>
      <c r="D51" s="375"/>
      <c r="E51" s="375"/>
      <c r="F51" s="375"/>
      <c r="G51" s="375"/>
    </row>
    <row r="52" spans="1:7" ht="15">
      <c r="A52" s="375" t="s">
        <v>499</v>
      </c>
      <c r="B52" s="375"/>
      <c r="C52" s="375"/>
      <c r="D52" s="375"/>
      <c r="E52" s="375"/>
      <c r="F52" s="375"/>
      <c r="G52" s="375"/>
    </row>
    <row r="53" spans="1:7" ht="15">
      <c r="A53" s="375" t="s">
        <v>500</v>
      </c>
      <c r="B53" s="375"/>
      <c r="C53" s="375"/>
      <c r="D53" s="375"/>
      <c r="E53" s="375"/>
      <c r="F53" s="375"/>
      <c r="G53" s="375"/>
    </row>
    <row r="54" spans="1:7" ht="15">
      <c r="A54" s="375" t="s">
        <v>501</v>
      </c>
      <c r="B54" s="375"/>
      <c r="C54" s="375"/>
      <c r="D54" s="375"/>
      <c r="E54" s="375"/>
      <c r="F54" s="375"/>
      <c r="G54" s="375"/>
    </row>
    <row r="55" spans="1:7" ht="15">
      <c r="A55" s="375"/>
      <c r="B55" s="375"/>
      <c r="C55" s="375"/>
      <c r="D55" s="375"/>
      <c r="E55" s="375"/>
      <c r="F55" s="375"/>
      <c r="G55" s="375"/>
    </row>
    <row r="56" spans="1:6" ht="15">
      <c r="A56" s="379" t="s">
        <v>439</v>
      </c>
      <c r="B56" s="375"/>
      <c r="C56" s="375"/>
      <c r="D56" s="375"/>
      <c r="E56" s="375"/>
      <c r="F56" s="375"/>
    </row>
    <row r="57" spans="1:6" ht="15">
      <c r="A57" s="379" t="s">
        <v>440</v>
      </c>
      <c r="B57" s="375"/>
      <c r="C57" s="375"/>
      <c r="D57" s="375"/>
      <c r="E57" s="375"/>
      <c r="F57" s="375"/>
    </row>
    <row r="58" spans="1:6" ht="15">
      <c r="A58" s="379" t="s">
        <v>441</v>
      </c>
      <c r="B58" s="375"/>
      <c r="C58" s="375"/>
      <c r="D58" s="375"/>
      <c r="E58" s="375"/>
      <c r="F58" s="375"/>
    </row>
    <row r="59" spans="1:6" ht="15">
      <c r="A59" s="379"/>
      <c r="B59" s="375"/>
      <c r="C59" s="375"/>
      <c r="D59" s="375"/>
      <c r="E59" s="375"/>
      <c r="F59" s="375"/>
    </row>
    <row r="60" spans="1:7" ht="15">
      <c r="A60" s="375" t="s">
        <v>580</v>
      </c>
      <c r="B60" s="375"/>
      <c r="C60" s="375"/>
      <c r="D60" s="375"/>
      <c r="E60" s="375"/>
      <c r="F60" s="375"/>
      <c r="G60" s="375"/>
    </row>
    <row r="61" spans="1:7" ht="15">
      <c r="A61" s="375" t="s">
        <v>581</v>
      </c>
      <c r="B61" s="375"/>
      <c r="C61" s="375"/>
      <c r="D61" s="375"/>
      <c r="E61" s="375"/>
      <c r="F61" s="375"/>
      <c r="G61" s="375"/>
    </row>
    <row r="62" spans="1:7" ht="15">
      <c r="A62" s="375" t="s">
        <v>582</v>
      </c>
      <c r="B62" s="375"/>
      <c r="C62" s="375"/>
      <c r="D62" s="375"/>
      <c r="E62" s="375"/>
      <c r="F62" s="375"/>
      <c r="G62" s="375"/>
    </row>
    <row r="63" spans="1:7" ht="15">
      <c r="A63" s="375" t="s">
        <v>583</v>
      </c>
      <c r="B63" s="375"/>
      <c r="C63" s="375"/>
      <c r="D63" s="375"/>
      <c r="E63" s="375"/>
      <c r="F63" s="375"/>
      <c r="G63" s="375"/>
    </row>
    <row r="64" spans="1:7" ht="15">
      <c r="A64" s="375" t="s">
        <v>584</v>
      </c>
      <c r="B64" s="375"/>
      <c r="C64" s="375"/>
      <c r="D64" s="375"/>
      <c r="E64" s="375"/>
      <c r="F64" s="375"/>
      <c r="G64" s="375"/>
    </row>
    <row r="66" spans="1:6" ht="15">
      <c r="A66" s="379" t="s">
        <v>547</v>
      </c>
      <c r="B66" s="375"/>
      <c r="C66" s="375"/>
      <c r="D66" s="375"/>
      <c r="E66" s="375"/>
      <c r="F66" s="375"/>
    </row>
    <row r="67" spans="1:6" ht="15">
      <c r="A67" s="379" t="s">
        <v>548</v>
      </c>
      <c r="B67" s="375"/>
      <c r="C67" s="375"/>
      <c r="D67" s="375"/>
      <c r="E67" s="375"/>
      <c r="F67" s="375"/>
    </row>
    <row r="68" spans="1:6" ht="15">
      <c r="A68" s="379" t="s">
        <v>549</v>
      </c>
      <c r="B68" s="375"/>
      <c r="C68" s="375"/>
      <c r="D68" s="375"/>
      <c r="E68" s="375"/>
      <c r="F68" s="375"/>
    </row>
    <row r="69" spans="1:6" ht="15">
      <c r="A69" s="379" t="s">
        <v>550</v>
      </c>
      <c r="B69" s="375"/>
      <c r="C69" s="375"/>
      <c r="D69" s="375"/>
      <c r="E69" s="375"/>
      <c r="F69" s="375"/>
    </row>
    <row r="70" spans="1:6" ht="15">
      <c r="A70" s="379" t="s">
        <v>551</v>
      </c>
      <c r="B70" s="375"/>
      <c r="C70" s="375"/>
      <c r="D70" s="375"/>
      <c r="E70" s="375"/>
      <c r="F70" s="375"/>
    </row>
    <row r="71" ht="15">
      <c r="A71" s="375"/>
    </row>
    <row r="72" ht="15">
      <c r="A72" s="375" t="s">
        <v>468</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585</v>
      </c>
      <c r="B3" s="374"/>
      <c r="C3" s="374"/>
      <c r="D3" s="374"/>
      <c r="E3" s="374"/>
      <c r="F3" s="374"/>
      <c r="G3" s="374"/>
    </row>
    <row r="4" spans="1:7" ht="15">
      <c r="A4" s="374" t="s">
        <v>586</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413</v>
      </c>
    </row>
    <row r="8" ht="15">
      <c r="A8" s="375" t="str">
        <f>CONCATENATE("estimated ",inputPrYr!D9," 'total expenditures' exceed your ",inputPrYr!D9,"")</f>
        <v>estimated 2014 'total expenditures' exceed your 2014</v>
      </c>
    </row>
    <row r="9" ht="15">
      <c r="A9" s="378" t="s">
        <v>587</v>
      </c>
    </row>
    <row r="10" ht="15">
      <c r="A10" s="375"/>
    </row>
    <row r="11" ht="15">
      <c r="A11" s="375" t="s">
        <v>588</v>
      </c>
    </row>
    <row r="12" ht="15">
      <c r="A12" s="375" t="s">
        <v>589</v>
      </c>
    </row>
    <row r="13" ht="15">
      <c r="A13" s="375" t="s">
        <v>590</v>
      </c>
    </row>
    <row r="14" ht="15">
      <c r="A14" s="375"/>
    </row>
    <row r="15" ht="15">
      <c r="A15" s="376" t="s">
        <v>591</v>
      </c>
    </row>
    <row r="16" spans="1:7" ht="15">
      <c r="A16" s="374"/>
      <c r="B16" s="374"/>
      <c r="C16" s="374"/>
      <c r="D16" s="374"/>
      <c r="E16" s="374"/>
      <c r="F16" s="374"/>
      <c r="G16" s="374"/>
    </row>
    <row r="17" spans="1:8" ht="15">
      <c r="A17" s="381" t="s">
        <v>592</v>
      </c>
      <c r="B17" s="373"/>
      <c r="C17" s="373"/>
      <c r="D17" s="373"/>
      <c r="E17" s="373"/>
      <c r="F17" s="373"/>
      <c r="G17" s="373"/>
      <c r="H17" s="373"/>
    </row>
    <row r="18" spans="1:7" ht="15">
      <c r="A18" s="375" t="s">
        <v>593</v>
      </c>
      <c r="B18" s="382"/>
      <c r="C18" s="382"/>
      <c r="D18" s="382"/>
      <c r="E18" s="382"/>
      <c r="F18" s="382"/>
      <c r="G18" s="382"/>
    </row>
    <row r="19" ht="15">
      <c r="A19" s="375" t="s">
        <v>594</v>
      </c>
    </row>
    <row r="20" ht="15">
      <c r="A20" s="375" t="s">
        <v>595</v>
      </c>
    </row>
    <row r="22" ht="15">
      <c r="A22" s="376" t="s">
        <v>596</v>
      </c>
    </row>
    <row r="24" ht="15">
      <c r="A24" s="375" t="s">
        <v>597</v>
      </c>
    </row>
    <row r="25" ht="15">
      <c r="A25" s="375" t="s">
        <v>598</v>
      </c>
    </row>
    <row r="26" ht="15">
      <c r="A26" s="375" t="s">
        <v>599</v>
      </c>
    </row>
    <row r="28" ht="15">
      <c r="A28" s="376" t="s">
        <v>600</v>
      </c>
    </row>
    <row r="30" ht="15">
      <c r="A30" t="s">
        <v>601</v>
      </c>
    </row>
    <row r="31" ht="15">
      <c r="A31" t="s">
        <v>602</v>
      </c>
    </row>
    <row r="32" ht="15">
      <c r="A32" t="s">
        <v>603</v>
      </c>
    </row>
    <row r="33" ht="15">
      <c r="A33" s="375"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75" t="s">
        <v>617</v>
      </c>
    </row>
    <row r="50" ht="15">
      <c r="A50" s="375" t="s">
        <v>618</v>
      </c>
    </row>
    <row r="52" ht="15">
      <c r="A52" t="s">
        <v>468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65" t="s">
        <v>660</v>
      </c>
      <c r="C6" s="876"/>
      <c r="D6" s="876"/>
      <c r="E6" s="876"/>
      <c r="F6" s="876"/>
      <c r="G6" s="876"/>
      <c r="H6" s="876"/>
      <c r="I6" s="876"/>
      <c r="J6" s="876"/>
      <c r="K6" s="876"/>
      <c r="L6" s="397"/>
    </row>
    <row r="7" spans="1:12" ht="40.5" customHeight="1">
      <c r="A7" s="395"/>
      <c r="B7" s="885" t="s">
        <v>661</v>
      </c>
      <c r="C7" s="886"/>
      <c r="D7" s="886"/>
      <c r="E7" s="886"/>
      <c r="F7" s="886"/>
      <c r="G7" s="886"/>
      <c r="H7" s="886"/>
      <c r="I7" s="886"/>
      <c r="J7" s="886"/>
      <c r="K7" s="886"/>
      <c r="L7" s="395"/>
    </row>
    <row r="8" spans="1:12" ht="13.5">
      <c r="A8" s="395"/>
      <c r="B8" s="878" t="s">
        <v>662</v>
      </c>
      <c r="C8" s="878"/>
      <c r="D8" s="878"/>
      <c r="E8" s="878"/>
      <c r="F8" s="878"/>
      <c r="G8" s="878"/>
      <c r="H8" s="878"/>
      <c r="I8" s="878"/>
      <c r="J8" s="878"/>
      <c r="K8" s="878"/>
      <c r="L8" s="395"/>
    </row>
    <row r="9" spans="1:12" ht="13.5">
      <c r="A9" s="395"/>
      <c r="L9" s="395"/>
    </row>
    <row r="10" spans="1:12" ht="13.5">
      <c r="A10" s="395"/>
      <c r="B10" s="878" t="s">
        <v>663</v>
      </c>
      <c r="C10" s="878"/>
      <c r="D10" s="878"/>
      <c r="E10" s="878"/>
      <c r="F10" s="878"/>
      <c r="G10" s="878"/>
      <c r="H10" s="878"/>
      <c r="I10" s="878"/>
      <c r="J10" s="878"/>
      <c r="K10" s="878"/>
      <c r="L10" s="395"/>
    </row>
    <row r="11" spans="1:12" ht="13.5">
      <c r="A11" s="395"/>
      <c r="B11" s="398"/>
      <c r="C11" s="398"/>
      <c r="D11" s="398"/>
      <c r="E11" s="398"/>
      <c r="F11" s="398"/>
      <c r="G11" s="398"/>
      <c r="H11" s="398"/>
      <c r="I11" s="398"/>
      <c r="J11" s="398"/>
      <c r="K11" s="398"/>
      <c r="L11" s="395"/>
    </row>
    <row r="12" spans="1:12" ht="32.25" customHeight="1">
      <c r="A12" s="395"/>
      <c r="B12" s="866" t="s">
        <v>664</v>
      </c>
      <c r="C12" s="866"/>
      <c r="D12" s="866"/>
      <c r="E12" s="866"/>
      <c r="F12" s="866"/>
      <c r="G12" s="866"/>
      <c r="H12" s="866"/>
      <c r="I12" s="866"/>
      <c r="J12" s="866"/>
      <c r="K12" s="866"/>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68">
        <v>133685008</v>
      </c>
      <c r="G23" s="868"/>
      <c r="L23" s="395"/>
    </row>
    <row r="24" spans="1:12" ht="13.5">
      <c r="A24" s="395"/>
      <c r="L24" s="395"/>
    </row>
    <row r="25" spans="1:12" ht="13.5">
      <c r="A25" s="395"/>
      <c r="C25" s="879">
        <f>F23</f>
        <v>133685008</v>
      </c>
      <c r="D25" s="879"/>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3" t="s">
        <v>661</v>
      </c>
      <c r="C30" s="873"/>
      <c r="D30" s="873"/>
      <c r="E30" s="873"/>
      <c r="F30" s="873"/>
      <c r="G30" s="873"/>
      <c r="H30" s="873"/>
      <c r="I30" s="873"/>
      <c r="J30" s="873"/>
      <c r="K30" s="873"/>
      <c r="L30" s="395"/>
    </row>
    <row r="31" spans="1:12" ht="13.5">
      <c r="A31" s="395"/>
      <c r="B31" s="878" t="s">
        <v>675</v>
      </c>
      <c r="C31" s="878"/>
      <c r="D31" s="878"/>
      <c r="E31" s="878"/>
      <c r="F31" s="878"/>
      <c r="G31" s="878"/>
      <c r="H31" s="878"/>
      <c r="I31" s="878"/>
      <c r="J31" s="878"/>
      <c r="K31" s="878"/>
      <c r="L31" s="395"/>
    </row>
    <row r="32" spans="1:12" ht="13.5">
      <c r="A32" s="395"/>
      <c r="L32" s="395"/>
    </row>
    <row r="33" spans="1:12" ht="13.5">
      <c r="A33" s="395"/>
      <c r="B33" s="878" t="s">
        <v>676</v>
      </c>
      <c r="C33" s="878"/>
      <c r="D33" s="878"/>
      <c r="E33" s="878"/>
      <c r="F33" s="878"/>
      <c r="G33" s="878"/>
      <c r="H33" s="878"/>
      <c r="I33" s="878"/>
      <c r="J33" s="878"/>
      <c r="K33" s="878"/>
      <c r="L33" s="395"/>
    </row>
    <row r="34" spans="1:12" ht="13.5">
      <c r="A34" s="395"/>
      <c r="L34" s="395"/>
    </row>
    <row r="35" spans="1:12" ht="89.25" customHeight="1">
      <c r="A35" s="395"/>
      <c r="B35" s="866" t="s">
        <v>677</v>
      </c>
      <c r="C35" s="871"/>
      <c r="D35" s="871"/>
      <c r="E35" s="871"/>
      <c r="F35" s="871"/>
      <c r="G35" s="871"/>
      <c r="H35" s="871"/>
      <c r="I35" s="871"/>
      <c r="J35" s="871"/>
      <c r="K35" s="871"/>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0">
        <v>3120000</v>
      </c>
      <c r="D41" s="880"/>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68">
        <v>133685008</v>
      </c>
      <c r="C48" s="868"/>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1" t="s">
        <v>685</v>
      </c>
      <c r="H50" s="882"/>
      <c r="I50" s="407" t="s">
        <v>671</v>
      </c>
      <c r="J50" s="417">
        <f>B50/F50</f>
        <v>52.8690023342034</v>
      </c>
      <c r="K50" s="409"/>
      <c r="L50" s="395"/>
    </row>
    <row r="51" spans="1:15" ht="14.25" thickBot="1">
      <c r="A51" s="395"/>
      <c r="B51" s="410"/>
      <c r="C51" s="411"/>
      <c r="D51" s="411"/>
      <c r="E51" s="411"/>
      <c r="F51" s="411"/>
      <c r="G51" s="411"/>
      <c r="H51" s="411"/>
      <c r="I51" s="883" t="s">
        <v>686</v>
      </c>
      <c r="J51" s="883"/>
      <c r="K51" s="884"/>
      <c r="L51" s="395"/>
      <c r="O51" s="418"/>
    </row>
    <row r="52" spans="1:12" ht="40.5" customHeight="1">
      <c r="A52" s="395"/>
      <c r="B52" s="873" t="s">
        <v>661</v>
      </c>
      <c r="C52" s="873"/>
      <c r="D52" s="873"/>
      <c r="E52" s="873"/>
      <c r="F52" s="873"/>
      <c r="G52" s="873"/>
      <c r="H52" s="873"/>
      <c r="I52" s="873"/>
      <c r="J52" s="873"/>
      <c r="K52" s="873"/>
      <c r="L52" s="395"/>
    </row>
    <row r="53" spans="1:12" ht="13.5">
      <c r="A53" s="395"/>
      <c r="B53" s="878" t="s">
        <v>687</v>
      </c>
      <c r="C53" s="878"/>
      <c r="D53" s="878"/>
      <c r="E53" s="878"/>
      <c r="F53" s="878"/>
      <c r="G53" s="878"/>
      <c r="H53" s="878"/>
      <c r="I53" s="878"/>
      <c r="J53" s="878"/>
      <c r="K53" s="878"/>
      <c r="L53" s="395"/>
    </row>
    <row r="54" spans="1:12" ht="13.5">
      <c r="A54" s="395"/>
      <c r="B54" s="398"/>
      <c r="C54" s="398"/>
      <c r="D54" s="398"/>
      <c r="E54" s="398"/>
      <c r="F54" s="398"/>
      <c r="G54" s="398"/>
      <c r="H54" s="398"/>
      <c r="I54" s="398"/>
      <c r="J54" s="398"/>
      <c r="K54" s="398"/>
      <c r="L54" s="395"/>
    </row>
    <row r="55" spans="1:12" ht="13.5">
      <c r="A55" s="395"/>
      <c r="B55" s="865" t="s">
        <v>688</v>
      </c>
      <c r="C55" s="865"/>
      <c r="D55" s="865"/>
      <c r="E55" s="865"/>
      <c r="F55" s="865"/>
      <c r="G55" s="865"/>
      <c r="H55" s="865"/>
      <c r="I55" s="865"/>
      <c r="J55" s="865"/>
      <c r="K55" s="865"/>
      <c r="L55" s="395"/>
    </row>
    <row r="56" spans="1:12" ht="15" customHeight="1">
      <c r="A56" s="395"/>
      <c r="L56" s="395"/>
    </row>
    <row r="57" spans="1:24" ht="74.25" customHeight="1">
      <c r="A57" s="395"/>
      <c r="B57" s="866" t="s">
        <v>689</v>
      </c>
      <c r="C57" s="871"/>
      <c r="D57" s="871"/>
      <c r="E57" s="871"/>
      <c r="F57" s="871"/>
      <c r="G57" s="871"/>
      <c r="H57" s="871"/>
      <c r="I57" s="871"/>
      <c r="J57" s="871"/>
      <c r="K57" s="871"/>
      <c r="L57" s="395"/>
      <c r="M57" s="419"/>
      <c r="N57" s="420"/>
      <c r="O57" s="420"/>
      <c r="P57" s="420"/>
      <c r="Q57" s="420"/>
      <c r="R57" s="420"/>
      <c r="S57" s="420"/>
      <c r="T57" s="420"/>
      <c r="U57" s="420"/>
      <c r="V57" s="420"/>
      <c r="W57" s="420"/>
      <c r="X57" s="420"/>
    </row>
    <row r="58" spans="1:24" ht="15" customHeight="1">
      <c r="A58" s="395"/>
      <c r="B58" s="866"/>
      <c r="C58" s="871"/>
      <c r="D58" s="871"/>
      <c r="E58" s="871"/>
      <c r="F58" s="871"/>
      <c r="G58" s="871"/>
      <c r="H58" s="871"/>
      <c r="I58" s="871"/>
      <c r="J58" s="871"/>
      <c r="K58" s="871"/>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68">
        <v>133685008</v>
      </c>
      <c r="D74" s="868"/>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68">
        <v>5000</v>
      </c>
      <c r="D77" s="868"/>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68">
        <v>100000</v>
      </c>
      <c r="D80" s="868"/>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2">
        <f>H80</f>
        <v>11500</v>
      </c>
      <c r="D83" s="872"/>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3" t="s">
        <v>661</v>
      </c>
      <c r="C85" s="873"/>
      <c r="D85" s="873"/>
      <c r="E85" s="873"/>
      <c r="F85" s="873"/>
      <c r="G85" s="873"/>
      <c r="H85" s="873"/>
      <c r="I85" s="873"/>
      <c r="J85" s="873"/>
      <c r="K85" s="873"/>
      <c r="L85" s="395"/>
    </row>
    <row r="86" spans="1:12" ht="13.5">
      <c r="A86" s="395"/>
      <c r="B86" s="865" t="s">
        <v>709</v>
      </c>
      <c r="C86" s="865"/>
      <c r="D86" s="865"/>
      <c r="E86" s="865"/>
      <c r="F86" s="865"/>
      <c r="G86" s="865"/>
      <c r="H86" s="865"/>
      <c r="I86" s="865"/>
      <c r="J86" s="865"/>
      <c r="K86" s="865"/>
      <c r="L86" s="395"/>
    </row>
    <row r="87" spans="1:12" ht="13.5">
      <c r="A87" s="395"/>
      <c r="B87" s="434"/>
      <c r="C87" s="434"/>
      <c r="D87" s="434"/>
      <c r="E87" s="434"/>
      <c r="F87" s="434"/>
      <c r="G87" s="434"/>
      <c r="H87" s="434"/>
      <c r="I87" s="434"/>
      <c r="J87" s="434"/>
      <c r="K87" s="434"/>
      <c r="L87" s="395"/>
    </row>
    <row r="88" spans="1:12" ht="13.5">
      <c r="A88" s="395"/>
      <c r="B88" s="865" t="s">
        <v>710</v>
      </c>
      <c r="C88" s="865"/>
      <c r="D88" s="865"/>
      <c r="E88" s="865"/>
      <c r="F88" s="865"/>
      <c r="G88" s="865"/>
      <c r="H88" s="865"/>
      <c r="I88" s="865"/>
      <c r="J88" s="865"/>
      <c r="K88" s="865"/>
      <c r="L88" s="395"/>
    </row>
    <row r="89" spans="1:12" ht="13.5">
      <c r="A89" s="395"/>
      <c r="B89" s="435"/>
      <c r="C89" s="435"/>
      <c r="D89" s="435"/>
      <c r="E89" s="435"/>
      <c r="F89" s="435"/>
      <c r="G89" s="435"/>
      <c r="H89" s="435"/>
      <c r="I89" s="435"/>
      <c r="J89" s="435"/>
      <c r="K89" s="435"/>
      <c r="L89" s="395"/>
    </row>
    <row r="90" spans="1:12" ht="45" customHeight="1">
      <c r="A90" s="395"/>
      <c r="B90" s="866" t="s">
        <v>711</v>
      </c>
      <c r="C90" s="866"/>
      <c r="D90" s="866"/>
      <c r="E90" s="866"/>
      <c r="F90" s="866"/>
      <c r="G90" s="866"/>
      <c r="H90" s="866"/>
      <c r="I90" s="866"/>
      <c r="J90" s="866"/>
      <c r="K90" s="866"/>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8">
        <v>133685008</v>
      </c>
      <c r="D94" s="868"/>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8">
        <v>50000</v>
      </c>
      <c r="D97" s="868"/>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8">
        <v>2500000</v>
      </c>
      <c r="D100" s="868"/>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2">
        <f>H100</f>
        <v>750000</v>
      </c>
      <c r="D103" s="872"/>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3" t="s">
        <v>661</v>
      </c>
      <c r="C105" s="874"/>
      <c r="D105" s="874"/>
      <c r="E105" s="874"/>
      <c r="F105" s="874"/>
      <c r="G105" s="874"/>
      <c r="H105" s="874"/>
      <c r="I105" s="874"/>
      <c r="J105" s="874"/>
      <c r="K105" s="874"/>
      <c r="L105" s="395"/>
    </row>
    <row r="106" spans="1:12" ht="15" customHeight="1">
      <c r="A106" s="395"/>
      <c r="B106" s="875" t="s">
        <v>713</v>
      </c>
      <c r="C106" s="876"/>
      <c r="D106" s="876"/>
      <c r="E106" s="876"/>
      <c r="F106" s="876"/>
      <c r="G106" s="876"/>
      <c r="H106" s="876"/>
      <c r="I106" s="876"/>
      <c r="J106" s="876"/>
      <c r="K106" s="876"/>
      <c r="L106" s="395"/>
    </row>
    <row r="107" spans="1:12" ht="15" customHeight="1">
      <c r="A107" s="395"/>
      <c r="B107" s="440"/>
      <c r="C107" s="448"/>
      <c r="D107" s="448"/>
      <c r="E107" s="407"/>
      <c r="F107" s="417"/>
      <c r="G107" s="407"/>
      <c r="H107" s="407"/>
      <c r="I107" s="407"/>
      <c r="J107" s="429"/>
      <c r="K107" s="440"/>
      <c r="L107" s="395"/>
    </row>
    <row r="108" spans="1:12" ht="15" customHeight="1">
      <c r="A108" s="395"/>
      <c r="B108" s="875" t="s">
        <v>714</v>
      </c>
      <c r="C108" s="877"/>
      <c r="D108" s="877"/>
      <c r="E108" s="877"/>
      <c r="F108" s="877"/>
      <c r="G108" s="877"/>
      <c r="H108" s="877"/>
      <c r="I108" s="877"/>
      <c r="J108" s="877"/>
      <c r="K108" s="877"/>
      <c r="L108" s="395"/>
    </row>
    <row r="109" spans="1:12" ht="15" customHeight="1">
      <c r="A109" s="395"/>
      <c r="B109" s="440"/>
      <c r="C109" s="448"/>
      <c r="D109" s="448"/>
      <c r="E109" s="407"/>
      <c r="F109" s="417"/>
      <c r="G109" s="407"/>
      <c r="H109" s="407"/>
      <c r="I109" s="407"/>
      <c r="J109" s="429"/>
      <c r="K109" s="440"/>
      <c r="L109" s="395"/>
    </row>
    <row r="110" spans="1:12" ht="59.25" customHeight="1">
      <c r="A110" s="395"/>
      <c r="B110" s="870" t="s">
        <v>715</v>
      </c>
      <c r="C110" s="871"/>
      <c r="D110" s="871"/>
      <c r="E110" s="871"/>
      <c r="F110" s="871"/>
      <c r="G110" s="871"/>
      <c r="H110" s="871"/>
      <c r="I110" s="871"/>
      <c r="J110" s="871"/>
      <c r="K110" s="871"/>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68">
        <v>133685008</v>
      </c>
      <c r="D114" s="868"/>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68">
        <v>50000</v>
      </c>
      <c r="D117" s="868"/>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68">
        <v>2500000</v>
      </c>
      <c r="D120" s="868"/>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2">
        <f>H120</f>
        <v>625000</v>
      </c>
      <c r="D123" s="872"/>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3" t="s">
        <v>661</v>
      </c>
      <c r="C125" s="873"/>
      <c r="D125" s="873"/>
      <c r="E125" s="873"/>
      <c r="F125" s="873"/>
      <c r="G125" s="873"/>
      <c r="H125" s="873"/>
      <c r="I125" s="873"/>
      <c r="J125" s="873"/>
      <c r="K125" s="873"/>
      <c r="L125" s="449"/>
    </row>
    <row r="126" spans="1:12" ht="13.5">
      <c r="A126" s="395"/>
      <c r="B126" s="865" t="s">
        <v>716</v>
      </c>
      <c r="C126" s="865"/>
      <c r="D126" s="865"/>
      <c r="E126" s="865"/>
      <c r="F126" s="865"/>
      <c r="G126" s="865"/>
      <c r="H126" s="865"/>
      <c r="I126" s="865"/>
      <c r="J126" s="865"/>
      <c r="K126" s="865"/>
      <c r="L126" s="449"/>
    </row>
    <row r="127" spans="1:12" ht="13.5">
      <c r="A127" s="395"/>
      <c r="B127" s="398"/>
      <c r="C127" s="398"/>
      <c r="D127" s="398"/>
      <c r="E127" s="398"/>
      <c r="F127" s="398"/>
      <c r="G127" s="398"/>
      <c r="H127" s="398"/>
      <c r="I127" s="398"/>
      <c r="J127" s="398"/>
      <c r="K127" s="398"/>
      <c r="L127" s="449"/>
    </row>
    <row r="128" spans="1:12" ht="13.5">
      <c r="A128" s="395"/>
      <c r="B128" s="865" t="s">
        <v>717</v>
      </c>
      <c r="C128" s="865"/>
      <c r="D128" s="865"/>
      <c r="E128" s="865"/>
      <c r="F128" s="865"/>
      <c r="G128" s="865"/>
      <c r="H128" s="865"/>
      <c r="I128" s="865"/>
      <c r="J128" s="865"/>
      <c r="K128" s="865"/>
      <c r="L128" s="449"/>
    </row>
    <row r="129" spans="1:12" ht="13.5">
      <c r="A129" s="395"/>
      <c r="B129" s="435"/>
      <c r="C129" s="435"/>
      <c r="D129" s="435"/>
      <c r="E129" s="435"/>
      <c r="F129" s="435"/>
      <c r="G129" s="435"/>
      <c r="H129" s="435"/>
      <c r="I129" s="435"/>
      <c r="J129" s="435"/>
      <c r="K129" s="435"/>
      <c r="L129" s="449"/>
    </row>
    <row r="130" spans="1:12" ht="74.25" customHeight="1">
      <c r="A130" s="395"/>
      <c r="B130" s="866" t="s">
        <v>718</v>
      </c>
      <c r="C130" s="866"/>
      <c r="D130" s="866"/>
      <c r="E130" s="866"/>
      <c r="F130" s="866"/>
      <c r="G130" s="866"/>
      <c r="H130" s="866"/>
      <c r="I130" s="866"/>
      <c r="J130" s="866"/>
      <c r="K130" s="866"/>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67" t="s">
        <v>719</v>
      </c>
      <c r="D133" s="867"/>
      <c r="E133" s="406"/>
      <c r="F133" s="407" t="s">
        <v>720</v>
      </c>
      <c r="G133" s="406"/>
      <c r="H133" s="867" t="s">
        <v>705</v>
      </c>
      <c r="I133" s="867"/>
      <c r="J133" s="406"/>
      <c r="K133" s="409"/>
      <c r="L133" s="395"/>
    </row>
    <row r="134" spans="1:12" ht="13.5">
      <c r="A134" s="395"/>
      <c r="B134" s="415" t="s">
        <v>698</v>
      </c>
      <c r="C134" s="868">
        <v>100000</v>
      </c>
      <c r="D134" s="868"/>
      <c r="E134" s="407" t="s">
        <v>258</v>
      </c>
      <c r="F134" s="407">
        <v>0.115</v>
      </c>
      <c r="G134" s="407" t="s">
        <v>671</v>
      </c>
      <c r="H134" s="860">
        <f>C134*F134</f>
        <v>11500</v>
      </c>
      <c r="I134" s="860"/>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69" t="s">
        <v>705</v>
      </c>
      <c r="D136" s="869"/>
      <c r="E136" s="426"/>
      <c r="F136" s="427" t="s">
        <v>721</v>
      </c>
      <c r="G136" s="427"/>
      <c r="H136" s="426"/>
      <c r="I136" s="426"/>
      <c r="J136" s="426" t="s">
        <v>722</v>
      </c>
      <c r="K136" s="428"/>
      <c r="L136" s="395"/>
    </row>
    <row r="137" spans="1:12" ht="13.5">
      <c r="A137" s="395"/>
      <c r="B137" s="415" t="s">
        <v>701</v>
      </c>
      <c r="C137" s="860">
        <f>H134</f>
        <v>11500</v>
      </c>
      <c r="D137" s="860"/>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57" t="s">
        <v>725</v>
      </c>
      <c r="C144" s="858"/>
      <c r="D144" s="858"/>
      <c r="E144" s="858"/>
      <c r="F144" s="858"/>
      <c r="G144" s="858"/>
      <c r="H144" s="858"/>
      <c r="I144" s="858"/>
      <c r="J144" s="858"/>
      <c r="K144" s="859"/>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0" t="s">
        <v>726</v>
      </c>
      <c r="D147" s="860"/>
      <c r="E147" s="407"/>
      <c r="F147" s="467" t="s">
        <v>727</v>
      </c>
      <c r="G147" s="407"/>
      <c r="H147" s="407"/>
      <c r="I147" s="407"/>
      <c r="J147" s="861" t="s">
        <v>728</v>
      </c>
      <c r="K147" s="862"/>
      <c r="L147" s="395"/>
    </row>
    <row r="148" spans="1:12" ht="13.5">
      <c r="A148" s="395"/>
      <c r="B148" s="415"/>
      <c r="C148" s="863">
        <v>52.869</v>
      </c>
      <c r="D148" s="863"/>
      <c r="E148" s="407" t="s">
        <v>258</v>
      </c>
      <c r="F148" s="472">
        <v>133685008</v>
      </c>
      <c r="G148" s="473" t="s">
        <v>672</v>
      </c>
      <c r="H148" s="407">
        <v>1000</v>
      </c>
      <c r="I148" s="407" t="s">
        <v>671</v>
      </c>
      <c r="J148" s="860">
        <f>C148*(F148/1000)</f>
        <v>7067792.687952</v>
      </c>
      <c r="K148" s="864"/>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0.75">
      <c r="A3" s="489" t="s">
        <v>640</v>
      </c>
    </row>
    <row r="4" ht="15">
      <c r="A4" s="490" t="s">
        <v>641</v>
      </c>
    </row>
    <row r="7" ht="30.75">
      <c r="A7" s="489" t="s">
        <v>642</v>
      </c>
    </row>
    <row r="8" ht="15">
      <c r="A8" s="490" t="s">
        <v>643</v>
      </c>
    </row>
    <row r="11" ht="15">
      <c r="A11" s="488" t="s">
        <v>644</v>
      </c>
    </row>
    <row r="12" ht="15">
      <c r="A12" s="490" t="s">
        <v>645</v>
      </c>
    </row>
    <row r="15" ht="15">
      <c r="A15" s="488" t="s">
        <v>646</v>
      </c>
    </row>
    <row r="16" ht="15">
      <c r="A16" s="490" t="s">
        <v>647</v>
      </c>
    </row>
    <row r="19" ht="15">
      <c r="A19" s="488" t="s">
        <v>648</v>
      </c>
    </row>
    <row r="20" ht="15">
      <c r="A20" s="490" t="s">
        <v>649</v>
      </c>
    </row>
    <row r="23" ht="15">
      <c r="A23" s="488" t="s">
        <v>650</v>
      </c>
    </row>
    <row r="24" ht="15">
      <c r="A24" s="490" t="s">
        <v>651</v>
      </c>
    </row>
    <row r="27" ht="15">
      <c r="A27" s="488" t="s">
        <v>652</v>
      </c>
    </row>
    <row r="28" ht="15">
      <c r="A28" s="490" t="s">
        <v>653</v>
      </c>
    </row>
    <row r="31" ht="15">
      <c r="A31" s="488" t="s">
        <v>654</v>
      </c>
    </row>
    <row r="32" ht="15">
      <c r="A32" s="490" t="s">
        <v>655</v>
      </c>
    </row>
    <row r="35" ht="15">
      <c r="A35" s="488" t="s">
        <v>656</v>
      </c>
    </row>
    <row r="36" ht="15">
      <c r="A36" s="490" t="s">
        <v>657</v>
      </c>
    </row>
    <row r="39" ht="15">
      <c r="A39" s="488" t="s">
        <v>658</v>
      </c>
    </row>
    <row r="40" ht="1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1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Fairview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5700</v>
      </c>
      <c r="D12" s="258">
        <f>gen!$D$45</f>
        <v>0</v>
      </c>
      <c r="E12" s="258">
        <f>gen!$E$45</f>
        <v>0</v>
      </c>
      <c r="F12" s="207" t="str">
        <f>IF(C12+D12+E12&gt;0,"80-122","")</f>
        <v>80-122</v>
      </c>
    </row>
    <row r="13" spans="1:6" ht="15" customHeight="1">
      <c r="A13" s="207" t="s">
        <v>243</v>
      </c>
      <c r="B13" s="207" t="s">
        <v>256</v>
      </c>
      <c r="C13" s="258">
        <f>road!$C$38</f>
        <v>15563</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21263</v>
      </c>
      <c r="D27" s="261">
        <f>SUM(D10:D26)</f>
        <v>0</v>
      </c>
      <c r="E27" s="261">
        <f>SUM(E10:E26)</f>
        <v>0</v>
      </c>
      <c r="F27" s="192"/>
    </row>
    <row r="28" spans="1:6" ht="15">
      <c r="A28" s="192"/>
      <c r="B28" s="88" t="s">
        <v>627</v>
      </c>
      <c r="C28" s="65"/>
      <c r="D28" s="180"/>
      <c r="E28" s="180"/>
      <c r="F28" s="192"/>
    </row>
    <row r="29" spans="1:6" ht="15">
      <c r="A29" s="192"/>
      <c r="B29" s="88" t="s">
        <v>127</v>
      </c>
      <c r="C29" s="182">
        <f>C27</f>
        <v>21263</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
      <selection activeCell="E30" sqref="E3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Fairview Township</v>
      </c>
      <c r="B1" s="30"/>
      <c r="C1" s="30"/>
      <c r="D1" s="30"/>
      <c r="E1" s="30">
        <f>inputPrYr!D9</f>
        <v>2014</v>
      </c>
    </row>
    <row r="2" spans="1:5" ht="15">
      <c r="A2" s="41" t="str">
        <f>inputPrYr!D4</f>
        <v>Russell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1470227</v>
      </c>
    </row>
    <row r="9" spans="1:5" ht="15">
      <c r="A9" s="15" t="str">
        <f>inputPrYr!$D$6</f>
        <v>Lucas </v>
      </c>
      <c r="B9" s="16"/>
      <c r="C9" s="16"/>
      <c r="D9" s="16"/>
      <c r="E9" s="35">
        <v>1642270</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3112497</v>
      </c>
    </row>
    <row r="12" spans="1:5" ht="15">
      <c r="A12" s="54" t="str">
        <f>CONCATENATE("New Improvements for ",E1-1,":")</f>
        <v>New Improvements for 2013:</v>
      </c>
      <c r="B12" s="10"/>
      <c r="C12" s="10"/>
      <c r="D12" s="10"/>
      <c r="E12" s="34"/>
    </row>
    <row r="13" spans="1:5" ht="15">
      <c r="A13" s="13" t="s">
        <v>158</v>
      </c>
      <c r="B13" s="14"/>
      <c r="C13" s="14"/>
      <c r="D13" s="14"/>
      <c r="E13" s="52">
        <v>33295</v>
      </c>
    </row>
    <row r="14" spans="1:5" ht="15">
      <c r="A14" s="15" t="str">
        <f>inputPrYr!$D$6</f>
        <v>Lucas </v>
      </c>
      <c r="B14" s="14"/>
      <c r="C14" s="14"/>
      <c r="D14" s="14"/>
      <c r="E14" s="3">
        <v>191738</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225033</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25494</v>
      </c>
    </row>
    <row r="19" spans="1:5" ht="15">
      <c r="A19" s="15" t="str">
        <f>inputPrYr!$D$6</f>
        <v>Lucas </v>
      </c>
      <c r="B19" s="16"/>
      <c r="C19" s="16"/>
      <c r="D19" s="16"/>
      <c r="E19" s="3">
        <v>117869</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143363</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17316</v>
      </c>
    </row>
    <row r="24" spans="1:5" ht="15">
      <c r="A24" s="15" t="str">
        <f>inputPrYr!$D$6</f>
        <v>Lucas </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17316</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17049</v>
      </c>
    </row>
    <row r="29" spans="1:5" ht="15">
      <c r="A29" s="15" t="str">
        <f>inputPrYr!$D$6</f>
        <v>Lucas </v>
      </c>
      <c r="B29" s="16"/>
      <c r="C29" s="16"/>
      <c r="D29" s="16"/>
      <c r="E29" s="3">
        <v>116545</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133594</v>
      </c>
    </row>
    <row r="32" spans="1:5" ht="15">
      <c r="A32" s="15" t="str">
        <f>CONCATENATE("Gross earnings (intangible) tax estimate for ",E1,"")</f>
        <v>Gross earnings (intangible) tax estimate for 2014</v>
      </c>
      <c r="B32" s="16"/>
      <c r="C32" s="16"/>
      <c r="D32" s="16"/>
      <c r="E32" s="3">
        <v>400</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4.197</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25.82</v>
      </c>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t="str">
        <f>inputPrYr!B27</f>
        <v>Cemetery</v>
      </c>
      <c r="B44" s="16"/>
      <c r="C44" s="10"/>
      <c r="D44" s="50">
        <v>2.953</v>
      </c>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32.97</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1343046</v>
      </c>
    </row>
    <row r="53" spans="1:5" ht="15">
      <c r="A53" s="16" t="str">
        <f>inputPrYr!D6</f>
        <v>Lucas </v>
      </c>
      <c r="B53" s="16"/>
      <c r="C53" s="16"/>
      <c r="D53" s="20"/>
      <c r="E53" s="4">
        <v>1457751</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2800797</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4174</v>
      </c>
    </row>
    <row r="60" spans="1:5" ht="15">
      <c r="A60" s="15" t="s">
        <v>245</v>
      </c>
      <c r="B60" s="16"/>
      <c r="C60" s="16"/>
      <c r="D60" s="40"/>
      <c r="E60" s="2">
        <v>64</v>
      </c>
    </row>
    <row r="61" spans="1:5" ht="15">
      <c r="A61" s="15" t="s">
        <v>112</v>
      </c>
      <c r="B61" s="16"/>
      <c r="C61" s="16"/>
      <c r="D61" s="40"/>
      <c r="E61" s="2">
        <v>907</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v>3159</v>
      </c>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
      <c r="A79" s="33"/>
      <c r="B79" s="33"/>
      <c r="C79" s="33"/>
      <c r="D79" s="33"/>
      <c r="E79" s="33"/>
    </row>
    <row r="80" spans="1:5" ht="15">
      <c r="A80" s="755" t="str">
        <f>CONCATENATE("From the ",E1-2," Budget Certificate Page")</f>
        <v>From the 2012 Budget Certificate Page</v>
      </c>
      <c r="B80" s="756"/>
      <c r="C80" s="33"/>
      <c r="D80" s="33"/>
      <c r="E80" s="33"/>
    </row>
    <row r="81" spans="1:5" ht="15">
      <c r="A81" s="57"/>
      <c r="B81" s="57" t="str">
        <f>CONCATENATE("",E1-2," Expenditure Amounts")</f>
        <v>2012 Expenditure Amounts</v>
      </c>
      <c r="C81" s="757" t="str">
        <f>CONCATENATE("Note: If the ",E1-2," budget was amended, then the")</f>
        <v>Note: If the 2012 budget was amended, then the</v>
      </c>
      <c r="D81" s="758"/>
      <c r="E81" s="758"/>
    </row>
    <row r="82" spans="1:5" ht="15">
      <c r="A82" s="58" t="s">
        <v>175</v>
      </c>
      <c r="B82" s="58" t="s">
        <v>176</v>
      </c>
      <c r="C82" s="59" t="s">
        <v>177</v>
      </c>
      <c r="D82" s="60"/>
      <c r="E82" s="60"/>
    </row>
    <row r="83" spans="1:5" ht="15">
      <c r="A83" s="61" t="str">
        <f>inputPrYr!B20</f>
        <v>General</v>
      </c>
      <c r="B83" s="4">
        <v>22925</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62250</v>
      </c>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t="str">
        <f>inputPrYr!B27</f>
        <v>Cemetery</v>
      </c>
      <c r="B90" s="4">
        <v>10500</v>
      </c>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t="str">
        <f>inputPrYr!B35</f>
        <v>Cemetery Spec Machine</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
      <c r="A2" s="113"/>
    </row>
    <row r="3" ht="15">
      <c r="A3" s="113"/>
    </row>
    <row r="4" ht="52.5" customHeight="1">
      <c r="A4" s="217" t="s">
        <v>370</v>
      </c>
    </row>
    <row r="5" ht="15">
      <c r="A5" s="113"/>
    </row>
    <row r="6" ht="15">
      <c r="A6" s="113"/>
    </row>
    <row r="7" ht="70.5" customHeight="1">
      <c r="A7" s="217" t="s">
        <v>371</v>
      </c>
    </row>
    <row r="8" ht="15">
      <c r="A8" s="358"/>
    </row>
    <row r="9" ht="15">
      <c r="A9" s="113"/>
    </row>
    <row r="10" ht="56.25" customHeight="1">
      <c r="A10" s="217" t="s">
        <v>372</v>
      </c>
    </row>
    <row r="11" ht="15">
      <c r="A11" s="358"/>
    </row>
    <row r="12" ht="15">
      <c r="A12" s="358"/>
    </row>
    <row r="13" ht="57.75" customHeight="1">
      <c r="A13" s="217" t="s">
        <v>373</v>
      </c>
    </row>
    <row r="14" ht="15">
      <c r="A14" s="358"/>
    </row>
    <row r="15" ht="15">
      <c r="A15" s="358"/>
    </row>
    <row r="16" ht="87.75" customHeight="1">
      <c r="A16" s="217" t="s">
        <v>374</v>
      </c>
    </row>
    <row r="17" ht="15">
      <c r="A17" s="358"/>
    </row>
    <row r="18" ht="15">
      <c r="A18" s="113"/>
    </row>
    <row r="19" ht="54.75" customHeight="1">
      <c r="A19" s="217" t="s">
        <v>375</v>
      </c>
    </row>
    <row r="20" ht="15">
      <c r="A20" s="113"/>
    </row>
    <row r="21" ht="15">
      <c r="A21" s="113"/>
    </row>
    <row r="22" ht="69" customHeight="1">
      <c r="A22" s="217" t="s">
        <v>376</v>
      </c>
    </row>
    <row r="23" ht="15">
      <c r="A23" s="113"/>
    </row>
    <row r="24" ht="15">
      <c r="A24" s="360"/>
    </row>
    <row r="25" ht="47.25" customHeight="1">
      <c r="A25" s="361" t="s">
        <v>377</v>
      </c>
    </row>
    <row r="26" ht="15">
      <c r="A26" s="362"/>
    </row>
    <row r="27" ht="15">
      <c r="A27" s="360"/>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87" t="s">
        <v>813</v>
      </c>
      <c r="C2" s="887"/>
      <c r="D2" s="887"/>
      <c r="E2" s="887"/>
      <c r="F2" s="887"/>
      <c r="G2" s="887"/>
      <c r="H2" s="887"/>
      <c r="I2" s="887"/>
    </row>
    <row r="3" spans="2:9" ht="15">
      <c r="B3" s="887" t="s">
        <v>814</v>
      </c>
      <c r="C3" s="887"/>
      <c r="D3" s="887"/>
      <c r="E3" s="887"/>
      <c r="F3" s="887"/>
      <c r="G3" s="887"/>
      <c r="H3" s="887"/>
      <c r="I3" s="887"/>
    </row>
    <row r="4" spans="2:9" ht="15">
      <c r="B4" s="589"/>
      <c r="C4" s="589"/>
      <c r="D4" s="589"/>
      <c r="E4" s="589"/>
      <c r="F4" s="589"/>
      <c r="G4" s="589"/>
      <c r="H4" s="589"/>
      <c r="I4" s="589"/>
    </row>
    <row r="5" spans="2:9" ht="15">
      <c r="B5" s="888" t="str">
        <f>CONCATENATE("Budgeted Year: ",inputPrYr!D9,"")</f>
        <v>Budgeted Year: 2014</v>
      </c>
      <c r="C5" s="888"/>
      <c r="D5" s="888"/>
      <c r="E5" s="888"/>
      <c r="F5" s="888"/>
      <c r="G5" s="888"/>
      <c r="H5" s="888"/>
      <c r="I5" s="888"/>
    </row>
    <row r="6" spans="2:9" ht="15">
      <c r="B6" s="590"/>
      <c r="C6" s="589"/>
      <c r="D6" s="589"/>
      <c r="E6" s="589"/>
      <c r="F6" s="589"/>
      <c r="G6" s="589"/>
      <c r="H6" s="589"/>
      <c r="I6" s="589"/>
    </row>
    <row r="7" spans="2:9" ht="15">
      <c r="B7" s="590" t="str">
        <f>CONCATENATE("Library found in: ",inputPrYr!D3,"")</f>
        <v>Library found in: Fairview Township</v>
      </c>
      <c r="C7" s="589"/>
      <c r="D7" s="589"/>
      <c r="E7" s="589"/>
      <c r="F7" s="589"/>
      <c r="G7" s="589"/>
      <c r="H7" s="589"/>
      <c r="I7" s="589"/>
    </row>
    <row r="8" spans="2:9" ht="15">
      <c r="B8" s="590" t="str">
        <f>inputPrYr!D4</f>
        <v>Russell County</v>
      </c>
      <c r="C8" s="589"/>
      <c r="D8" s="589"/>
      <c r="E8" s="589"/>
      <c r="F8" s="589"/>
      <c r="G8" s="589"/>
      <c r="H8" s="589"/>
      <c r="I8" s="589"/>
    </row>
    <row r="9" spans="2:9" ht="15">
      <c r="B9" s="589"/>
      <c r="C9" s="589"/>
      <c r="D9" s="589"/>
      <c r="E9" s="589"/>
      <c r="F9" s="589"/>
      <c r="G9" s="589"/>
      <c r="H9" s="589"/>
      <c r="I9" s="589"/>
    </row>
    <row r="10" spans="2:9" ht="39" customHeight="1">
      <c r="B10" s="889" t="s">
        <v>815</v>
      </c>
      <c r="C10" s="889"/>
      <c r="D10" s="889"/>
      <c r="E10" s="889"/>
      <c r="F10" s="889"/>
      <c r="G10" s="889"/>
      <c r="H10" s="889"/>
      <c r="I10" s="889"/>
    </row>
    <row r="11" spans="2:9" ht="15">
      <c r="B11" s="589"/>
      <c r="C11" s="589"/>
      <c r="D11" s="589"/>
      <c r="E11" s="589"/>
      <c r="F11" s="589"/>
      <c r="G11" s="589"/>
      <c r="H11" s="589"/>
      <c r="I11" s="589"/>
    </row>
    <row r="12" spans="2:9" ht="15">
      <c r="B12" s="591" t="s">
        <v>816</v>
      </c>
      <c r="C12" s="589"/>
      <c r="D12" s="589"/>
      <c r="E12" s="589"/>
      <c r="F12" s="589"/>
      <c r="G12" s="589"/>
      <c r="H12" s="589"/>
      <c r="I12" s="589"/>
    </row>
    <row r="13" spans="2:9" ht="15">
      <c r="B13" s="589"/>
      <c r="C13" s="589"/>
      <c r="D13" s="589"/>
      <c r="E13" s="592" t="s">
        <v>275</v>
      </c>
      <c r="F13" s="589"/>
      <c r="G13" s="592" t="s">
        <v>817</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113</v>
      </c>
      <c r="C20" s="589"/>
      <c r="D20" s="589"/>
      <c r="E20" s="594">
        <v>0</v>
      </c>
      <c r="F20" s="589"/>
      <c r="G20" s="594">
        <v>0</v>
      </c>
      <c r="H20" s="589"/>
      <c r="I20" s="589"/>
    </row>
    <row r="21" spans="2:9" ht="15">
      <c r="B21" s="589"/>
      <c r="C21" s="589"/>
      <c r="D21" s="589"/>
      <c r="E21" s="594">
        <v>0</v>
      </c>
      <c r="F21" s="589"/>
      <c r="G21" s="594">
        <v>0</v>
      </c>
      <c r="H21" s="589"/>
      <c r="I21" s="589"/>
    </row>
    <row r="22" spans="2:9" ht="15">
      <c r="B22" s="589" t="s">
        <v>818</v>
      </c>
      <c r="C22" s="589"/>
      <c r="D22" s="589"/>
      <c r="E22" s="595">
        <f>SUM(E15:E21)</f>
        <v>0</v>
      </c>
      <c r="F22" s="589"/>
      <c r="G22" s="595">
        <f>SUM(G15:G21)</f>
        <v>0</v>
      </c>
      <c r="H22" s="589"/>
      <c r="I22" s="589"/>
    </row>
    <row r="23" spans="2:9" ht="15">
      <c r="B23" s="589" t="s">
        <v>819</v>
      </c>
      <c r="C23" s="589"/>
      <c r="D23" s="589"/>
      <c r="E23" s="596">
        <f>G22-E22</f>
        <v>0</v>
      </c>
      <c r="F23" s="589"/>
      <c r="G23" s="597"/>
      <c r="H23" s="589"/>
      <c r="I23" s="589"/>
    </row>
    <row r="24" spans="2:9" ht="15">
      <c r="B24" s="589" t="s">
        <v>820</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821</v>
      </c>
      <c r="C26" s="589"/>
      <c r="D26" s="589"/>
      <c r="E26" s="589"/>
      <c r="F26" s="589"/>
      <c r="G26" s="589"/>
      <c r="H26" s="589"/>
      <c r="I26" s="589"/>
    </row>
    <row r="27" spans="2:9" ht="15">
      <c r="B27" s="589" t="s">
        <v>822</v>
      </c>
      <c r="C27" s="589"/>
      <c r="D27" s="589"/>
      <c r="E27" s="594">
        <f>summ!D40</f>
        <v>2800797</v>
      </c>
      <c r="F27" s="589"/>
      <c r="G27" s="594">
        <f>summ!F40</f>
        <v>3112497</v>
      </c>
      <c r="H27" s="589"/>
      <c r="I27" s="589"/>
    </row>
    <row r="28" spans="2:9" ht="15">
      <c r="B28" s="589" t="s">
        <v>823</v>
      </c>
      <c r="C28" s="589"/>
      <c r="D28" s="589"/>
      <c r="E28" s="599" t="str">
        <f>IF(G27-E27&gt;=0,"No","Yes")</f>
        <v>No</v>
      </c>
      <c r="F28" s="589"/>
      <c r="G28" s="589"/>
      <c r="H28" s="589"/>
      <c r="I28" s="589"/>
    </row>
    <row r="29" spans="2:9" ht="15">
      <c r="B29" s="589" t="s">
        <v>824</v>
      </c>
      <c r="C29" s="589"/>
      <c r="D29" s="589"/>
      <c r="E29" s="600" t="str">
        <f>summ!E20</f>
        <v>  </v>
      </c>
      <c r="F29" s="589"/>
      <c r="G29" s="600">
        <f>summ!H36</f>
        <v>32.568</v>
      </c>
      <c r="H29" s="589"/>
      <c r="I29" s="589"/>
    </row>
    <row r="30" spans="2:9" ht="15">
      <c r="B30" s="589" t="s">
        <v>825</v>
      </c>
      <c r="C30" s="589"/>
      <c r="D30" s="589"/>
      <c r="E30" s="601" t="e">
        <f>G29-E29</f>
        <v>#VALUE!</v>
      </c>
      <c r="F30" s="589"/>
      <c r="G30" s="589"/>
      <c r="H30" s="589"/>
      <c r="I30" s="589"/>
    </row>
    <row r="31" spans="2:9" ht="15">
      <c r="B31" s="589" t="s">
        <v>820</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826</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89" t="s">
        <v>827</v>
      </c>
      <c r="C36" s="889"/>
      <c r="D36" s="889"/>
      <c r="E36" s="889"/>
      <c r="F36" s="889"/>
      <c r="G36" s="889"/>
      <c r="H36" s="889"/>
      <c r="I36" s="889"/>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828</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90" t="s">
        <v>829</v>
      </c>
      <c r="C43" s="891"/>
      <c r="D43" s="891"/>
      <c r="E43" s="891"/>
      <c r="F43" s="891"/>
      <c r="G43" s="891"/>
      <c r="H43" s="891"/>
      <c r="I43" s="891"/>
    </row>
    <row r="44" spans="2:9" ht="15">
      <c r="B44" s="589"/>
      <c r="C44" s="589"/>
      <c r="D44" s="589"/>
      <c r="E44" s="589"/>
      <c r="F44" s="589"/>
      <c r="G44" s="589"/>
      <c r="H44" s="589"/>
      <c r="I44" s="589"/>
    </row>
    <row r="45" spans="2:9" ht="15">
      <c r="B45" s="606" t="s">
        <v>830</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831</v>
      </c>
      <c r="C49" s="606"/>
      <c r="D49" s="607"/>
      <c r="E49" s="607"/>
      <c r="F49" s="607"/>
      <c r="G49" s="607"/>
      <c r="H49" s="607"/>
      <c r="I49" s="607"/>
    </row>
    <row r="50" spans="2:9" ht="15">
      <c r="B50" s="606" t="s">
        <v>832</v>
      </c>
      <c r="C50" s="606"/>
      <c r="D50" s="607"/>
      <c r="E50" s="607"/>
      <c r="F50" s="607"/>
      <c r="G50" s="607"/>
      <c r="H50" s="607"/>
      <c r="I50" s="607"/>
    </row>
    <row r="51" spans="2:9" ht="15">
      <c r="B51" s="606" t="s">
        <v>833</v>
      </c>
      <c r="C51" s="606"/>
      <c r="D51" s="607"/>
      <c r="E51" s="607"/>
      <c r="F51" s="607"/>
      <c r="G51" s="607"/>
      <c r="H51" s="607"/>
      <c r="I51" s="607"/>
    </row>
    <row r="52" spans="2:9" ht="15">
      <c r="B52" s="607"/>
      <c r="C52" s="607"/>
      <c r="D52" s="607"/>
      <c r="E52" s="607"/>
      <c r="F52" s="607"/>
      <c r="G52" s="607"/>
      <c r="H52" s="607"/>
      <c r="I52" s="607"/>
    </row>
    <row r="53" spans="2:9" ht="15">
      <c r="B53" s="608" t="s">
        <v>834</v>
      </c>
      <c r="C53" s="607"/>
      <c r="D53" s="607"/>
      <c r="E53" s="607"/>
      <c r="F53" s="607"/>
      <c r="G53" s="607"/>
      <c r="H53" s="607"/>
      <c r="I53" s="607"/>
    </row>
    <row r="54" spans="2:9" ht="15">
      <c r="B54" s="607"/>
      <c r="C54" s="607"/>
      <c r="D54" s="607"/>
      <c r="E54" s="607"/>
      <c r="F54" s="607"/>
      <c r="G54" s="607"/>
      <c r="H54" s="607"/>
      <c r="I54" s="607"/>
    </row>
    <row r="55" spans="2:9" ht="15">
      <c r="B55" s="606" t="s">
        <v>835</v>
      </c>
      <c r="C55" s="607"/>
      <c r="D55" s="607"/>
      <c r="E55" s="607"/>
      <c r="F55" s="607"/>
      <c r="G55" s="607"/>
      <c r="H55" s="607"/>
      <c r="I55" s="607"/>
    </row>
    <row r="56" spans="2:9" ht="15">
      <c r="B56" s="606" t="s">
        <v>836</v>
      </c>
      <c r="C56" s="607"/>
      <c r="D56" s="607"/>
      <c r="E56" s="607"/>
      <c r="F56" s="607"/>
      <c r="G56" s="607"/>
      <c r="H56" s="607"/>
      <c r="I56" s="607"/>
    </row>
    <row r="57" spans="2:9" ht="15">
      <c r="B57" s="607"/>
      <c r="C57" s="607"/>
      <c r="D57" s="607"/>
      <c r="E57" s="607"/>
      <c r="F57" s="607"/>
      <c r="G57" s="607"/>
      <c r="H57" s="607"/>
      <c r="I57" s="607"/>
    </row>
    <row r="58" spans="2:9" ht="15">
      <c r="B58" s="608" t="s">
        <v>837</v>
      </c>
      <c r="C58" s="606"/>
      <c r="D58" s="606"/>
      <c r="E58" s="606"/>
      <c r="F58" s="606"/>
      <c r="G58" s="607"/>
      <c r="H58" s="607"/>
      <c r="I58" s="607"/>
    </row>
    <row r="59" spans="2:9" ht="15">
      <c r="B59" s="606"/>
      <c r="C59" s="606"/>
      <c r="D59" s="606"/>
      <c r="E59" s="606"/>
      <c r="F59" s="606"/>
      <c r="G59" s="607"/>
      <c r="H59" s="607"/>
      <c r="I59" s="607"/>
    </row>
    <row r="60" spans="2:9" ht="15">
      <c r="B60" s="606" t="s">
        <v>838</v>
      </c>
      <c r="C60" s="606"/>
      <c r="D60" s="606"/>
      <c r="E60" s="606"/>
      <c r="F60" s="606"/>
      <c r="G60" s="607"/>
      <c r="H60" s="607"/>
      <c r="I60" s="607"/>
    </row>
    <row r="61" spans="2:9" ht="15">
      <c r="B61" s="606" t="s">
        <v>839</v>
      </c>
      <c r="C61" s="606"/>
      <c r="D61" s="606"/>
      <c r="E61" s="606"/>
      <c r="F61" s="606"/>
      <c r="G61" s="607"/>
      <c r="H61" s="607"/>
      <c r="I61" s="607"/>
    </row>
    <row r="62" spans="2:9" ht="15">
      <c r="B62" s="606" t="s">
        <v>840</v>
      </c>
      <c r="C62" s="606"/>
      <c r="D62" s="606"/>
      <c r="E62" s="606"/>
      <c r="F62" s="606"/>
      <c r="G62" s="607"/>
      <c r="H62" s="607"/>
      <c r="I62" s="607"/>
    </row>
    <row r="63" spans="2:9" ht="15">
      <c r="B63" s="606" t="s">
        <v>841</v>
      </c>
      <c r="C63" s="606"/>
      <c r="D63" s="606"/>
      <c r="E63" s="606"/>
      <c r="F63" s="606"/>
      <c r="G63" s="607"/>
      <c r="H63" s="607"/>
      <c r="I63" s="607"/>
    </row>
    <row r="64" spans="2:9" ht="15">
      <c r="B64" s="609"/>
      <c r="C64" s="609"/>
      <c r="D64" s="609"/>
      <c r="E64" s="609"/>
      <c r="F64" s="609"/>
      <c r="G64" s="607"/>
      <c r="H64" s="607"/>
      <c r="I64" s="607"/>
    </row>
    <row r="65" spans="2:9" ht="15">
      <c r="B65" s="606" t="s">
        <v>842</v>
      </c>
      <c r="C65" s="609"/>
      <c r="D65" s="609"/>
      <c r="E65" s="609"/>
      <c r="F65" s="609"/>
      <c r="G65" s="607"/>
      <c r="H65" s="607"/>
      <c r="I65" s="607"/>
    </row>
    <row r="66" spans="2:9" ht="15">
      <c r="B66" s="606" t="s">
        <v>843</v>
      </c>
      <c r="C66" s="609"/>
      <c r="D66" s="609"/>
      <c r="E66" s="609"/>
      <c r="F66" s="609"/>
      <c r="G66" s="607"/>
      <c r="H66" s="607"/>
      <c r="I66" s="607"/>
    </row>
    <row r="67" spans="2:9" ht="15">
      <c r="B67" s="609"/>
      <c r="C67" s="609"/>
      <c r="D67" s="609"/>
      <c r="E67" s="609"/>
      <c r="F67" s="609"/>
      <c r="G67" s="607"/>
      <c r="H67" s="607"/>
      <c r="I67" s="607"/>
    </row>
    <row r="68" spans="2:9" ht="15">
      <c r="B68" s="606" t="s">
        <v>844</v>
      </c>
      <c r="C68" s="609"/>
      <c r="D68" s="609"/>
      <c r="E68" s="609"/>
      <c r="F68" s="609"/>
      <c r="G68" s="607"/>
      <c r="H68" s="607"/>
      <c r="I68" s="607"/>
    </row>
    <row r="69" spans="2:9" ht="15">
      <c r="B69" s="606" t="s">
        <v>845</v>
      </c>
      <c r="C69" s="609"/>
      <c r="D69" s="609"/>
      <c r="E69" s="609"/>
      <c r="F69" s="609"/>
      <c r="G69" s="607"/>
      <c r="H69" s="607"/>
      <c r="I69" s="607"/>
    </row>
    <row r="70" spans="2:9" ht="15">
      <c r="B70" s="609"/>
      <c r="C70" s="609"/>
      <c r="D70" s="609"/>
      <c r="E70" s="609"/>
      <c r="F70" s="609"/>
      <c r="G70" s="607"/>
      <c r="H70" s="607"/>
      <c r="I70" s="607"/>
    </row>
    <row r="71" spans="2:9" ht="15">
      <c r="B71" s="608" t="s">
        <v>846</v>
      </c>
      <c r="C71" s="609"/>
      <c r="D71" s="609"/>
      <c r="E71" s="609"/>
      <c r="F71" s="609"/>
      <c r="G71" s="607"/>
      <c r="H71" s="607"/>
      <c r="I71" s="607"/>
    </row>
    <row r="72" spans="2:9" ht="15">
      <c r="B72" s="609"/>
      <c r="C72" s="609"/>
      <c r="D72" s="609"/>
      <c r="E72" s="609"/>
      <c r="F72" s="609"/>
      <c r="G72" s="607"/>
      <c r="H72" s="607"/>
      <c r="I72" s="607"/>
    </row>
    <row r="73" spans="2:9" ht="15">
      <c r="B73" s="606" t="s">
        <v>847</v>
      </c>
      <c r="C73" s="609"/>
      <c r="D73" s="609"/>
      <c r="E73" s="609"/>
      <c r="F73" s="609"/>
      <c r="G73" s="607"/>
      <c r="H73" s="607"/>
      <c r="I73" s="607"/>
    </row>
    <row r="74" spans="2:9" ht="15">
      <c r="B74" s="606" t="s">
        <v>848</v>
      </c>
      <c r="C74" s="609"/>
      <c r="D74" s="609"/>
      <c r="E74" s="609"/>
      <c r="F74" s="609"/>
      <c r="G74" s="607"/>
      <c r="H74" s="607"/>
      <c r="I74" s="607"/>
    </row>
    <row r="75" spans="2:9" ht="15">
      <c r="B75" s="609"/>
      <c r="C75" s="609"/>
      <c r="D75" s="609"/>
      <c r="E75" s="609"/>
      <c r="F75" s="609"/>
      <c r="G75" s="607"/>
      <c r="H75" s="607"/>
      <c r="I75" s="607"/>
    </row>
    <row r="76" spans="2:9" ht="15">
      <c r="B76" s="608" t="s">
        <v>849</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850</v>
      </c>
      <c r="C79" s="609"/>
      <c r="D79" s="609"/>
      <c r="E79" s="609"/>
      <c r="F79" s="609"/>
      <c r="G79" s="607"/>
      <c r="H79" s="607"/>
      <c r="I79" s="607"/>
    </row>
    <row r="80" spans="2:9" ht="15">
      <c r="B80" s="609"/>
      <c r="C80" s="609"/>
      <c r="D80" s="609"/>
      <c r="E80" s="609"/>
      <c r="F80" s="609"/>
      <c r="G80" s="607"/>
      <c r="H80" s="607"/>
      <c r="I80" s="607"/>
    </row>
    <row r="81" spans="2:9" ht="15">
      <c r="B81" s="608" t="s">
        <v>422</v>
      </c>
      <c r="C81" s="609"/>
      <c r="D81" s="609"/>
      <c r="E81" s="609"/>
      <c r="F81" s="609"/>
      <c r="G81" s="607"/>
      <c r="H81" s="607"/>
      <c r="I81" s="607"/>
    </row>
    <row r="82" spans="2:9" ht="15">
      <c r="B82" s="609"/>
      <c r="C82" s="609"/>
      <c r="D82" s="609"/>
      <c r="E82" s="609"/>
      <c r="F82" s="609"/>
      <c r="G82" s="607"/>
      <c r="H82" s="607"/>
      <c r="I82" s="607"/>
    </row>
    <row r="83" spans="2:9" ht="15">
      <c r="B83" s="606" t="s">
        <v>851</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852</v>
      </c>
      <c r="C86" s="609"/>
      <c r="D86" s="609"/>
      <c r="E86" s="609"/>
      <c r="F86" s="609"/>
      <c r="G86" s="607"/>
      <c r="H86" s="607"/>
      <c r="I86" s="607"/>
    </row>
    <row r="87" spans="2:9" ht="15">
      <c r="B87" s="606" t="s">
        <v>853</v>
      </c>
      <c r="C87" s="609"/>
      <c r="D87" s="609"/>
      <c r="E87" s="609"/>
      <c r="F87" s="609"/>
      <c r="G87" s="607"/>
      <c r="H87" s="607"/>
      <c r="I87" s="607"/>
    </row>
    <row r="88" spans="2:9" ht="15">
      <c r="B88" s="606" t="s">
        <v>854</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855</v>
      </c>
      <c r="C92" s="609"/>
      <c r="D92" s="609"/>
      <c r="E92" s="609"/>
      <c r="F92" s="609"/>
      <c r="G92" s="607"/>
      <c r="H92" s="607"/>
      <c r="I92" s="607"/>
    </row>
    <row r="93" spans="2:9" ht="15">
      <c r="B93" s="606" t="s">
        <v>856</v>
      </c>
      <c r="C93" s="609"/>
      <c r="D93" s="609"/>
      <c r="E93" s="609"/>
      <c r="F93" s="609"/>
      <c r="G93" s="607"/>
      <c r="H93" s="607"/>
      <c r="I93" s="607"/>
    </row>
    <row r="94" spans="2:9" ht="15">
      <c r="B94" s="606" t="s">
        <v>857</v>
      </c>
      <c r="C94" s="609"/>
      <c r="D94" s="609"/>
      <c r="E94" s="609"/>
      <c r="F94" s="609"/>
      <c r="G94" s="607"/>
      <c r="H94" s="607"/>
      <c r="I94" s="607"/>
    </row>
    <row r="95" spans="2:9" ht="15">
      <c r="B95" s="609"/>
      <c r="C95" s="609"/>
      <c r="D95" s="609"/>
      <c r="E95" s="609"/>
      <c r="F95" s="609"/>
      <c r="G95" s="607"/>
      <c r="H95" s="607"/>
      <c r="I95" s="607"/>
    </row>
    <row r="96" spans="2:9" ht="15">
      <c r="B96" s="608" t="s">
        <v>858</v>
      </c>
      <c r="C96" s="609"/>
      <c r="D96" s="609"/>
      <c r="E96" s="609"/>
      <c r="F96" s="609"/>
      <c r="G96" s="607"/>
      <c r="H96" s="607"/>
      <c r="I96" s="607"/>
    </row>
    <row r="97" spans="2:9" ht="15">
      <c r="B97" s="609"/>
      <c r="C97" s="609"/>
      <c r="D97" s="609"/>
      <c r="E97" s="609"/>
      <c r="F97" s="609"/>
      <c r="G97" s="607"/>
      <c r="H97" s="607"/>
      <c r="I97" s="607"/>
    </row>
    <row r="98" spans="2:9" ht="15">
      <c r="B98" s="606" t="s">
        <v>859</v>
      </c>
      <c r="C98" s="609"/>
      <c r="D98" s="609"/>
      <c r="E98" s="609"/>
      <c r="F98" s="609"/>
      <c r="G98" s="607"/>
      <c r="H98" s="607"/>
      <c r="I98" s="607"/>
    </row>
    <row r="99" spans="2:9" ht="15">
      <c r="B99" s="606" t="s">
        <v>860</v>
      </c>
      <c r="C99" s="609"/>
      <c r="D99" s="609"/>
      <c r="E99" s="609"/>
      <c r="F99" s="609"/>
      <c r="G99" s="607"/>
      <c r="H99" s="607"/>
      <c r="I99" s="607"/>
    </row>
    <row r="100" spans="2:9" ht="15">
      <c r="B100" s="609"/>
      <c r="C100" s="609"/>
      <c r="D100" s="609"/>
      <c r="E100" s="609"/>
      <c r="F100" s="609"/>
      <c r="G100" s="607"/>
      <c r="H100" s="607"/>
      <c r="I100" s="607"/>
    </row>
    <row r="101" spans="2:9" ht="15">
      <c r="B101" s="606" t="s">
        <v>861</v>
      </c>
      <c r="C101" s="609"/>
      <c r="D101" s="609"/>
      <c r="E101" s="609"/>
      <c r="F101" s="609"/>
      <c r="G101" s="607"/>
      <c r="H101" s="607"/>
      <c r="I101" s="607"/>
    </row>
    <row r="102" spans="2:9" ht="15">
      <c r="B102" s="606" t="s">
        <v>862</v>
      </c>
      <c r="C102" s="609"/>
      <c r="D102" s="609"/>
      <c r="E102" s="609"/>
      <c r="F102" s="609"/>
      <c r="G102" s="607"/>
      <c r="H102" s="607"/>
      <c r="I102" s="607"/>
    </row>
    <row r="103" spans="2:9" ht="15">
      <c r="B103" s="606" t="s">
        <v>863</v>
      </c>
      <c r="C103" s="609"/>
      <c r="D103" s="609"/>
      <c r="E103" s="609"/>
      <c r="F103" s="609"/>
      <c r="G103" s="607"/>
      <c r="H103" s="607"/>
      <c r="I103" s="607"/>
    </row>
    <row r="104" spans="2:9" ht="15">
      <c r="B104" s="606" t="s">
        <v>864</v>
      </c>
      <c r="C104" s="609"/>
      <c r="D104" s="609"/>
      <c r="E104" s="609"/>
      <c r="F104" s="609"/>
      <c r="G104" s="607"/>
      <c r="H104" s="607"/>
      <c r="I104" s="607"/>
    </row>
    <row r="105" spans="2:9" ht="1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Fairview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
      <c r="B24" s="637"/>
      <c r="C24" s="632"/>
      <c r="D24" s="634"/>
      <c r="E24" s="635"/>
      <c r="G24" s="833" t="str">
        <f>CONCATENATE("Desired Carryover Into ",E1+1,"")</f>
        <v>Desired Carryover Into 2015</v>
      </c>
      <c r="H24" s="834"/>
      <c r="I24" s="834"/>
      <c r="J24" s="83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
      <c r="B31" s="660" t="s">
        <v>231</v>
      </c>
      <c r="C31" s="640"/>
      <c r="D31" s="634"/>
      <c r="E31" s="635"/>
      <c r="G31" s="833" t="str">
        <f>CONCATENATE("Projected Carryover Into ",E1+1,"")</f>
        <v>Projected Carryover Into 2015</v>
      </c>
      <c r="H31" s="836"/>
      <c r="I31" s="836"/>
      <c r="J31" s="83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
      <c r="B36" s="669"/>
      <c r="C36" s="819" t="s">
        <v>730</v>
      </c>
      <c r="D36" s="820"/>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21" t="s">
        <v>731</v>
      </c>
      <c r="D37" s="822"/>
      <c r="E37" s="630">
        <f>E33+E36</f>
        <v>0</v>
      </c>
      <c r="F37" s="668"/>
      <c r="G37" s="677"/>
      <c r="H37" s="648"/>
      <c r="I37" s="648"/>
      <c r="J37" s="661"/>
    </row>
    <row r="38" spans="2:10" ht="1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5.75" thickBot="1">
      <c r="B40" s="612"/>
      <c r="C40" s="892" t="str">
        <f>CONCATENATE("Amount of  ",E1-1," Ad Valorem Tax")</f>
        <v>Amount of  2013 Ad Valorem Tax</v>
      </c>
      <c r="D40" s="893"/>
      <c r="E40" s="686">
        <f>SUM(E38:E39)</f>
        <v>0</v>
      </c>
      <c r="F40" s="668"/>
    </row>
    <row r="41" spans="2:10" ht="15.75" thickTop="1">
      <c r="B41" s="612"/>
      <c r="C41" s="892"/>
      <c r="D41" s="893"/>
      <c r="E41" s="687"/>
      <c r="F41" s="668"/>
      <c r="G41" s="838" t="s">
        <v>870</v>
      </c>
      <c r="H41" s="839"/>
      <c r="I41" s="839"/>
      <c r="J41" s="840"/>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273</v>
      </c>
      <c r="C44" s="620" t="s">
        <v>865</v>
      </c>
      <c r="D44" s="621" t="s">
        <v>866</v>
      </c>
      <c r="E44" s="622" t="s">
        <v>867</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32.568</v>
      </c>
      <c r="H45" s="665" t="str">
        <f>CONCATENATE("Total ",E1," Mill Rate")</f>
        <v>Total 2014 Mill Rate</v>
      </c>
      <c r="I45" s="689"/>
      <c r="J45" s="690"/>
    </row>
    <row r="46" spans="2:10" ht="15">
      <c r="B46" s="627" t="s">
        <v>96</v>
      </c>
      <c r="C46" s="632">
        <v>0</v>
      </c>
      <c r="D46" s="629">
        <f>C74</f>
        <v>0</v>
      </c>
      <c r="E46" s="630">
        <f>D74</f>
        <v>0</v>
      </c>
      <c r="F46" s="668"/>
      <c r="G46" s="692">
        <f>summ!E36</f>
        <v>32.97</v>
      </c>
      <c r="H46" s="695" t="str">
        <f>CONCATENATE("Total ",E1-1," Mill Rate")</f>
        <v>Total 2013 Mill Rate</v>
      </c>
      <c r="I46" s="696"/>
      <c r="J46" s="697"/>
    </row>
    <row r="47" spans="2:6" ht="15">
      <c r="B47" s="698" t="s">
        <v>72</v>
      </c>
      <c r="C47" s="627"/>
      <c r="D47" s="629"/>
      <c r="E47" s="630"/>
      <c r="F47" s="668"/>
    </row>
    <row r="48" spans="2:9" ht="15">
      <c r="B48" s="627" t="s">
        <v>279</v>
      </c>
      <c r="C48" s="640"/>
      <c r="D48" s="629">
        <f>IF(inputPrYr!H19&gt;0,inputPrYr!G22,inputPrYr!E22)</f>
        <v>0</v>
      </c>
      <c r="E48" s="633" t="s">
        <v>258</v>
      </c>
      <c r="F48" s="668"/>
      <c r="G48" s="745" t="s">
        <v>947</v>
      </c>
      <c r="H48" s="744"/>
      <c r="I48" s="743" t="str">
        <f>cert!E41</f>
        <v>No</v>
      </c>
    </row>
    <row r="49" spans="2:6" ht="15">
      <c r="B49" s="627" t="s">
        <v>280</v>
      </c>
      <c r="C49" s="640"/>
      <c r="D49" s="634"/>
      <c r="E49" s="635"/>
      <c r="F49" s="668"/>
    </row>
    <row r="50" spans="2:6" ht="15">
      <c r="B50" s="627" t="s">
        <v>281</v>
      </c>
      <c r="C50" s="640"/>
      <c r="D50" s="634"/>
      <c r="E50" s="630">
        <f>mvalloc!G13</f>
        <v>0</v>
      </c>
      <c r="F50" s="668"/>
    </row>
    <row r="51" spans="2:6" ht="1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
      <c r="B64" s="637"/>
      <c r="C64" s="632"/>
      <c r="D64" s="634"/>
      <c r="E64" s="635"/>
      <c r="G64" s="833" t="str">
        <f>CONCATENATE("Desired Carryover Into ",E1+1,"")</f>
        <v>Desired Carryover Into 2015</v>
      </c>
      <c r="H64" s="834"/>
      <c r="I64" s="834"/>
      <c r="J64" s="83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
      <c r="B70" s="636" t="s">
        <v>233</v>
      </c>
      <c r="C70" s="632"/>
      <c r="D70" s="634"/>
      <c r="E70" s="630">
        <f>nhood!E8</f>
      </c>
      <c r="F70" s="668"/>
    </row>
    <row r="71" spans="2:10" ht="15">
      <c r="B71" s="636" t="s">
        <v>231</v>
      </c>
      <c r="C71" s="640"/>
      <c r="D71" s="634"/>
      <c r="E71" s="635"/>
      <c r="F71" s="668"/>
      <c r="G71" s="833" t="str">
        <f>CONCATENATE("Projected Carryover Into ",E1+1,"")</f>
        <v>Projected Carryover Into 2015</v>
      </c>
      <c r="H71" s="841"/>
      <c r="I71" s="841"/>
      <c r="J71" s="837"/>
    </row>
    <row r="72" spans="2:10" ht="15">
      <c r="B72" s="636" t="s">
        <v>733</v>
      </c>
      <c r="C72" s="641">
        <f>IF(C73*0.1&lt;C71,"Exceed 10% Rule","")</f>
      </c>
      <c r="D72" s="641">
        <f>IF(D73*0.1&lt;D71,"Exceed 10% Rule","")</f>
      </c>
      <c r="E72" s="642">
        <f>IF(E73*0.1&lt;E71,"Exceed 10% Rule","")</f>
      </c>
      <c r="F72" s="668"/>
      <c r="G72" s="700"/>
      <c r="H72" s="647"/>
      <c r="I72" s="647"/>
      <c r="J72" s="701"/>
    </row>
    <row r="73" spans="2:10" ht="1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
      <c r="B76" s="669"/>
      <c r="C76" s="819" t="s">
        <v>730</v>
      </c>
      <c r="D76" s="820"/>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21" t="s">
        <v>731</v>
      </c>
      <c r="D77" s="822"/>
      <c r="E77" s="630">
        <f>E73+E76</f>
        <v>0</v>
      </c>
      <c r="F77" s="668"/>
      <c r="G77" s="705"/>
      <c r="H77" s="706"/>
      <c r="I77" s="647"/>
      <c r="J77" s="701"/>
    </row>
    <row r="78" spans="2:10" ht="1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92" t="str">
        <f>CONCATENATE("Amount of  ",E1-1," Ad Valorem Tax")</f>
        <v>Amount of  2013 Ad Valorem Tax</v>
      </c>
      <c r="D80" s="893"/>
      <c r="E80" s="686">
        <f>E78+E79</f>
        <v>0</v>
      </c>
      <c r="F80" s="709" t="e">
        <f>IF('[1]Library Grant'!F33="","",IF('[1]Library Grant'!F33="Qualify","Qualifies for State Library Grant","See 'Library Grant' tab"))</f>
        <v>#VALUE!</v>
      </c>
    </row>
    <row r="81" spans="2:10" ht="15.75" thickTop="1">
      <c r="B81" s="615"/>
      <c r="C81" s="892"/>
      <c r="D81" s="893"/>
      <c r="E81" s="687"/>
      <c r="F81" s="668"/>
      <c r="G81" s="838" t="s">
        <v>870</v>
      </c>
      <c r="H81" s="839"/>
      <c r="I81" s="839"/>
      <c r="J81" s="840"/>
    </row>
    <row r="82" spans="2:10" ht="15">
      <c r="B82" s="615"/>
      <c r="C82" s="615"/>
      <c r="D82" s="615"/>
      <c r="E82" s="615"/>
      <c r="G82" s="688"/>
      <c r="H82" s="665"/>
      <c r="I82" s="689"/>
      <c r="J82" s="690"/>
    </row>
    <row r="83" spans="2:10" ht="15">
      <c r="B83" s="615" t="s">
        <v>272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32.568</v>
      </c>
      <c r="H85" s="665" t="str">
        <f>CONCATENATE("Total ",E1," Mill Rate")</f>
        <v>Total 2014 Mill Rate</v>
      </c>
      <c r="I85" s="689"/>
      <c r="J85" s="690"/>
    </row>
    <row r="86" spans="7:10" ht="15">
      <c r="G86" s="692">
        <f>summ!E36</f>
        <v>32.97</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34">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Fairview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summ!H22</f>
        <v> </v>
      </c>
      <c r="H43" s="665" t="str">
        <f>CONCATENATE("",E1," Fund Mill Rate")</f>
        <v>2014 Fund Mill Rate</v>
      </c>
      <c r="I43" s="689"/>
      <c r="J43" s="690"/>
      <c r="K43" s="614"/>
    </row>
    <row r="44" spans="2:11" ht="15">
      <c r="B44" s="65"/>
      <c r="C44" s="388" t="s">
        <v>274</v>
      </c>
      <c r="D44" s="391" t="s">
        <v>275</v>
      </c>
      <c r="E44" s="74" t="s">
        <v>276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32.568</v>
      </c>
      <c r="H45" s="665" t="str">
        <f>CONCATENATE("Total ",E1," Mill Rate")</f>
        <v>Total 2014 Mill Rate</v>
      </c>
      <c r="I45" s="689"/>
      <c r="J45" s="690"/>
      <c r="K45" s="614"/>
    </row>
    <row r="46" spans="2:11" ht="15">
      <c r="B46" s="80" t="s">
        <v>70</v>
      </c>
      <c r="C46" s="313"/>
      <c r="D46" s="390">
        <f>C74</f>
        <v>0</v>
      </c>
      <c r="E46" s="261">
        <f>D74</f>
        <v>0</v>
      </c>
      <c r="G46" s="692">
        <f>summ!E36</f>
        <v>32.97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1" t="s">
        <v>731</v>
      </c>
      <c r="D77" s="822"/>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32.568</v>
      </c>
      <c r="H89" s="665" t="str">
        <f>CONCATENATE("Total ",E1," Mill Rate")</f>
        <v>Total 2014 Mill Rate</v>
      </c>
      <c r="I89" s="689"/>
      <c r="J89" s="690"/>
    </row>
    <row r="90" spans="7:10" ht="15">
      <c r="G90" s="692">
        <f>summ!E36</f>
        <v>32.97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794</v>
      </c>
    </row>
    <row r="2" spans="1:10" ht="31.5" customHeight="1">
      <c r="A2" s="769" t="s">
        <v>393</v>
      </c>
      <c r="B2" s="770"/>
      <c r="C2" s="770"/>
      <c r="D2" s="770"/>
      <c r="E2" s="770"/>
      <c r="F2" s="770"/>
      <c r="J2" s="568" t="s">
        <v>795</v>
      </c>
    </row>
    <row r="3" ht="15">
      <c r="J3" s="568" t="s">
        <v>796</v>
      </c>
    </row>
    <row r="4" spans="1:10" ht="15">
      <c r="A4" s="1" t="s">
        <v>806</v>
      </c>
      <c r="B4" s="569"/>
      <c r="J4" s="568" t="s">
        <v>797</v>
      </c>
    </row>
    <row r="5" spans="1:10" ht="15">
      <c r="A5" s="1"/>
      <c r="B5" s="570"/>
      <c r="J5" s="568" t="s">
        <v>798</v>
      </c>
    </row>
    <row r="6" spans="1:10" ht="15">
      <c r="A6" s="1" t="s">
        <v>807</v>
      </c>
      <c r="B6" s="569"/>
      <c r="J6" s="568" t="s">
        <v>799</v>
      </c>
    </row>
    <row r="7" spans="4:10" ht="15">
      <c r="D7" s="366"/>
      <c r="J7" s="568" t="s">
        <v>800</v>
      </c>
    </row>
    <row r="8" spans="1:10" ht="15">
      <c r="A8" s="214" t="s">
        <v>388</v>
      </c>
      <c r="B8" s="367" t="s">
        <v>968</v>
      </c>
      <c r="C8" s="368"/>
      <c r="D8" s="214" t="s">
        <v>793</v>
      </c>
      <c r="J8" s="568" t="s">
        <v>801</v>
      </c>
    </row>
    <row r="9" spans="1:10" ht="15">
      <c r="A9" s="214"/>
      <c r="B9" s="369"/>
      <c r="C9" s="370"/>
      <c r="D9" s="571" t="str">
        <f>IF(B8="","",CONCATENATE("Latest date for notice to be published in your newspaper: ",G19," ",G23,", ",G24))</f>
        <v>Latest date for notice to be published in your newspaper: July 26, 2013</v>
      </c>
      <c r="J9" s="568" t="s">
        <v>802</v>
      </c>
    </row>
    <row r="10" spans="1:10" ht="15">
      <c r="A10" s="214" t="s">
        <v>389</v>
      </c>
      <c r="B10" s="367" t="s">
        <v>969</v>
      </c>
      <c r="C10" s="371"/>
      <c r="D10" s="214"/>
      <c r="J10" s="568" t="s">
        <v>803</v>
      </c>
    </row>
    <row r="11" spans="1:10" ht="15">
      <c r="A11" s="214"/>
      <c r="B11" s="214"/>
      <c r="C11" s="214"/>
      <c r="D11" s="214"/>
      <c r="J11" s="568" t="s">
        <v>804</v>
      </c>
    </row>
    <row r="12" spans="1:10" ht="15">
      <c r="A12" s="214" t="s">
        <v>390</v>
      </c>
      <c r="B12" s="153" t="s">
        <v>970</v>
      </c>
      <c r="C12" s="153"/>
      <c r="D12" s="153"/>
      <c r="E12" s="372"/>
      <c r="J12" s="568" t="s">
        <v>805</v>
      </c>
    </row>
    <row r="13" spans="1:4" ht="15">
      <c r="A13" s="214"/>
      <c r="B13" s="214"/>
      <c r="C13" s="214"/>
      <c r="D13" s="214"/>
    </row>
    <row r="14" spans="1:4" ht="15">
      <c r="A14" s="214"/>
      <c r="B14" s="214"/>
      <c r="C14" s="214"/>
      <c r="D14" s="214"/>
    </row>
    <row r="15" spans="1:5" ht="15">
      <c r="A15" s="214" t="s">
        <v>391</v>
      </c>
      <c r="B15" s="153" t="s">
        <v>970</v>
      </c>
      <c r="C15" s="153"/>
      <c r="D15" s="153"/>
      <c r="E15" s="372"/>
    </row>
    <row r="18" spans="1:5" ht="15">
      <c r="A18" s="771" t="s">
        <v>394</v>
      </c>
      <c r="B18" s="771"/>
      <c r="C18" s="214"/>
      <c r="D18" s="214"/>
      <c r="E18" s="214"/>
    </row>
    <row r="19" spans="1:7" ht="15">
      <c r="A19" s="214"/>
      <c r="B19" s="214"/>
      <c r="C19" s="214"/>
      <c r="D19" s="214"/>
      <c r="E19" s="214"/>
      <c r="G19" s="568" t="str">
        <f ca="1">IF(B8="","",INDIRECT(G20))</f>
        <v>July</v>
      </c>
    </row>
    <row r="20" spans="1:7" ht="15">
      <c r="A20" s="214" t="s">
        <v>388</v>
      </c>
      <c r="B20" s="369" t="s">
        <v>392</v>
      </c>
      <c r="C20" s="214"/>
      <c r="D20" s="214"/>
      <c r="E20" s="214"/>
      <c r="G20" s="572" t="str">
        <f>IF(B8="","",CONCATENATE("J",G22))</f>
        <v>J7</v>
      </c>
    </row>
    <row r="21" spans="1:7" ht="15">
      <c r="A21" s="214"/>
      <c r="B21" s="214"/>
      <c r="C21" s="214"/>
      <c r="D21" s="214"/>
      <c r="E21" s="214"/>
      <c r="G21" s="573">
        <f>B8-10</f>
        <v>41481</v>
      </c>
    </row>
    <row r="22" spans="1:7" ht="15">
      <c r="A22" s="214" t="s">
        <v>389</v>
      </c>
      <c r="B22" s="214" t="s">
        <v>395</v>
      </c>
      <c r="C22" s="214"/>
      <c r="D22" s="214"/>
      <c r="E22" s="214"/>
      <c r="G22" s="574">
        <f>IF(B8="","",MONTH(G21))</f>
        <v>7</v>
      </c>
    </row>
    <row r="23" spans="1:7" ht="15">
      <c r="A23" s="214"/>
      <c r="B23" s="214"/>
      <c r="C23" s="214"/>
      <c r="D23" s="214"/>
      <c r="E23" s="214"/>
      <c r="G23" s="575">
        <f>IF(B8="","",DAY(G21))</f>
        <v>26</v>
      </c>
    </row>
    <row r="24" spans="1:7" ht="15">
      <c r="A24" s="214" t="s">
        <v>390</v>
      </c>
      <c r="B24" s="214" t="s">
        <v>396</v>
      </c>
      <c r="C24" s="214"/>
      <c r="D24" s="214"/>
      <c r="E24" s="214"/>
      <c r="G24" s="576">
        <f>IF(B8="","",YEAR(G21))</f>
        <v>2013</v>
      </c>
    </row>
    <row r="25" spans="1:5" ht="15">
      <c r="A25" s="214"/>
      <c r="B25" s="214"/>
      <c r="C25" s="214"/>
      <c r="D25" s="214"/>
      <c r="E25" s="214"/>
    </row>
    <row r="26" spans="1:5" ht="1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37">
      <selection activeCell="A55" sqref="A55"/>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
      <c r="A3" s="792" t="str">
        <f>CONCATENATE("To the Clerk of ",inputPrYr!D4,", State of Kansas")</f>
        <v>To the Clerk of Russell County, State of Kansas</v>
      </c>
      <c r="B3" s="779"/>
      <c r="C3" s="779"/>
      <c r="D3" s="779"/>
      <c r="E3" s="779"/>
      <c r="F3" s="779"/>
    </row>
    <row r="4" spans="1:6" s="65" customFormat="1" ht="15">
      <c r="A4" s="792" t="s">
        <v>104</v>
      </c>
      <c r="B4" s="794"/>
      <c r="C4" s="794"/>
      <c r="D4" s="794"/>
      <c r="E4" s="794"/>
      <c r="F4" s="794"/>
    </row>
    <row r="5" spans="1:6" s="65" customFormat="1" ht="15">
      <c r="A5" s="795" t="str">
        <f>inputPrYr!D3</f>
        <v>Fairview Township</v>
      </c>
      <c r="B5" s="794"/>
      <c r="C5" s="794"/>
      <c r="D5" s="794"/>
      <c r="E5" s="794"/>
      <c r="F5" s="794"/>
    </row>
    <row r="6" spans="1:6" s="65" customFormat="1" ht="1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t="str">
        <f>IF(gen!C61&gt;0,gen!C61,"  ")</f>
        <v>  </v>
      </c>
      <c r="D21" s="577">
        <f>IF(gen!$E$50&lt;&gt;0,gen!$E$50,"  ")</f>
        <v>22925</v>
      </c>
      <c r="E21" s="577">
        <f>IF(gen!$E$57&lt;&gt;0,gen!$E$57,0)</f>
        <v>14338</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f>IF(road!$E$43&lt;&gt;0,road!$E$43,"  ")</f>
        <v>69450</v>
      </c>
      <c r="E24" s="577">
        <f>IF(road!$E$50&lt;&gt;0,road!$E$50,"  ")</f>
        <v>38616</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Cemetery</v>
      </c>
      <c r="B28" s="91" t="str">
        <f>IF(inputPrYr!C27&gt;0,inputPrYr!C27,"  ")</f>
        <v>12-1403</v>
      </c>
      <c r="C28" s="92" t="str">
        <f>IF(levypage10!C81&gt;0,levypage10!C81,"  ")</f>
        <v>  </v>
      </c>
      <c r="D28" s="577">
        <f>IF(levypage10!$E$73&lt;&gt;0,levypage10!$E$73,"  ")</f>
        <v>10500</v>
      </c>
      <c r="E28" s="577">
        <f>IF(levypage10!$E$80&lt;&gt;0,levypage10!$E$80,"  ")</f>
        <v>5279</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Cemetery Spec Machine</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102875</v>
      </c>
      <c r="E39" s="580">
        <f>SUM(E21:E38)</f>
        <v>58233</v>
      </c>
      <c r="F39" s="581">
        <f>IF(SUM(F21:F38)&gt;0,SUM(F21:F38),"")</f>
      </c>
    </row>
    <row r="40" spans="1:3" s="65" customFormat="1" ht="15.75" thickTop="1">
      <c r="A40" s="85" t="s">
        <v>118</v>
      </c>
      <c r="B40" s="81"/>
      <c r="C40" s="96">
        <f>summ!C54</f>
        <v>0</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
      <c r="A43" s="80" t="s">
        <v>50</v>
      </c>
      <c r="B43" s="772" t="s">
        <v>76</v>
      </c>
      <c r="C43" s="773"/>
      <c r="D43" s="106"/>
      <c r="F43" s="72" t="s">
        <v>259</v>
      </c>
    </row>
    <row r="44" spans="1:6" s="65" customFormat="1" ht="15">
      <c r="A44" s="80" t="str">
        <f>inputPrYr!D3</f>
        <v>Fairview Township</v>
      </c>
      <c r="B44" s="774"/>
      <c r="C44" s="775"/>
      <c r="D44" s="107"/>
      <c r="F44" s="72"/>
    </row>
    <row r="45" spans="1:6" s="65" customFormat="1" ht="15">
      <c r="A45" s="80" t="str">
        <f>inputPrYr!D6</f>
        <v>Lucas </v>
      </c>
      <c r="B45" s="774"/>
      <c r="C45" s="782"/>
      <c r="D45" s="107"/>
      <c r="F45" s="72"/>
    </row>
    <row r="46" spans="1:6" s="65" customFormat="1" ht="15">
      <c r="A46" s="80">
        <f>inputPrYr!D7</f>
        <v>0</v>
      </c>
      <c r="B46" s="774"/>
      <c r="C46" s="782"/>
      <c r="D46" s="107"/>
      <c r="F46" s="72"/>
    </row>
    <row r="47" spans="1:6" s="65" customFormat="1" ht="15">
      <c r="A47" s="80" t="s">
        <v>183</v>
      </c>
      <c r="B47" s="780">
        <f>SUM(B44:C46)</f>
        <v>0</v>
      </c>
      <c r="C47" s="781"/>
      <c r="D47" s="107"/>
      <c r="F47" s="72"/>
    </row>
    <row r="48" spans="1:6" s="65" customFormat="1" ht="15">
      <c r="A48" s="108"/>
      <c r="B48" s="776" t="str">
        <f>CONCATENATE("Nov. 1, ",G1-1," Valuation")</f>
        <v>Nov. 1, 2013 Valuation</v>
      </c>
      <c r="C48" s="777"/>
      <c r="D48" s="106"/>
      <c r="F48" s="72"/>
    </row>
    <row r="49" spans="1:6" s="65" customFormat="1" ht="15">
      <c r="A49" s="108" t="s">
        <v>260</v>
      </c>
      <c r="D49" s="71"/>
      <c r="F49" s="72"/>
    </row>
    <row r="50" spans="1:6" s="65" customFormat="1" ht="15">
      <c r="A50" s="110" t="s">
        <v>971</v>
      </c>
      <c r="D50" s="106"/>
      <c r="E50" s="71"/>
      <c r="F50" s="71"/>
    </row>
    <row r="51" spans="1:2" s="65" customFormat="1" ht="15">
      <c r="A51" s="111"/>
      <c r="B51" s="70"/>
    </row>
    <row r="52" spans="1:6" s="65" customFormat="1" ht="15">
      <c r="A52" s="108" t="s">
        <v>97</v>
      </c>
      <c r="D52" s="71" t="s">
        <v>809</v>
      </c>
      <c r="E52" s="71"/>
      <c r="F52" s="71"/>
    </row>
    <row r="53" spans="1:6" s="65" customFormat="1" ht="15">
      <c r="A53" s="110" t="s">
        <v>972</v>
      </c>
      <c r="C53" s="72"/>
      <c r="D53" s="71"/>
      <c r="E53" s="71"/>
      <c r="F53" s="71"/>
    </row>
    <row r="54" spans="1:6" s="65" customFormat="1" ht="15">
      <c r="A54" s="111" t="s">
        <v>973</v>
      </c>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3"/>
  <sheetViews>
    <sheetView tabSelected="1" zoomScale="70" zoomScaleNormal="70" zoomScalePageLayoutView="0" workbookViewId="0" topLeftCell="A10">
      <selection activeCell="E54" sqref="E5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798"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Fairview Township</v>
      </c>
      <c r="B5" s="795"/>
      <c r="C5" s="795"/>
      <c r="D5" s="795"/>
      <c r="E5" s="795"/>
      <c r="F5" s="795"/>
      <c r="G5" s="795"/>
      <c r="H5" s="795"/>
    </row>
    <row r="6" spans="1:8" ht="15">
      <c r="A6" s="795" t="str">
        <f>inputPrYr!D4</f>
        <v>Russell County</v>
      </c>
      <c r="B6" s="795"/>
      <c r="C6" s="795"/>
      <c r="D6" s="795"/>
      <c r="E6" s="795"/>
      <c r="F6" s="795"/>
      <c r="G6" s="795"/>
      <c r="H6" s="795"/>
    </row>
    <row r="7" spans="1:8" ht="15">
      <c r="A7" s="809" t="str">
        <f>CONCATENATE("will meet on ",inputBudSum!B8," at ",inputBudSum!B10," at ",inputBudSum!B12," for the purpose of hearing and")</f>
        <v>will meet on August 5, 2013 at 8 pm at the Lucas District Fire Station for the purpose of hearing and</v>
      </c>
      <c r="B7" s="809"/>
      <c r="C7" s="809"/>
      <c r="D7" s="809"/>
      <c r="E7" s="809"/>
      <c r="F7" s="809"/>
      <c r="G7" s="809"/>
      <c r="H7" s="809"/>
    </row>
    <row r="8" spans="1:8" ht="15">
      <c r="A8" s="792" t="s">
        <v>411</v>
      </c>
      <c r="B8" s="794"/>
      <c r="C8" s="794"/>
      <c r="D8" s="794"/>
      <c r="E8" s="794"/>
      <c r="F8" s="794"/>
      <c r="G8" s="794"/>
      <c r="H8" s="794"/>
    </row>
    <row r="9" spans="1:8" ht="15">
      <c r="A9" s="790" t="str">
        <f>CONCATENATE("Detailed budget information is available at ",inputBudSum!B15," and will be available at this hearing.")</f>
        <v>Detailed budget information is available at the Lucas District Fire Station and will be available at this hearing.</v>
      </c>
      <c r="B9" s="779"/>
      <c r="C9" s="779"/>
      <c r="D9" s="779"/>
      <c r="E9" s="779"/>
      <c r="F9" s="779"/>
      <c r="G9" s="779"/>
      <c r="H9" s="779"/>
    </row>
    <row r="10" spans="1:8" ht="15">
      <c r="A10" s="798" t="s">
        <v>24</v>
      </c>
      <c r="B10" s="794"/>
      <c r="C10" s="794"/>
      <c r="D10" s="794"/>
      <c r="E10" s="794"/>
      <c r="F10" s="794"/>
      <c r="G10" s="794"/>
      <c r="H10" s="794"/>
    </row>
    <row r="11" spans="1:8" ht="1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07"/>
      <c r="H16" s="76" t="s">
        <v>304</v>
      </c>
      <c r="I16" s="199"/>
    </row>
    <row r="17" spans="1:10" ht="15">
      <c r="A17" s="79" t="s">
        <v>254</v>
      </c>
      <c r="B17" s="79" t="s">
        <v>305</v>
      </c>
      <c r="C17" s="79" t="s">
        <v>306</v>
      </c>
      <c r="D17" s="79" t="s">
        <v>305</v>
      </c>
      <c r="E17" s="79" t="s">
        <v>306</v>
      </c>
      <c r="F17" s="494" t="s">
        <v>729</v>
      </c>
      <c r="G17" s="808"/>
      <c r="H17" s="79" t="s">
        <v>306</v>
      </c>
      <c r="I17" s="199"/>
      <c r="J17" s="524"/>
    </row>
    <row r="18" spans="1:10" ht="15">
      <c r="A18" s="90" t="str">
        <f>inputPrYr!B20</f>
        <v>General</v>
      </c>
      <c r="B18" s="90">
        <f>IF(gen!$C$50&lt;&gt;0,gen!$C$50,"  ")</f>
        <v>15328</v>
      </c>
      <c r="C18" s="93">
        <f>IF(inputPrYr!D49&gt;0,inputPrYr!D49,"  ")</f>
        <v>7.64</v>
      </c>
      <c r="D18" s="90">
        <f>IF(gen!$D$50&lt;&gt;0,gen!$D$50,"  ")</f>
        <v>22925</v>
      </c>
      <c r="E18" s="93">
        <f>IF(inputOth!D37&gt;0,inputOth!D37,"  ")</f>
        <v>4.197</v>
      </c>
      <c r="F18" s="90">
        <f>IF(gen!$E$50&lt;&gt;0,gen!$E$50,"  ")</f>
        <v>22925</v>
      </c>
      <c r="G18" s="90">
        <f>IF(gen!$E$57&lt;&gt;0,gen!$E$57,"")</f>
        <v>14338</v>
      </c>
      <c r="H18" s="93">
        <f>IF(gen!E57&gt;0,ROUND(G18/F40*1000,3)," ")</f>
        <v>4.607</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f>IF(road!$C$43&lt;&gt;0,road!$C$43,"  ")</f>
        <v>53277</v>
      </c>
      <c r="C21" s="93">
        <f>IF(inputPrYr!D52&gt;0,inputPrYr!D52,"  ")</f>
        <v>23.247</v>
      </c>
      <c r="D21" s="90">
        <f>IF(road!$D$43&lt;&gt;0,road!$D$43,"  ")</f>
        <v>62250</v>
      </c>
      <c r="E21" s="93">
        <f>IF(inputOth!D40&gt;0,inputOth!D40,"  ")</f>
        <v>25.82</v>
      </c>
      <c r="F21" s="90">
        <f>IF(road!$E$43&lt;&gt;0,road!$E$43,"  ")</f>
        <v>69450</v>
      </c>
      <c r="G21" s="90">
        <f>IF(road!$E$50&lt;&gt;0,road!$E$50,"  ")</f>
        <v>38616</v>
      </c>
      <c r="H21" s="93">
        <f>IF(road!E50&gt;0,ROUND(G21/F41*1000,3)," ")</f>
        <v>26.265</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799" t="str">
        <f>CONCATENATE("Estimated Value Of One Mill For ",H1,"")</f>
        <v>Estimated Value Of One Mill For 2014</v>
      </c>
      <c r="K24" s="804"/>
      <c r="L24" s="804"/>
      <c r="M24" s="805"/>
    </row>
    <row r="25" spans="1:13" ht="15">
      <c r="A25" s="90" t="str">
        <f>IF(inputPrYr!$B27&gt;"  ",inputPrYr!$B27,"  ")</f>
        <v>Cemetery</v>
      </c>
      <c r="B25" s="90">
        <f>IF(levypage10!$C$73&lt;&gt;0,levypage10!$C$73,"  ")</f>
        <v>7493</v>
      </c>
      <c r="C25" s="93">
        <f>IF(inputPrYr!D56&gt;0,inputPrYr!D56,"  ")</f>
        <v>2.119</v>
      </c>
      <c r="D25" s="90">
        <f>IF(levypage10!$D$73&lt;&gt;0,levypage10!$D$73,"  ")</f>
        <v>10500</v>
      </c>
      <c r="E25" s="93">
        <f>IF(inputOth!D44&gt;0,inputOth!D44,"  ")</f>
        <v>2.953</v>
      </c>
      <c r="F25" s="90">
        <f>IF(levypage10!$E$73&lt;&gt;0,levypage10!$E$73,"  ")</f>
        <v>10500</v>
      </c>
      <c r="G25" s="90">
        <f>IF(levypage10!$E$80&lt;&gt;0,levypage10!$E$80,"  ")</f>
        <v>5279</v>
      </c>
      <c r="H25" s="93">
        <f>IF(levypage10!E80&gt;0,ROUND(G25/F40*1000,3)," ")</f>
        <v>1.696</v>
      </c>
      <c r="J25" s="523"/>
      <c r="K25" s="10"/>
      <c r="L25" s="10"/>
      <c r="M25" s="522"/>
    </row>
    <row r="26" spans="1:13" ht="15" hidden="1">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3112</v>
      </c>
    </row>
    <row r="27" spans="1:13" ht="15" hidden="1">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1470</v>
      </c>
    </row>
    <row r="28" spans="1:8" ht="15" hidden="1">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hidden="1">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799" t="str">
        <f>CONCATENATE("Want The Mill Rate The Same As For ",H1-1,"?")</f>
        <v>Want The Mill Rate The Same As For 2013?</v>
      </c>
      <c r="K29" s="800"/>
      <c r="L29" s="800"/>
      <c r="M29" s="801"/>
    </row>
    <row r="30" spans="1:13" ht="15">
      <c r="A30" s="90" t="str">
        <f>IF(inputPrYr!$B35&gt;"  ",inputPrYr!$B35,"  ")</f>
        <v>Cemetery Spec Machine</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hidden="1">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32.97</v>
      </c>
    </row>
    <row r="32" spans="1:13" ht="15" hidden="1">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hidden="1">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-655</v>
      </c>
    </row>
    <row r="34" spans="1:13" ht="15" hidden="1">
      <c r="A34" s="90" t="str">
        <f>IF((inputPrYr!$B41&gt;"  "),(nonbud!$A3),"  ")</f>
        <v>  </v>
      </c>
      <c r="B34" s="734" t="str">
        <f>IF((nonbud!$K$28)&lt;&gt;0,(nonbud!$K$28),"  ")</f>
        <v>  </v>
      </c>
      <c r="C34" s="338"/>
      <c r="D34" s="90"/>
      <c r="E34" s="93"/>
      <c r="F34" s="90"/>
      <c r="G34" s="90"/>
      <c r="H34" s="93"/>
      <c r="J34" s="513" t="s">
        <v>749</v>
      </c>
      <c r="K34" s="510"/>
      <c r="L34" s="510"/>
      <c r="M34" s="512">
        <f>M46*-1</f>
        <v>2637</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76098</v>
      </c>
      <c r="C36" s="476">
        <f t="shared" si="0"/>
        <v>33.006</v>
      </c>
      <c r="D36" s="475">
        <f t="shared" si="0"/>
        <v>95675</v>
      </c>
      <c r="E36" s="476">
        <f t="shared" si="0"/>
        <v>32.97</v>
      </c>
      <c r="F36" s="475">
        <f t="shared" si="0"/>
        <v>102875</v>
      </c>
      <c r="G36" s="475">
        <f t="shared" si="0"/>
        <v>58233</v>
      </c>
      <c r="H36" s="476">
        <f t="shared" si="0"/>
        <v>32.568</v>
      </c>
      <c r="J36" s="799" t="str">
        <f>CONCATENATE("Impact On Keeping The Same Mill Rate As For ",H1-1,"")</f>
        <v>Impact On Keeping The Same Mill Rate As For 2013</v>
      </c>
      <c r="K36" s="802"/>
      <c r="L36" s="802"/>
      <c r="M36" s="803"/>
    </row>
    <row r="37" spans="1:13" ht="15">
      <c r="A37" s="105" t="s">
        <v>307</v>
      </c>
      <c r="B37" s="90">
        <f>transfer!C29</f>
        <v>21263</v>
      </c>
      <c r="C37" s="65"/>
      <c r="D37" s="90">
        <f>transfer!D29</f>
        <v>0</v>
      </c>
      <c r="E37" s="208"/>
      <c r="F37" s="90">
        <f>transfer!E29</f>
        <v>0</v>
      </c>
      <c r="G37" s="65"/>
      <c r="H37" s="65"/>
      <c r="J37" s="519"/>
      <c r="K37" s="10"/>
      <c r="L37" s="10"/>
      <c r="M37" s="518"/>
    </row>
    <row r="38" spans="1:13" ht="15.75" thickBot="1">
      <c r="A38" s="105" t="s">
        <v>308</v>
      </c>
      <c r="B38" s="479">
        <f>B36-B37</f>
        <v>54835</v>
      </c>
      <c r="C38" s="65"/>
      <c r="D38" s="479">
        <f>D36-D37</f>
        <v>95675</v>
      </c>
      <c r="E38" s="65"/>
      <c r="F38" s="479">
        <f>F36-F37</f>
        <v>102875</v>
      </c>
      <c r="G38" s="65"/>
      <c r="H38" s="65"/>
      <c r="J38" s="519" t="str">
        <f>CONCATENATE("",H1," Ad Valorem Tax Rev(Township Only):")</f>
        <v>2014 Ad Valorem Tax Rev(Township Only):</v>
      </c>
      <c r="K38" s="10"/>
      <c r="L38" s="10"/>
      <c r="M38" s="522">
        <f>SUM(G21:G24)</f>
        <v>38616</v>
      </c>
    </row>
    <row r="39" spans="1:13" ht="15.75" thickTop="1">
      <c r="A39" s="105" t="s">
        <v>0</v>
      </c>
      <c r="B39" s="230">
        <f>inputPrYr!E63</f>
        <v>57176</v>
      </c>
      <c r="C39" s="208"/>
      <c r="D39" s="230">
        <f>inputPrYr!E32</f>
        <v>54705</v>
      </c>
      <c r="E39" s="65"/>
      <c r="F39" s="480" t="s">
        <v>258</v>
      </c>
      <c r="G39" s="65"/>
      <c r="H39" s="65"/>
      <c r="J39" s="519" t="str">
        <f>CONCATENATE("",H1," Ad Valorem Tax Rev(Township Tot):")</f>
        <v>2014 Ad Valorem Tax Rev(Township Tot):</v>
      </c>
      <c r="K39" s="10"/>
      <c r="L39" s="10"/>
      <c r="M39" s="535">
        <f>SUM(G18,G19,G20,G25,G26,G27,G28,G29)</f>
        <v>19617</v>
      </c>
    </row>
    <row r="40" spans="1:13" ht="15">
      <c r="A40" s="105" t="s">
        <v>183</v>
      </c>
      <c r="B40" s="90">
        <f>inputPrYr!E64</f>
        <v>2820066</v>
      </c>
      <c r="C40" s="208"/>
      <c r="D40" s="90">
        <f>inputOth!E55</f>
        <v>2800797</v>
      </c>
      <c r="E40" s="208"/>
      <c r="F40" s="90">
        <f>inputOth!E11</f>
        <v>3112497</v>
      </c>
      <c r="G40" s="65"/>
      <c r="H40" s="65"/>
      <c r="J40" s="519" t="str">
        <f>CONCATENATE("Total ",H1," Ad Valorem Tax Revenue:")</f>
        <v>Total 2014 Ad Valorem Tax Revenue:</v>
      </c>
      <c r="K40" s="71"/>
      <c r="L40" s="71"/>
      <c r="M40" s="536">
        <f>M38+M39</f>
        <v>58233</v>
      </c>
    </row>
    <row r="41" spans="1:14" ht="15">
      <c r="A41" s="80" t="s">
        <v>238</v>
      </c>
      <c r="B41" s="209"/>
      <c r="C41" s="65"/>
      <c r="D41" s="178"/>
      <c r="E41" s="65"/>
      <c r="F41" s="90">
        <f>inputOth!E8</f>
        <v>1470227</v>
      </c>
      <c r="G41" s="65"/>
      <c r="H41" s="65"/>
      <c r="J41" s="519" t="str">
        <f>CONCATENATE("",H1-1," Ad Valorem Tax Rev(Township Only):")</f>
        <v>2013 Ad Valorem Tax Rev(Township Only):</v>
      </c>
      <c r="K41" s="10"/>
      <c r="L41" s="10"/>
      <c r="M41" s="537">
        <f>ROUND(SUM(E21:E24)*F41/1000,0)</f>
        <v>37961</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22254</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60215</v>
      </c>
      <c r="O43" s="529"/>
    </row>
    <row r="44" spans="1:13" ht="15">
      <c r="A44" s="72" t="s">
        <v>2</v>
      </c>
      <c r="B44" s="210">
        <f>H1-3</f>
        <v>2011</v>
      </c>
      <c r="C44" s="65"/>
      <c r="D44" s="210">
        <f>H1-2</f>
        <v>2012</v>
      </c>
      <c r="E44" s="65"/>
      <c r="F44" s="210">
        <f>H1-1</f>
        <v>2013</v>
      </c>
      <c r="G44" s="65"/>
      <c r="H44" s="65"/>
      <c r="J44" s="516" t="s">
        <v>739</v>
      </c>
      <c r="K44" s="515"/>
      <c r="L44" s="515"/>
      <c r="M44" s="514">
        <f>M40-M43</f>
        <v>-1982</v>
      </c>
    </row>
    <row r="45" spans="1:13" ht="15">
      <c r="A45" s="72" t="s">
        <v>3</v>
      </c>
      <c r="B45" s="83">
        <f>inputPrYr!D67</f>
        <v>0</v>
      </c>
      <c r="C45" s="69"/>
      <c r="D45" s="83">
        <f>inputPrYr!E67</f>
        <v>0</v>
      </c>
      <c r="E45" s="69"/>
      <c r="F45" s="83">
        <f>debt!F11</f>
        <v>0</v>
      </c>
      <c r="G45" s="65"/>
      <c r="H45" s="65"/>
      <c r="J45" s="540" t="s">
        <v>744</v>
      </c>
      <c r="K45" s="541"/>
      <c r="L45" s="541"/>
      <c r="M45" s="536">
        <f>M38-M41</f>
        <v>655</v>
      </c>
    </row>
    <row r="46" spans="1:13" ht="15">
      <c r="A46" s="72" t="s">
        <v>284</v>
      </c>
      <c r="B46" s="83">
        <f>inputPrYr!D68</f>
        <v>0</v>
      </c>
      <c r="C46" s="69"/>
      <c r="D46" s="83">
        <f>inputPrYr!E68</f>
        <v>0</v>
      </c>
      <c r="E46" s="69"/>
      <c r="F46" s="83">
        <f>debt!F15</f>
        <v>0</v>
      </c>
      <c r="G46" s="65"/>
      <c r="H46" s="65"/>
      <c r="J46" s="513" t="s">
        <v>743</v>
      </c>
      <c r="K46" s="510"/>
      <c r="L46" s="510"/>
      <c r="M46" s="512">
        <f>M39-M42</f>
        <v>-2637</v>
      </c>
    </row>
    <row r="47" spans="1:8" ht="15">
      <c r="A47" s="72" t="s">
        <v>735</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799" t="s">
        <v>740</v>
      </c>
      <c r="K48" s="800"/>
      <c r="L48" s="800"/>
      <c r="M48" s="801"/>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06" t="s">
        <v>246</v>
      </c>
      <c r="B51" s="806"/>
      <c r="C51" s="65"/>
      <c r="D51" s="65"/>
      <c r="E51" s="65"/>
      <c r="F51" s="65"/>
      <c r="G51" s="65"/>
      <c r="H51" s="65"/>
      <c r="J51" s="519" t="str">
        <f>CONCATENATE("Current ",$H$1," Estimated Mill Rate:")</f>
        <v>Current 2014 Estimated Mill Rate:</v>
      </c>
      <c r="K51" s="10"/>
      <c r="L51" s="10"/>
      <c r="M51" s="532">
        <f>IF(M50=0,0,$H$36)</f>
        <v>32.568</v>
      </c>
    </row>
    <row r="52" spans="1:13" ht="15">
      <c r="A52" s="796" t="s">
        <v>246</v>
      </c>
      <c r="B52" s="797"/>
      <c r="C52" s="65"/>
      <c r="D52" s="65"/>
      <c r="E52" s="65"/>
      <c r="F52" s="65"/>
      <c r="G52" s="65"/>
      <c r="H52" s="65"/>
      <c r="J52" s="519" t="s">
        <v>745</v>
      </c>
      <c r="K52" s="10"/>
      <c r="L52" s="10"/>
      <c r="M52" s="533">
        <f>M50-M51</f>
        <v>-20.567999999999998</v>
      </c>
    </row>
    <row r="53" spans="1:13" ht="15">
      <c r="A53" s="65"/>
      <c r="B53" s="65"/>
      <c r="C53" s="65"/>
      <c r="D53" s="65"/>
      <c r="E53" s="65"/>
      <c r="F53" s="65"/>
      <c r="G53" s="65"/>
      <c r="H53" s="65"/>
      <c r="J53" s="505" t="s">
        <v>746</v>
      </c>
      <c r="K53" s="71"/>
      <c r="L53" s="71"/>
      <c r="M53" s="530">
        <f>IF(M50=0,0,ROUND(SUM(H21:H24)/M51,2))</f>
        <v>0.81</v>
      </c>
    </row>
    <row r="54" spans="1:13" ht="15">
      <c r="A54" s="65"/>
      <c r="B54" s="211" t="s">
        <v>272</v>
      </c>
      <c r="C54" s="212"/>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-24494</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90" zoomScaleNormal="90" zoomScalePageLayoutView="0" workbookViewId="0" topLeftCell="A10">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Fairview Township</v>
      </c>
      <c r="D1" s="65"/>
      <c r="E1" s="65"/>
      <c r="F1" s="65"/>
      <c r="G1" s="65"/>
      <c r="H1" s="65"/>
      <c r="I1" s="65"/>
      <c r="J1" s="65">
        <f>inputPrYr!D9</f>
        <v>2014</v>
      </c>
    </row>
    <row r="2" spans="1:10" ht="15">
      <c r="A2" s="65"/>
      <c r="B2" s="65"/>
      <c r="C2" s="65"/>
      <c r="D2" s="65"/>
      <c r="E2" s="65"/>
      <c r="F2" s="65"/>
      <c r="G2" s="65"/>
      <c r="H2" s="65"/>
      <c r="I2" s="65"/>
      <c r="J2" s="65"/>
    </row>
    <row r="3" spans="1:10" ht="15">
      <c r="A3" s="798"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54705</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54705</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225033</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143363</v>
      </c>
      <c r="F14" s="264"/>
      <c r="G14" s="190"/>
      <c r="H14" s="190"/>
      <c r="I14" s="268"/>
      <c r="J14" s="190"/>
    </row>
    <row r="15" spans="1:10" ht="15">
      <c r="A15" s="263"/>
      <c r="B15" s="65" t="s">
        <v>40</v>
      </c>
      <c r="C15" s="65" t="str">
        <f>CONCATENATE("Personal Property ",J1-2,"")</f>
        <v>Personal Property 2012</v>
      </c>
      <c r="D15" s="263" t="s">
        <v>35</v>
      </c>
      <c r="E15" s="267">
        <f>inputOth!E31</f>
        <v>133594</v>
      </c>
      <c r="F15" s="264"/>
      <c r="G15" s="268"/>
      <c r="H15" s="268"/>
      <c r="I15" s="190"/>
      <c r="J15" s="190"/>
    </row>
    <row r="16" spans="1:10" ht="15">
      <c r="A16" s="263"/>
      <c r="B16" s="65" t="s">
        <v>41</v>
      </c>
      <c r="C16" s="65" t="s">
        <v>60</v>
      </c>
      <c r="D16" s="65"/>
      <c r="E16" s="190"/>
      <c r="F16" s="190" t="s">
        <v>278</v>
      </c>
      <c r="G16" s="241">
        <f>IF(E14&gt;E15,E14-E15,0)</f>
        <v>9769</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17316</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252118</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3112497</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2860379</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0.08814146656789187</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4822</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59527</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59527</v>
      </c>
    </row>
    <row r="35" spans="1:10" ht="15.75" thickTop="1">
      <c r="A35" s="65"/>
      <c r="B35" s="65"/>
      <c r="C35" s="65"/>
      <c r="D35" s="65"/>
      <c r="E35" s="65"/>
      <c r="F35" s="65"/>
      <c r="G35" s="65"/>
      <c r="H35" s="65"/>
      <c r="I35" s="65"/>
      <c r="J35" s="65"/>
    </row>
    <row r="36" spans="1:10" s="273" customFormat="1" ht="18">
      <c r="A36" s="810" t="str">
        <f>CONCATENATE("If the ",J1," budget includes tax levies exceeding the total on line 14, you must")</f>
        <v>If the 2014 budget includes tax levies exceeding the total on line 14, you must</v>
      </c>
      <c r="B36" s="810"/>
      <c r="C36" s="810"/>
      <c r="D36" s="810"/>
      <c r="E36" s="810"/>
      <c r="F36" s="810"/>
      <c r="G36" s="810"/>
      <c r="H36" s="810"/>
      <c r="I36" s="810"/>
      <c r="J36" s="810"/>
    </row>
    <row r="37" spans="1:10" s="273" customFormat="1" ht="18">
      <c r="A37" s="810" t="s">
        <v>65</v>
      </c>
      <c r="B37" s="810"/>
      <c r="C37" s="810"/>
      <c r="D37" s="810"/>
      <c r="E37" s="810"/>
      <c r="F37" s="810"/>
      <c r="G37" s="810"/>
      <c r="H37" s="810"/>
      <c r="I37" s="810"/>
      <c r="J37" s="81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Fairview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811" t="s">
        <v>786</v>
      </c>
      <c r="C6" s="779"/>
      <c r="D6" s="779"/>
      <c r="E6" s="779"/>
      <c r="F6" s="779"/>
      <c r="G6" s="779"/>
      <c r="H6" s="779"/>
      <c r="I6" s="779"/>
      <c r="J6" s="779"/>
      <c r="K6" s="779"/>
    </row>
    <row r="7" spans="1:11" ht="15.75">
      <c r="A7" s="65"/>
      <c r="B7" s="783"/>
      <c r="C7" s="812"/>
      <c r="D7" s="812"/>
      <c r="E7" s="812"/>
      <c r="F7" s="812"/>
      <c r="G7" s="812"/>
      <c r="H7" s="812"/>
      <c r="I7" s="812"/>
      <c r="J7" s="812"/>
      <c r="K7" s="812"/>
    </row>
    <row r="8" spans="1:11" ht="15">
      <c r="A8" s="65"/>
      <c r="B8" s="65"/>
      <c r="C8" s="227"/>
      <c r="D8" s="227"/>
      <c r="E8" s="227"/>
      <c r="F8" s="227"/>
      <c r="G8" s="228"/>
      <c r="H8" s="66"/>
      <c r="I8" s="66"/>
      <c r="J8" s="65"/>
      <c r="K8" s="65"/>
    </row>
    <row r="9" spans="1:11" ht="21" customHeight="1">
      <c r="A9" s="65"/>
      <c r="B9" s="249" t="s">
        <v>787</v>
      </c>
      <c r="C9" s="229"/>
      <c r="D9" s="562" t="s">
        <v>788</v>
      </c>
      <c r="E9" s="813" t="str">
        <f>CONCATENATE("Budget Tax Levy Rate for ",K1-1,"")</f>
        <v>Budget Tax Levy Rate for 2013</v>
      </c>
      <c r="F9" s="83"/>
      <c r="G9" s="815" t="str">
        <f>CONCATENATE("Allocation for Year ",K1,"")</f>
        <v>Allocation for Year 2014</v>
      </c>
      <c r="H9" s="816"/>
      <c r="I9" s="816"/>
      <c r="J9" s="817"/>
      <c r="K9" s="211"/>
    </row>
    <row r="10" spans="1:11" ht="15">
      <c r="A10" s="65"/>
      <c r="B10" s="561" t="str">
        <f>CONCATENATE("for ",K1-1,"")</f>
        <v>for 2013</v>
      </c>
      <c r="C10" s="231"/>
      <c r="D10" s="120" t="str">
        <f>CONCATENATE("Amount for ",K1,"")</f>
        <v>Amount for 2014</v>
      </c>
      <c r="E10" s="814"/>
      <c r="F10" s="79"/>
      <c r="G10" s="79" t="s">
        <v>30</v>
      </c>
      <c r="H10" s="79"/>
      <c r="I10" s="79" t="s">
        <v>31</v>
      </c>
      <c r="J10" s="83" t="s">
        <v>73</v>
      </c>
      <c r="K10" s="211"/>
    </row>
    <row r="11" spans="1:11" ht="15">
      <c r="A11" s="65"/>
      <c r="B11" s="90" t="str">
        <f>inputPrYr!B20</f>
        <v>General</v>
      </c>
      <c r="C11" s="232"/>
      <c r="D11" s="90">
        <f>IF(inputPrYr!E20&gt;0,inputPrYr!E20,"  ")</f>
        <v>11756</v>
      </c>
      <c r="E11" s="233">
        <f>IF(inputOth!D37&gt;0,inputOth!D37,"  ")</f>
        <v>4.197</v>
      </c>
      <c r="F11" s="234"/>
      <c r="G11" s="90">
        <f>IF(inputPrYr!E20=0,0,G25-SUM(G12:G22))</f>
        <v>897</v>
      </c>
      <c r="H11" s="235"/>
      <c r="I11" s="90">
        <f>IF(inputPrYr!E20=0,0,I27-SUM(I12:I22))</f>
        <v>13</v>
      </c>
      <c r="J11" s="90">
        <f>IF(inputPrYr!E20=0,0,J29-SUM(J12:J22))</f>
        <v>195</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f>IF(inputPrYr!E23&gt;0,inputPrYr!E23,"  ")</f>
        <v>34678</v>
      </c>
      <c r="E14" s="233">
        <f>IF(inputOth!D40&gt;0,inputOth!D40,"  ")</f>
        <v>25.82</v>
      </c>
      <c r="F14" s="234"/>
      <c r="G14" s="90">
        <f>IF(inputPrYr!E23=0,0,ROUND(D14*$G$31,0))</f>
        <v>2646</v>
      </c>
      <c r="H14" s="235"/>
      <c r="I14" s="90">
        <f>IF(inputPrYr!$E$23=0,0,ROUND($D$14*$I$33,0))</f>
        <v>41</v>
      </c>
      <c r="J14" s="90">
        <f>IF(inputPrYr!E23=0,0,ROUND($D14*$J$35,0))</f>
        <v>575</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Cemetery</v>
      </c>
      <c r="C18" s="232"/>
      <c r="D18" s="90">
        <f>IF(inputPrYr!E27&gt;0,inputPrYr!E27,"  ")</f>
        <v>8271</v>
      </c>
      <c r="E18" s="233">
        <f>IF(inputOth!D44&gt;0,inputOth!D44,"  ")</f>
        <v>2.953</v>
      </c>
      <c r="F18" s="234"/>
      <c r="G18" s="90">
        <f>IF(inputPrYr!E27=0,0,ROUND(D18*$G$31,0))</f>
        <v>631</v>
      </c>
      <c r="H18" s="235"/>
      <c r="I18" s="90">
        <f>IF(inputPrYr!$E$27=0,0,ROUND($D$18*$I$33,0))</f>
        <v>10</v>
      </c>
      <c r="J18" s="90">
        <f>IF(inputPrYr!E27=0,0,ROUND($D18*$J$35,0))</f>
        <v>137</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54705</v>
      </c>
      <c r="E23" s="238">
        <f>SUM(E11:E22)</f>
        <v>32.97</v>
      </c>
      <c r="F23" s="239"/>
      <c r="G23" s="237">
        <f t="shared" si="0"/>
        <v>4174</v>
      </c>
      <c r="H23" s="237"/>
      <c r="I23" s="237">
        <f t="shared" si="0"/>
        <v>64</v>
      </c>
      <c r="J23" s="237">
        <f t="shared" si="0"/>
        <v>907</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4174</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64</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907</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0.0763001553788502</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0.0011699113426560644</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0.016579837309203913</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Fairview Township</v>
      </c>
      <c r="C1" s="275"/>
      <c r="D1" s="275"/>
      <c r="E1" s="275"/>
      <c r="F1" s="275"/>
      <c r="G1" s="275"/>
      <c r="H1" s="275"/>
      <c r="I1" s="275"/>
      <c r="J1" s="65"/>
      <c r="K1" s="65"/>
      <c r="L1" s="225">
        <f>inputPrYr!D9</f>
        <v>2014</v>
      </c>
    </row>
    <row r="2" spans="1:12" ht="15">
      <c r="A2" s="299"/>
      <c r="B2" s="274" t="str">
        <f>inputPrYr!$D$4</f>
        <v>Russell County</v>
      </c>
      <c r="C2" s="275"/>
      <c r="D2" s="275"/>
      <c r="E2" s="275"/>
      <c r="F2" s="275"/>
      <c r="G2" s="275"/>
      <c r="H2" s="275"/>
      <c r="I2" s="275"/>
      <c r="J2" s="65"/>
      <c r="K2" s="65"/>
      <c r="L2" s="211"/>
    </row>
    <row r="3" spans="1:12" ht="15">
      <c r="A3" s="299"/>
      <c r="B3" s="818"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18"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2013-07-08T15:25:56Z</cp:lastPrinted>
  <dcterms:created xsi:type="dcterms:W3CDTF">1998-08-26T16:30:41Z</dcterms:created>
  <dcterms:modified xsi:type="dcterms:W3CDTF">2013-07-08T15:53:10Z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