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5100" tabRatio="850" firstSheet="1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<sst xmlns="http://schemas.openxmlformats.org/spreadsheetml/2006/main" count="1581" uniqueCount="955">
  <si>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</si>
  <si>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</si>
  <si>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</si>
  <si>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</si>
  <si>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</si>
  <si>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</si>
  <si>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</si>
  <si>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</si>
  <si>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</si>
  <si>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</si>
  <si>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</si>
  <si>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</si>
  <si>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</si>
  <si>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</si>
  <si>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</si>
  <si>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</si>
  <si>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</si>
  <si>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</si>
  <si>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</si>
  <si>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</si>
  <si>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</si>
  <si>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</si>
  <si>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</si>
  <si>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</si>
  <si>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</si>
  <si>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</si>
  <si>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</si>
  <si>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</si>
  <si>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</si>
  <si>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</si>
  <si>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</si>
  <si>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</si>
  <si>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</si>
  <si>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</si>
  <si>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</si>
  <si>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</si>
  <si>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</si>
  <si>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</si>
  <si>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</si>
  <si>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</si>
  <si>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</si>
  <si>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</si>
  <si>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</si>
  <si>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</si>
  <si>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</si>
  <si>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</si>
  <si>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</si>
  <si>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</si>
  <si>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</si>
  <si>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</si>
  <si>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</si>
  <si>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</si>
  <si>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</si>
  <si>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</si>
  <si>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</si>
  <si>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</si>
  <si>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</si>
  <si>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</si>
  <si>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</si>
  <si>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</si>
  <si>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</si>
  <si>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</si>
  <si>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</si>
  <si>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</si>
  <si>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</si>
  <si>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</si>
  <si>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</si>
  <si>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</si>
  <si>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</si>
  <si>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</si>
  <si>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</si>
  <si>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</si>
  <si>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</si>
  <si>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</si>
  <si>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</si>
  <si>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</si>
  <si>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</si>
  <si>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</si>
  <si>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</si>
  <si>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</si>
  <si>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</si>
  <si>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</si>
  <si>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</si>
  <si>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</si>
  <si>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</si>
  <si>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</si>
  <si>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</si>
  <si>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</si>
  <si>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</si>
  <si>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</si>
  <si>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</si>
  <si>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</si>
  <si>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</si>
  <si>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</si>
  <si>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</si>
  <si>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</si>
  <si>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</si>
  <si>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</si>
  <si>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</si>
  <si>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</si>
  <si>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</si>
  <si>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</si>
  <si>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</si>
  <si>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</si>
  <si>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</si>
  <si>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</si>
  <si>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</si>
  <si>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</si>
  <si>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</si>
  <si>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</si>
  <si>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</si>
  <si>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</si>
  <si>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</si>
  <si>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</si>
  <si>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</si>
  <si>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</si>
  <si>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</si>
  <si>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</si>
  <si>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</si>
  <si>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</si>
  <si>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</si>
  <si>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</si>
  <si>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</si>
  <si>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</si>
  <si>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</si>
  <si>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</si>
  <si>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</si>
  <si>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</si>
  <si>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</si>
  <si>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</si>
  <si>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</si>
  <si>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</si>
  <si>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</si>
  <si>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</si>
  <si>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</si>
  <si>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</si>
  <si>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</si>
  <si>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</si>
  <si>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</si>
  <si>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</si>
  <si>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</si>
  <si>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</si>
  <si>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</si>
  <si>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</si>
  <si>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</si>
  <si>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</si>
  <si>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</si>
  <si>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</si>
  <si>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</si>
  <si>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</si>
  <si>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</si>
  <si>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</si>
  <si>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</si>
  <si>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</si>
  <si>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</si>
  <si>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</si>
  <si>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</si>
  <si>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</si>
  <si>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</si>
  <si>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</si>
  <si>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</si>
  <si>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</si>
  <si>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</si>
  <si>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</si>
  <si>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</si>
  <si>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</si>
  <si>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</si>
  <si>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</si>
  <si>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</si>
  <si>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</si>
  <si>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</si>
  <si>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</si>
  <si>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</si>
  <si>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</si>
  <si>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</si>
  <si>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</si>
  <si>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</si>
  <si>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</si>
  <si>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</si>
  <si>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</si>
  <si>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</si>
  <si>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</si>
  <si>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</si>
  <si>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</si>
  <si>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</si>
  <si>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</si>
  <si>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</si>
  <si>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</si>
  <si>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</si>
  <si>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</si>
  <si>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</si>
  <si>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</si>
  <si>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</si>
  <si>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</si>
  <si>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</si>
  <si>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</si>
  <si>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</si>
  <si>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</si>
  <si>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</si>
  <si>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</si>
  <si>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</si>
  <si>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</si>
  <si>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</si>
  <si>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</si>
  <si>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</si>
  <si>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</si>
  <si>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</si>
  <si>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</si>
  <si>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</si>
  <si>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</si>
  <si>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</si>
  <si>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</si>
  <si>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</si>
  <si>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</si>
  <si>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</si>
  <si>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</si>
  <si>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</si>
  <si>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</si>
  <si>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</si>
  <si>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</si>
  <si>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</si>
  <si>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</si>
  <si>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</si>
  <si>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</si>
  <si>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</si>
  <si>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</si>
  <si>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</si>
  <si>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</si>
  <si>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</si>
  <si>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</si>
  <si>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</si>
  <si>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</si>
  <si>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</si>
  <si>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</si>
  <si>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</si>
  <si>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</si>
  <si>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</si>
  <si>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</si>
  <si>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</si>
  <si>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</si>
  <si>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</si>
  <si>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</si>
  <si>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</si>
  <si>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</si>
  <si>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</si>
  <si>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</si>
  <si>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</si>
  <si>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</si>
  <si>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</si>
  <si>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</si>
  <si>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</si>
  <si>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</si>
  <si>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</si>
  <si>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</si>
  <si>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</si>
  <si>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</si>
  <si>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</si>
  <si>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</si>
  <si>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</si>
  <si>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</si>
  <si>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</si>
  <si>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</si>
  <si>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</si>
  <si>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</si>
  <si>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</si>
  <si>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</si>
  <si>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</si>
  <si>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</si>
  <si>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</si>
  <si>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</si>
  <si>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</si>
  <si>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</si>
  <si>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</si>
  <si>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</si>
  <si>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</si>
  <si>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</si>
  <si>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</si>
  <si>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</si>
  <si>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</si>
  <si>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</si>
  <si>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</si>
  <si>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</si>
  <si>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</si>
  <si>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</si>
  <si>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</si>
  <si>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</si>
  <si>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</si>
  <si>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</si>
  <si>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</si>
  <si>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</si>
  <si>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</si>
  <si>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</si>
  <si>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</si>
  <si>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</si>
  <si>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</si>
  <si>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</si>
  <si>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</si>
  <si>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</si>
  <si>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</si>
  <si>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</si>
  <si>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</si>
  <si>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</si>
  <si>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</si>
  <si>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</si>
  <si>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</si>
  <si>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</si>
  <si>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</si>
  <si>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</si>
  <si>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</si>
  <si>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</si>
  <si>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</si>
  <si>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</si>
  <si>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</si>
  <si>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</si>
  <si>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</si>
  <si>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</si>
  <si>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</si>
  <si>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</si>
  <si>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</si>
  <si>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</si>
  <si>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</si>
  <si>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</si>
  <si>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</si>
  <si>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</si>
  <si>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</si>
  <si>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</si>
  <si>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</si>
  <si>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</si>
  <si>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</si>
  <si>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</si>
  <si>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</si>
  <si>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</si>
  <si>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</si>
  <si>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</si>
  <si>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</si>
  <si>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</si>
  <si>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</si>
  <si>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</si>
  <si>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</si>
  <si>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</si>
  <si>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</si>
  <si>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</si>
  <si>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</si>
  <si>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</si>
  <si>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</si>
  <si>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</si>
  <si>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</si>
  <si>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</si>
  <si>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</si>
  <si>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</si>
  <si>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</si>
  <si>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</si>
  <si>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</si>
  <si>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</si>
  <si>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</si>
  <si>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</si>
  <si>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</si>
  <si>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</si>
  <si>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</si>
  <si>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</si>
  <si>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</si>
  <si>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</si>
  <si>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</si>
  <si>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</si>
  <si>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</si>
  <si>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</si>
  <si>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</si>
  <si>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</si>
  <si>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</si>
  <si>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</si>
  <si>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</si>
  <si>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</si>
  <si>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</si>
  <si>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</si>
  <si>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</si>
  <si>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</si>
  <si>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</si>
  <si>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</si>
  <si>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</si>
  <si>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</si>
  <si>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</si>
  <si>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</si>
  <si>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</si>
  <si>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</si>
  <si>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</si>
  <si>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</si>
  <si>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</si>
  <si>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</si>
  <si>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</si>
  <si>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</si>
  <si>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</si>
  <si>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</si>
  <si>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</si>
  <si>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</si>
  <si>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</si>
  <si>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</si>
  <si>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</si>
  <si>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</si>
  <si>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</si>
  <si>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</si>
  <si>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</si>
  <si>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</si>
  <si>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</si>
  <si>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</si>
  <si>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</si>
  <si>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</si>
  <si>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</si>
  <si>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</si>
  <si>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</si>
  <si>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</si>
  <si>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</si>
  <si>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</si>
  <si>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</si>
  <si>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</si>
  <si>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</si>
  <si>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</si>
  <si>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</si>
  <si>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</si>
  <si>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</si>
  <si>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</si>
  <si>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</si>
  <si>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</si>
  <si>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</si>
  <si>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</si>
  <si>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</si>
  <si>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</si>
  <si>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</si>
  <si>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</si>
  <si>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</si>
  <si>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</si>
  <si>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</si>
  <si>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</si>
  <si>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</si>
  <si>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</si>
  <si>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</si>
  <si>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</si>
  <si>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</si>
  <si>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</si>
  <si>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</si>
  <si>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</si>
  <si>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</si>
  <si>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</si>
  <si>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</si>
  <si>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</si>
  <si>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</si>
  <si>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</si>
  <si>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</si>
  <si>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</si>
  <si>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</si>
  <si>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</si>
  <si>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</si>
  <si>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</si>
  <si>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</si>
  <si>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</si>
  <si>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</si>
  <si>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</si>
  <si>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</si>
  <si>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</si>
  <si>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</si>
  <si>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</si>
  <si>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</si>
  <si>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</si>
  <si>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</si>
  <si>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</si>
  <si>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</si>
  <si>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</si>
  <si>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</si>
  <si>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</si>
  <si>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</si>
  <si>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</si>
  <si>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</si>
  <si>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</si>
  <si>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</si>
  <si>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</si>
  <si>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</si>
  <si>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</si>
  <si>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</si>
  <si>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</si>
  <si>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</si>
  <si>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</si>
  <si>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</si>
  <si>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</si>
  <si>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</si>
  <si>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</si>
  <si>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</si>
  <si>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</si>
  <si>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</si>
  <si>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</si>
  <si>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</si>
  <si>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</si>
  <si>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</si>
  <si>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</si>
  <si>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</si>
  <si>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</si>
  <si>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</si>
  <si>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</si>
  <si>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</si>
  <si>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</si>
  <si>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</si>
  <si>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</si>
  <si>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</si>
  <si>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</si>
  <si>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</si>
  <si>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</si>
  <si>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</si>
  <si>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</si>
  <si>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</si>
  <si>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</si>
  <si>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</si>
  <si>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</si>
  <si>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</si>
  <si>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</si>
  <si>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</si>
  <si>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</si>
  <si>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</si>
  <si>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</si>
  <si>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</si>
  <si>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</si>
  <si>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</si>
  <si>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</si>
  <si>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</si>
  <si>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</si>
  <si>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</si>
  <si>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</si>
  <si>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</si>
  <si>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</si>
  <si>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</si>
  <si>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</si>
  <si>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</si>
  <si>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</si>
  <si>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</si>
  <si>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</si>
  <si>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</si>
  <si>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</si>
  <si>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</si>
  <si>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</si>
  <si>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</si>
  <si>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</si>
  <si>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</si>
  <si>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</si>
  <si>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</si>
  <si>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</si>
  <si>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</si>
  <si>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</si>
  <si>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</si>
  <si>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</si>
  <si>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</si>
  <si>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</si>
  <si>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</si>
  <si>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</si>
  <si>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</si>
  <si>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</si>
  <si>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</si>
  <si>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</si>
  <si>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</si>
  <si>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</si>
  <si>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</si>
  <si>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</si>
  <si>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</si>
  <si>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</si>
  <si>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</si>
  <si>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</si>
  <si>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</si>
  <si>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</si>
  <si>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</si>
  <si>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</si>
  <si>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</si>
  <si>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</si>
  <si>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</si>
  <si>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</si>
  <si>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</si>
  <si>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</si>
  <si>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</si>
  <si>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</si>
  <si>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</si>
  <si>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</si>
  <si>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</si>
  <si>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</si>
  <si>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</si>
  <si>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</si>
  <si>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</si>
  <si>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</si>
  <si>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</si>
  <si>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</si>
  <si>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</si>
  <si>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</si>
  <si>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</si>
  <si>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</si>
  <si>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</si>
  <si>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</si>
  <si>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</si>
  <si>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</si>
  <si>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</si>
  <si>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</si>
  <si>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</si>
  <si>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</si>
  <si>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</si>
  <si>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</si>
  <si>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</si>
  <si>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</si>
  <si>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</si>
  <si>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</si>
  <si>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</si>
  <si>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</si>
  <si>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</si>
  <si>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</si>
  <si>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</si>
  <si>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</si>
  <si>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</si>
  <si>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</si>
  <si>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</si>
  <si>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</si>
  <si>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</si>
  <si>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</si>
  <si>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</si>
  <si>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</si>
  <si>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</si>
  <si>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</si>
  <si>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</si>
  <si>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</si>
  <si>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</si>
  <si>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</si>
  <si>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</si>
  <si>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</si>
  <si>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</si>
  <si>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</si>
  <si>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</si>
  <si>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</si>
  <si>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</si>
  <si>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</si>
  <si>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</si>
  <si>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</si>
  <si>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</si>
  <si>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</si>
  <si>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</si>
  <si>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</si>
  <si>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</si>
  <si>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</si>
  <si>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</si>
  <si>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</si>
  <si>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</si>
  <si>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</si>
  <si>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</si>
  <si>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</si>
  <si>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</si>
  <si>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</si>
  <si>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</si>
  <si>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</si>
  <si>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</si>
  <si>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</si>
  <si>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</si>
  <si>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</si>
  <si>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</si>
  <si>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</si>
  <si>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</si>
  <si>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</si>
  <si>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</si>
  <si>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</si>
  <si>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</si>
  <si>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</si>
  <si>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</si>
  <si>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</si>
  <si>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</si>
  <si>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</si>
  <si>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</si>
  <si>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</si>
  <si>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</si>
  <si>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</si>
  <si>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</si>
  <si>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</si>
  <si>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</si>
  <si>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</si>
  <si>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</si>
  <si>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</si>
  <si>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</si>
  <si>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</si>
  <si>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</si>
  <si>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</si>
  <si>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</si>
  <si>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</si>
  <si>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</si>
  <si>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</si>
  <si>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</si>
  <si>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</si>
  <si>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</si>
  <si>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</si>
  <si>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</si>
  <si>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</si>
  <si>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</si>
  <si>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</si>
  <si>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</si>
  <si>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</si>
  <si>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</si>
  <si>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</si>
  <si>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</si>
  <si>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</si>
  <si>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</si>
  <si>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</si>
  <si>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</si>
  <si>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</si>
  <si>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</si>
  <si>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</si>
  <si>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</si>
  <si>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</si>
  <si>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</si>
  <si>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</si>
  <si>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</si>
  <si>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</si>
  <si>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</si>
  <si>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</si>
  <si>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</si>
  <si>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</si>
  <si>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</si>
  <si>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</si>
  <si>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</si>
  <si>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</si>
  <si>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</si>
  <si>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</si>
  <si>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</si>
  <si>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</si>
  <si>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</si>
  <si>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</si>
  <si>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</si>
  <si>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</si>
  <si>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</si>
  <si>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</si>
  <si>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</si>
  <si>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</si>
  <si>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</si>
  <si>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</si>
  <si>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</si>
  <si>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</si>
  <si>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</si>
  <si>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</si>
  <si>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</si>
  <si>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</si>
  <si>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</si>
  <si>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</si>
  <si>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</si>
  <si>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</si>
  <si>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</si>
  <si>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</si>
  <si>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</si>
  <si>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</si>
  <si>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</si>
  <si>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</si>
  <si>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</si>
  <si>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</si>
  <si>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</si>
  <si>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</si>
  <si>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</si>
  <si>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</si>
  <si>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</si>
  <si>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</si>
  <si>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</si>
  <si>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</si>
  <si>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</si>
  <si>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</si>
  <si>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</si>
  <si>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</si>
  <si>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</si>
  <si>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</si>
  <si>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</si>
  <si>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</si>
  <si>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</si>
  <si>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</si>
  <si>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</si>
  <si>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</si>
  <si>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</si>
  <si>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</si>
  <si>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</si>
  <si>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</si>
  <si>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</si>
  <si>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</si>
  <si>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</si>
  <si>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</si>
  <si>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</si>
  <si>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</si>
  <si>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</si>
  <si>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</si>
  <si>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</si>
  <si>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</si>
  <si>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</si>
  <si>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</si>
  <si>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</si>
  <si>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</si>
  <si>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</si>
  <si>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</si>
  <si>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</si>
  <si>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</si>
  <si>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</si>
  <si>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</si>
  <si>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</si>
  <si>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</si>
  <si>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</si>
  <si>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</si>
  <si>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</si>
  <si>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</si>
  <si>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</si>
  <si>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</si>
  <si>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</si>
  <si>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</si>
  <si>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</si>
  <si>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</si>
  <si>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</si>
  <si>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</si>
  <si>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</si>
  <si>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</si>
  <si>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</si>
  <si>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</si>
  <si>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</si>
  <si>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</si>
  <si>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</si>
  <si>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</si>
  <si>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</si>
  <si>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</si>
  <si>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</si>
  <si>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</si>
  <si>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</si>
  <si>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</si>
  <si>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</si>
  <si>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</si>
  <si>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</si>
  <si>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</si>
  <si>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</si>
  <si>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</si>
  <si>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</si>
  <si>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</si>
  <si>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</si>
  <si>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</si>
  <si>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</si>
  <si>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</si>
  <si>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</si>
  <si>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</si>
  <si>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</si>
  <si>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</si>
  <si>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</si>
  <si>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</si>
  <si>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</si>
  <si>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</si>
  <si>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</si>
  <si>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</si>
  <si>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</si>
  <si>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</si>
  <si>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</si>
  <si>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</si>
  <si>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</si>
  <si>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</si>
  <si>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</si>
  <si>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</si>
  <si>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</si>
  <si>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</si>
  <si>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</si>
  <si>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</si>
  <si>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</si>
  <si>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</si>
  <si>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</si>
  <si>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</si>
  <si>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</si>
  <si>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</si>
  <si>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</si>
  <si>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</si>
  <si>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</si>
  <si>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</si>
  <si>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</si>
  <si>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</si>
  <si>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</si>
  <si>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</si>
  <si>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</si>
  <si>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</si>
  <si>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</si>
  <si>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</si>
  <si>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</si>
  <si>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</si>
  <si>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</si>
  <si>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</si>
  <si>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</si>
  <si>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</si>
  <si>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</si>
  <si>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</si>
  <si>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</si>
  <si>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</si>
  <si>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</si>
  <si>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</si>
  <si>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</si>
  <si>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</si>
  <si>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</si>
  <si>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</si>
  <si>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</si>
  <si>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</si>
  <si>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</si>
  <si>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</si>
  <si>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</si>
  <si>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</si>
  <si>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</si>
  <si>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</si>
  <si>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</si>
  <si>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</si>
  <si>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</si>
  <si>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</si>
  <si>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</si>
  <si>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</si>
  <si>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</si>
  <si>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</si>
  <si>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</si>
  <si>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</si>
  <si>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</si>
  <si>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</si>
  <si>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</si>
  <si>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</si>
  <si>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</si>
  <si>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</si>
  <si>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</si>
  <si>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</si>
  <si>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</si>
  <si>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</si>
  <si>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</si>
  <si>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</si>
  <si>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</si>
  <si>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</si>
  <si>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</si>
  <si>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</si>
  <si>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</si>
  <si>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</si>
  <si>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</si>
  <si>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</si>
  <si>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</si>
  <si>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</si>
  <si>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</si>
  <si>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</si>
  <si>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</si>
  <si>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</si>
  <si>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</si>
  <si>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</si>
  <si>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</si>
  <si>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</si>
  <si>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</si>
  <si>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</si>
  <si>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</si>
  <si>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</si>
  <si>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</si>
  <si>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Empire Township</t>
  </si>
  <si>
    <t>Ellsworth County</t>
  </si>
  <si>
    <t>Special Highway</t>
  </si>
  <si>
    <t>Government Lease</t>
  </si>
  <si>
    <t>McPherson County</t>
  </si>
  <si>
    <t>Corp of Engineers</t>
  </si>
  <si>
    <t>Road Fund Expense</t>
  </si>
  <si>
    <t>Weed</t>
  </si>
  <si>
    <t>Keith Anderson</t>
  </si>
  <si>
    <t>Treasurer</t>
  </si>
  <si>
    <t>August 19, 2013</t>
  </si>
  <si>
    <t>5:30 p.m.</t>
  </si>
  <si>
    <t>Keith Anderson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</si>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</sst>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Empire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83"/>
      <c r="D18" s="783"/>
      <c r="E18" s="783"/>
      <c r="F18" s="783"/>
      <c r="G18" s="783"/>
      <c r="H18" s="783"/>
      <c r="I18" s="783"/>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Empire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3425900</v>
      </c>
      <c r="F27" s="556"/>
      <c r="G27" s="561">
        <f>summ!G37</f>
        <v>3436664</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56" sqref="E5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Empire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33</v>
      </c>
      <c r="D6" s="387">
        <f>C51</f>
        <v>5068</v>
      </c>
      <c r="E6" s="32">
        <f>D51</f>
        <v>5035</v>
      </c>
    </row>
    <row r="7" spans="2:5" ht="15">
      <c r="B7" s="27" t="s">
        <v>120</v>
      </c>
      <c r="C7" s="387"/>
      <c r="D7" s="387"/>
      <c r="E7" s="33"/>
    </row>
    <row r="8" spans="2:5" ht="15">
      <c r="B8" s="27" t="s">
        <v>16</v>
      </c>
      <c r="C8" s="29">
        <v>25639</v>
      </c>
      <c r="D8" s="387">
        <f>IF(inputPrYr!H15&gt;0,inputPrYr!G16,inputPrYr!E16)</f>
        <v>27211</v>
      </c>
      <c r="E8" s="33" t="s">
        <v>289</v>
      </c>
    </row>
    <row r="9" spans="2:5" ht="15">
      <c r="B9" s="27" t="s">
        <v>17</v>
      </c>
      <c r="C9" s="29">
        <v>362</v>
      </c>
      <c r="D9" s="29"/>
      <c r="E9" s="34"/>
    </row>
    <row r="10" spans="2:5" ht="15">
      <c r="B10" s="27" t="s">
        <v>18</v>
      </c>
      <c r="C10" s="29">
        <v>2325</v>
      </c>
      <c r="D10" s="29">
        <v>1909</v>
      </c>
      <c r="E10" s="32">
        <f>mvalloc!G11</f>
        <v>2203</v>
      </c>
    </row>
    <row r="11" spans="2:5" ht="15">
      <c r="B11" s="27" t="s">
        <v>19</v>
      </c>
      <c r="C11" s="29">
        <v>90</v>
      </c>
      <c r="D11" s="29">
        <v>58</v>
      </c>
      <c r="E11" s="32">
        <f>mvalloc!I11</f>
        <v>85</v>
      </c>
    </row>
    <row r="12" spans="2:5" ht="15">
      <c r="B12" s="35" t="s">
        <v>69</v>
      </c>
      <c r="C12" s="29">
        <v>97</v>
      </c>
      <c r="D12" s="29">
        <v>93</v>
      </c>
      <c r="E12" s="32">
        <f>mvalloc!J11</f>
        <v>77</v>
      </c>
    </row>
    <row r="13" spans="2:5" ht="15">
      <c r="B13" s="35" t="s">
        <v>161</v>
      </c>
      <c r="C13" s="29"/>
      <c r="D13" s="29"/>
      <c r="E13" s="32">
        <f>inputOth!E35</f>
        <v>0</v>
      </c>
    </row>
    <row r="14" spans="2:5" ht="15">
      <c r="B14" s="27" t="s">
        <v>20</v>
      </c>
      <c r="C14" s="29"/>
      <c r="D14" s="29"/>
      <c r="E14" s="32">
        <f>inputOth!E12</f>
        <v>0</v>
      </c>
    </row>
    <row r="15" spans="2:5" ht="15">
      <c r="B15" s="37" t="s">
        <v>943</v>
      </c>
      <c r="C15" s="29">
        <v>2378</v>
      </c>
      <c r="D15" s="29">
        <v>2348</v>
      </c>
      <c r="E15" s="36">
        <v>2367</v>
      </c>
    </row>
    <row r="16" spans="2:5" ht="15">
      <c r="B16" s="37" t="s">
        <v>944</v>
      </c>
      <c r="C16" s="29">
        <v>10737</v>
      </c>
      <c r="D16" s="29">
        <v>10737</v>
      </c>
      <c r="E16" s="34">
        <v>7648</v>
      </c>
    </row>
    <row r="17" spans="2:5" ht="15">
      <c r="B17" s="37" t="s">
        <v>945</v>
      </c>
      <c r="C17" s="29">
        <v>900</v>
      </c>
      <c r="D17" s="29">
        <v>900</v>
      </c>
      <c r="E17" s="34">
        <v>900</v>
      </c>
    </row>
    <row r="18" spans="2:5" ht="15">
      <c r="B18" s="37" t="s">
        <v>946</v>
      </c>
      <c r="C18" s="29">
        <v>1500</v>
      </c>
      <c r="D18" s="29">
        <v>1500</v>
      </c>
      <c r="E18" s="34">
        <v>1500</v>
      </c>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44028</v>
      </c>
      <c r="D26" s="389">
        <f>SUM(D8:D24)</f>
        <v>44756</v>
      </c>
      <c r="E26" s="42">
        <f>SUM(E8:E24)</f>
        <v>14780</v>
      </c>
    </row>
    <row r="27" spans="2:5" ht="15">
      <c r="B27" s="43" t="s">
        <v>24</v>
      </c>
      <c r="C27" s="389">
        <f>C26+C6</f>
        <v>44061</v>
      </c>
      <c r="D27" s="389">
        <f>D26+D6</f>
        <v>49824</v>
      </c>
      <c r="E27" s="42">
        <f>E26+E6</f>
        <v>19815</v>
      </c>
    </row>
    <row r="28" spans="2:5" ht="15">
      <c r="B28" s="27" t="s">
        <v>25</v>
      </c>
      <c r="C28" s="387"/>
      <c r="D28" s="387"/>
      <c r="E28" s="32"/>
    </row>
    <row r="29" spans="2:5" ht="15">
      <c r="B29" s="37"/>
      <c r="C29" s="29"/>
      <c r="D29" s="29"/>
      <c r="E29" s="34"/>
    </row>
    <row r="30" spans="2:5" ht="15">
      <c r="B30" s="38" t="s">
        <v>101</v>
      </c>
      <c r="C30" s="29">
        <v>3600</v>
      </c>
      <c r="D30" s="29">
        <v>3600</v>
      </c>
      <c r="E30" s="34">
        <v>3600</v>
      </c>
    </row>
    <row r="31" spans="2:5" ht="15">
      <c r="B31" s="38" t="s">
        <v>125</v>
      </c>
      <c r="C31" s="29">
        <v>6228</v>
      </c>
      <c r="D31" s="29"/>
      <c r="E31" s="34"/>
    </row>
    <row r="32" spans="2:5" ht="15">
      <c r="B32" s="38" t="s">
        <v>102</v>
      </c>
      <c r="C32" s="29">
        <v>999</v>
      </c>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v>2052</v>
      </c>
      <c r="D36" s="29">
        <v>2000</v>
      </c>
      <c r="E36" s="34">
        <v>2100</v>
      </c>
    </row>
    <row r="37" spans="2:5" ht="15">
      <c r="B37" s="38" t="s">
        <v>21</v>
      </c>
      <c r="C37" s="29">
        <v>1015</v>
      </c>
      <c r="D37" s="29"/>
      <c r="E37" s="34"/>
    </row>
    <row r="38" spans="2:5" ht="15">
      <c r="B38" s="37" t="s">
        <v>947</v>
      </c>
      <c r="C38" s="29">
        <v>15331</v>
      </c>
      <c r="D38" s="29">
        <v>37889</v>
      </c>
      <c r="E38" s="34">
        <v>41512</v>
      </c>
    </row>
    <row r="39" spans="2:5" ht="15">
      <c r="B39" s="38" t="s">
        <v>948</v>
      </c>
      <c r="C39" s="29"/>
      <c r="D39" s="29">
        <v>1300</v>
      </c>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v>9768</v>
      </c>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38993</v>
      </c>
      <c r="D50" s="381">
        <f>SUM(D29:D48)</f>
        <v>44789</v>
      </c>
      <c r="E50" s="47">
        <f>SUM(E29:E43,E45,E47:E48)</f>
        <v>47212</v>
      </c>
      <c r="G50" s="484">
        <f>D51</f>
        <v>5035</v>
      </c>
      <c r="H50" s="485" t="str">
        <f>CONCATENATE("",E1-1," Ending Cash Balance (est.)")</f>
        <v>2013 Ending Cash Balance (est.)</v>
      </c>
      <c r="I50" s="486"/>
      <c r="J50" s="257"/>
    </row>
    <row r="51" spans="2:10" ht="15">
      <c r="B51" s="27" t="s">
        <v>119</v>
      </c>
      <c r="C51" s="382">
        <f>C27-C50</f>
        <v>5068</v>
      </c>
      <c r="D51" s="382">
        <f>SUM(D27-D50)</f>
        <v>5035</v>
      </c>
      <c r="E51" s="33" t="s">
        <v>289</v>
      </c>
      <c r="G51" s="484">
        <f>E26</f>
        <v>14780</v>
      </c>
      <c r="H51" s="487" t="str">
        <f>CONCATENATE("",E1," Non-AV Receipts (est.)")</f>
        <v>2014 Non-AV Receipts (est.)</v>
      </c>
      <c r="I51" s="486"/>
      <c r="J51" s="257"/>
    </row>
    <row r="52" spans="2:11" ht="15">
      <c r="B52" s="48" t="str">
        <f>CONCATENATE("",E1-2,"/",E1-1," Budget Authority Amount:")</f>
        <v>2012/2013 Budget Authority Amount:</v>
      </c>
      <c r="C52" s="132">
        <f>inputOth!B46</f>
        <v>38992</v>
      </c>
      <c r="D52" s="161">
        <f>inputPrYr!D16</f>
        <v>44789</v>
      </c>
      <c r="E52" s="33" t="s">
        <v>289</v>
      </c>
      <c r="F52" s="50"/>
      <c r="G52" s="488">
        <f>IF(D56&gt;0,E55,E57)</f>
        <v>27397</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47212</v>
      </c>
      <c r="H53" s="487" t="str">
        <f>CONCATENATE("Total ",E1," Resources Available")</f>
        <v>Total 2014 Resources Available</v>
      </c>
      <c r="I53" s="486"/>
      <c r="J53" s="257"/>
    </row>
    <row r="54" spans="2:10" ht="15">
      <c r="B54" s="395" t="str">
        <f>CONCATENATE(C72,"     ",D72)</f>
        <v>See Tab A     </v>
      </c>
      <c r="C54" s="803" t="s">
        <v>623</v>
      </c>
      <c r="D54" s="804"/>
      <c r="E54" s="32">
        <f>E50+E53</f>
        <v>47212</v>
      </c>
      <c r="G54" s="489"/>
      <c r="H54" s="487"/>
      <c r="I54" s="487"/>
      <c r="J54" s="257"/>
    </row>
    <row r="55" spans="2:10" ht="15">
      <c r="B55" s="395" t="str">
        <f>CONCATENATE(C73,"     ",D73)</f>
        <v>     </v>
      </c>
      <c r="C55" s="60"/>
      <c r="D55" s="52" t="s">
        <v>28</v>
      </c>
      <c r="E55" s="46">
        <f>IF(E54-E27&gt;0,E54-E27,0)</f>
        <v>27397</v>
      </c>
      <c r="G55" s="488">
        <f>ROUND(C50*0.05+C50,0)</f>
        <v>40943</v>
      </c>
      <c r="H55" s="487" t="str">
        <f>CONCATENATE("Less ",E1-2," Expenditures + 5%")</f>
        <v>Less 2012 Expenditures + 5%</v>
      </c>
      <c r="I55" s="486"/>
      <c r="J55" s="257"/>
    </row>
    <row r="56" spans="2:10" ht="15">
      <c r="B56" s="52"/>
      <c r="C56" s="399" t="s">
        <v>624</v>
      </c>
      <c r="D56" s="689">
        <f>inputOth!$E$40</f>
        <v>0</v>
      </c>
      <c r="E56" s="32">
        <f>ROUND(IF(D56&gt;0,(E55*D56),0),0)</f>
        <v>0</v>
      </c>
      <c r="G56" s="490">
        <f>G53-G55</f>
        <v>6269</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27397</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f>summ!I18</f>
        <v>7.972</v>
      </c>
      <c r="H60" s="485" t="str">
        <f>CONCATENATE("",E1," Fund Mill Rate")</f>
        <v>2014 Fund Mill Rate</v>
      </c>
      <c r="I60" s="691"/>
      <c r="J60" s="703"/>
      <c r="K60" s="16"/>
    </row>
    <row r="61" spans="2:10" ht="15">
      <c r="B61" s="52" t="s">
        <v>9</v>
      </c>
      <c r="C61" s="401">
        <f>IF(inputPrYr!D18&gt;0,7,6)</f>
        <v>6</v>
      </c>
      <c r="D61" s="14"/>
      <c r="E61" s="55"/>
      <c r="G61" s="705">
        <f>summ!F18</f>
        <v>7.973</v>
      </c>
      <c r="H61" s="485" t="str">
        <f>CONCATENATE("",E1-1," Fund Mill Rate")</f>
        <v>2013 Fund Mill Rate</v>
      </c>
      <c r="I61" s="691"/>
      <c r="J61" s="703"/>
    </row>
    <row r="62" spans="7:10" ht="15">
      <c r="G62" s="706">
        <f>summ!I32</f>
        <v>7.972</v>
      </c>
      <c r="H62" s="485" t="str">
        <f>CONCATENATE("Total ",E1," Mill Rate")</f>
        <v>Total 2014 Mill Rate</v>
      </c>
      <c r="I62" s="691"/>
      <c r="J62" s="703"/>
    </row>
    <row r="63" spans="2:10" ht="15">
      <c r="B63" s="12"/>
      <c r="G63" s="705">
        <f>summ!F32</f>
        <v>7.973</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t="str">
        <f>IF(C50&gt;C52,"See Tab A","")</f>
        <v>See Tab A</v>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Empire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21"/>
      <c r="I31" s="821"/>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7.972</v>
      </c>
      <c r="H45" s="632" t="str">
        <f>CONCATENATE("Total ",E1," Mill Rate")</f>
        <v>Total 2014 Mill Rate</v>
      </c>
      <c r="I45" s="656"/>
      <c r="J45" s="657"/>
    </row>
    <row r="46" spans="2:10" ht="15">
      <c r="B46" s="594" t="s">
        <v>144</v>
      </c>
      <c r="C46" s="599">
        <v>0</v>
      </c>
      <c r="D46" s="596">
        <f>C74</f>
        <v>0</v>
      </c>
      <c r="E46" s="597">
        <f>D74</f>
        <v>0</v>
      </c>
      <c r="F46" s="635"/>
      <c r="G46" s="659">
        <f>summ!F32</f>
        <v>7.973</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14"/>
      <c r="I71" s="814"/>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7.972</v>
      </c>
      <c r="H85" s="632" t="str">
        <f>CONCATENATE("Total ",E1," Mill Rate")</f>
        <v>Total 2014 Mill Rate</v>
      </c>
      <c r="I85" s="656"/>
      <c r="J85" s="657"/>
    </row>
    <row r="86" spans="7:10" ht="15">
      <c r="G86" s="659">
        <f>summ!F32</f>
        <v>7.973</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5">
      <selection activeCell="C66" sqref="C6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Empire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t="str">
        <f>summ!F21</f>
        <v>  </v>
      </c>
      <c r="H54" s="485" t="str">
        <f>CONCATENATE("",E1-1," Fund Mill Rate")</f>
        <v>2013 Fund Mill Rate</v>
      </c>
      <c r="I54" s="691"/>
      <c r="J54" s="703"/>
    </row>
    <row r="55" spans="2:10" ht="15">
      <c r="B55" s="72" t="s">
        <v>14</v>
      </c>
      <c r="C55" s="130">
        <v>47595</v>
      </c>
      <c r="D55" s="14"/>
      <c r="E55" s="14"/>
      <c r="G55" s="706">
        <f>summ!I32</f>
        <v>7.972</v>
      </c>
      <c r="H55" s="485" t="str">
        <f>CONCATENATE("Total ",E1," Mill Rate")</f>
        <v>Total 2014 Mill Rate</v>
      </c>
      <c r="I55" s="691"/>
      <c r="J55" s="703"/>
    </row>
    <row r="56" spans="2:10" ht="15">
      <c r="B56" s="72" t="s">
        <v>33</v>
      </c>
      <c r="C56" s="132"/>
      <c r="D56" s="14"/>
      <c r="E56" s="14"/>
      <c r="G56" s="705">
        <f>summ!F32</f>
        <v>7.973</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9768</v>
      </c>
      <c r="D59" s="824"/>
      <c r="E59" s="823"/>
    </row>
    <row r="60" spans="2:5" ht="15">
      <c r="B60" s="76"/>
      <c r="C60" s="130"/>
      <c r="D60" s="14"/>
      <c r="E60" s="14"/>
    </row>
    <row r="61" spans="2:5" ht="15">
      <c r="B61" s="76" t="s">
        <v>22</v>
      </c>
      <c r="C61" s="130">
        <v>216</v>
      </c>
      <c r="D61" s="14"/>
      <c r="E61" s="14"/>
    </row>
    <row r="62" spans="2:5" ht="15">
      <c r="B62" s="76" t="s">
        <v>21</v>
      </c>
      <c r="C62" s="130"/>
      <c r="D62" s="14"/>
      <c r="E62" s="14"/>
    </row>
    <row r="63" spans="2:5" ht="15">
      <c r="B63" s="77" t="s">
        <v>24</v>
      </c>
      <c r="C63" s="132">
        <f>SUM(C55:C62)</f>
        <v>57579</v>
      </c>
      <c r="D63" s="14"/>
      <c r="E63" s="14"/>
    </row>
    <row r="64" spans="2:5" ht="15">
      <c r="B64" s="77" t="s">
        <v>26</v>
      </c>
      <c r="C64" s="130"/>
      <c r="D64" s="14"/>
      <c r="E64" s="14"/>
    </row>
    <row r="65" spans="2:5" ht="15">
      <c r="B65" s="77" t="s">
        <v>27</v>
      </c>
      <c r="C65" s="397">
        <f>SUM(C63-C64)</f>
        <v>57579</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Empire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7.972</v>
      </c>
      <c r="H45" s="632" t="str">
        <f>CONCATENATE("Total ",E1," Mill Rate")</f>
        <v>Total 2014 Mill Rate</v>
      </c>
      <c r="I45" s="656"/>
      <c r="J45" s="657"/>
      <c r="K45" s="582"/>
    </row>
    <row r="46" spans="2:11" ht="15">
      <c r="B46" s="27" t="s">
        <v>118</v>
      </c>
      <c r="C46" s="29"/>
      <c r="D46" s="387">
        <f>C74</f>
        <v>0</v>
      </c>
      <c r="E46" s="32">
        <f>D74</f>
        <v>0</v>
      </c>
      <c r="G46" s="659">
        <f>summ!F32</f>
        <v>7.973</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7.972</v>
      </c>
      <c r="H85" s="632" t="str">
        <f>CONCATENATE("Total ",E1," Mill Rate")</f>
        <v>Total 2014 Mill Rate</v>
      </c>
      <c r="I85" s="656"/>
      <c r="J85" s="657"/>
      <c r="K85" s="582"/>
    </row>
    <row r="86" spans="7:11" ht="15">
      <c r="G86" s="659">
        <f>summ!F32</f>
        <v>7.973</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Empire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7.972</v>
      </c>
      <c r="H45" s="632" t="str">
        <f>CONCATENATE("Total ",E1," Mill Rate")</f>
        <v>Total 2014 Mill Rate</v>
      </c>
      <c r="I45" s="656"/>
      <c r="J45" s="657"/>
      <c r="K45" s="582"/>
    </row>
    <row r="46" spans="2:11" ht="15">
      <c r="B46" s="27" t="s">
        <v>118</v>
      </c>
      <c r="C46" s="29"/>
      <c r="D46" s="387">
        <f>C74</f>
        <v>0</v>
      </c>
      <c r="E46" s="32">
        <f>D74</f>
        <v>0</v>
      </c>
      <c r="G46" s="659">
        <f>summ!F32</f>
        <v>7.973</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7.972</v>
      </c>
      <c r="H85" s="632" t="str">
        <f>CONCATENATE("Total ",E1," Mill Rate")</f>
        <v>Total 2014 Mill Rate</v>
      </c>
      <c r="I85" s="656"/>
      <c r="J85" s="657"/>
      <c r="K85" s="582"/>
    </row>
    <row r="86" spans="7:11" ht="15">
      <c r="G86" s="659">
        <f>summ!F32</f>
        <v>7.973</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Empire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7.972</v>
      </c>
      <c r="H45" s="632" t="str">
        <f>CONCATENATE("Total ",E1," Mill Rate")</f>
        <v>Total 2014 Mill Rate</v>
      </c>
      <c r="I45" s="656"/>
      <c r="J45" s="657"/>
      <c r="K45" s="582"/>
    </row>
    <row r="46" spans="2:11" ht="15">
      <c r="B46" s="27" t="s">
        <v>118</v>
      </c>
      <c r="C46" s="29"/>
      <c r="D46" s="387">
        <f>C74</f>
        <v>0</v>
      </c>
      <c r="E46" s="32">
        <f>D74</f>
        <v>0</v>
      </c>
      <c r="G46" s="659">
        <f>summ!F32</f>
        <v>7.973</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7.972</v>
      </c>
      <c r="H85" s="632" t="str">
        <f>CONCATENATE("Total ",E1," Mill Rate")</f>
        <v>Total 2014 Mill Rate</v>
      </c>
      <c r="I85" s="656"/>
      <c r="J85" s="657"/>
      <c r="K85" s="582"/>
    </row>
    <row r="86" spans="7:11" ht="15">
      <c r="G86" s="659">
        <f>summ!F32</f>
        <v>7.973</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Empire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Empire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51">
      <selection activeCell="E72" sqref="E7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44789</v>
      </c>
      <c r="E16" s="187">
        <v>27211</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27211</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44789</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7.62</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7.62</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26824</v>
      </c>
    </row>
    <row r="55" spans="1:5" ht="15">
      <c r="A55" s="327" t="str">
        <f>CONCATENATE("Assessed Valuation (",D5-2," budget column)")</f>
        <v>Assessed Valuation (2012 budget column)</v>
      </c>
      <c r="B55" s="328"/>
      <c r="C55" s="267"/>
      <c r="D55" s="28"/>
      <c r="E55" s="187">
        <v>3425873</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40">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5"/>
      <c r="D2" s="765"/>
      <c r="E2" s="765"/>
      <c r="F2" s="765"/>
      <c r="G2" s="765"/>
      <c r="H2" s="765"/>
      <c r="I2" s="765"/>
    </row>
    <row r="3" spans="2:9" ht="15">
      <c r="B3" s="14"/>
      <c r="C3" s="14"/>
      <c r="D3" s="14"/>
      <c r="E3" s="14"/>
      <c r="F3" s="14"/>
      <c r="G3" s="22" t="s">
        <v>37</v>
      </c>
      <c r="H3" s="22" t="s">
        <v>38</v>
      </c>
      <c r="I3" s="14"/>
    </row>
    <row r="4" spans="2:9" ht="15">
      <c r="B4" s="775" t="s">
        <v>39</v>
      </c>
      <c r="C4" s="775"/>
      <c r="D4" s="775"/>
      <c r="E4" s="775"/>
      <c r="F4" s="775"/>
      <c r="G4" s="775"/>
      <c r="H4" s="775"/>
      <c r="I4" s="775"/>
    </row>
    <row r="5" spans="2:9" ht="15">
      <c r="B5" s="784" t="str">
        <f>inputPrYr!D2</f>
        <v>Empire Township</v>
      </c>
      <c r="C5" s="784"/>
      <c r="D5" s="784"/>
      <c r="E5" s="784"/>
      <c r="F5" s="784"/>
      <c r="G5" s="784"/>
      <c r="H5" s="784"/>
      <c r="I5" s="784"/>
    </row>
    <row r="6" spans="2:9" ht="15">
      <c r="B6" s="784" t="str">
        <f>inputPrYr!D3</f>
        <v>Ellsworth County</v>
      </c>
      <c r="C6" s="784"/>
      <c r="D6" s="784"/>
      <c r="E6" s="784"/>
      <c r="F6" s="784"/>
      <c r="G6" s="784"/>
      <c r="H6" s="784"/>
      <c r="I6" s="784"/>
    </row>
    <row r="7" spans="2:9" ht="15">
      <c r="B7" s="775" t="str">
        <f>CONCATENATE("will meet on ",inputBudSum!B8," at ",inputBudSum!B10," at ",inputBudSum!B12," for the purpose of hearing and")</f>
        <v>will meet on August 19, 2013 at 5:30 p.m. at Keith Anderson Residence for the purpose of hearing and</v>
      </c>
      <c r="C7" s="775"/>
      <c r="D7" s="775"/>
      <c r="E7" s="775"/>
      <c r="F7" s="775"/>
      <c r="G7" s="775"/>
      <c r="H7" s="775"/>
      <c r="I7" s="775"/>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
      <c r="B16" s="14"/>
      <c r="C16" s="156"/>
      <c r="D16" s="156" t="s">
        <v>41</v>
      </c>
      <c r="E16" s="156"/>
      <c r="F16" s="156" t="s">
        <v>41</v>
      </c>
      <c r="G16" s="156" t="s">
        <v>208</v>
      </c>
      <c r="H16" s="838"/>
      <c r="I16" s="156" t="s">
        <v>41</v>
      </c>
      <c r="J16" s="149"/>
    </row>
    <row r="17" spans="2:10" ht="15">
      <c r="B17" s="25" t="s">
        <v>285</v>
      </c>
      <c r="C17" s="26" t="s">
        <v>42</v>
      </c>
      <c r="D17" s="26" t="s">
        <v>43</v>
      </c>
      <c r="E17" s="26" t="s">
        <v>42</v>
      </c>
      <c r="F17" s="26" t="s">
        <v>43</v>
      </c>
      <c r="G17" s="26" t="s">
        <v>719</v>
      </c>
      <c r="H17" s="839"/>
      <c r="I17" s="26" t="s">
        <v>43</v>
      </c>
      <c r="J17" s="149"/>
    </row>
    <row r="18" spans="2:10" ht="15">
      <c r="B18" s="85" t="str">
        <f>inputPrYr!B16</f>
        <v>General</v>
      </c>
      <c r="C18" s="63">
        <f>IF(gen!$C$50&lt;&gt;0,gen!$C$50,"  ")</f>
        <v>38993</v>
      </c>
      <c r="D18" s="524">
        <f>IF(inputPrYr!D42&gt;0,inputPrYr!D42,"  ")</f>
        <v>7.62</v>
      </c>
      <c r="E18" s="32">
        <f>IF(gen!$D$50&lt;&gt;0,gen!$D$50,"  ")</f>
        <v>44789</v>
      </c>
      <c r="F18" s="235">
        <f>IF(inputOth!D17&gt;0,inputOth!D17,"  ")</f>
        <v>7.973</v>
      </c>
      <c r="G18" s="32">
        <f>IF(gen!$E$50&lt;&gt;0,gen!$E$50,"  ")</f>
        <v>47212</v>
      </c>
      <c r="H18" s="32">
        <f>IF(gen!$E$57&lt;&gt;0,gen!$E$57," ")</f>
        <v>27397</v>
      </c>
      <c r="I18" s="526">
        <f>IF(gen!E57&gt;0,ROUND(H18/$G$37*1000,3)," ")</f>
        <v>7.972</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3437</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7.973</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4</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38993</v>
      </c>
      <c r="D32" s="478">
        <f t="shared" si="0"/>
        <v>7.62</v>
      </c>
      <c r="E32" s="527">
        <f t="shared" si="0"/>
        <v>44789</v>
      </c>
      <c r="F32" s="478">
        <f t="shared" si="0"/>
        <v>7.973</v>
      </c>
      <c r="G32" s="527">
        <f t="shared" si="0"/>
        <v>47212</v>
      </c>
      <c r="H32" s="527">
        <f t="shared" si="0"/>
        <v>27397</v>
      </c>
      <c r="I32" s="530">
        <f t="shared" si="0"/>
        <v>7.972</v>
      </c>
      <c r="K32" s="831" t="str">
        <f>CONCATENATE("Impact On Keeping The Same Mill Rate As For ",I1-1,"")</f>
        <v>Impact On Keeping The Same Mill Rate As For 2013</v>
      </c>
      <c r="L32" s="832"/>
      <c r="M32" s="832"/>
      <c r="N32" s="833"/>
    </row>
    <row r="33" spans="2:14" ht="15">
      <c r="B33" s="274" t="s">
        <v>44</v>
      </c>
      <c r="C33" s="32">
        <f>transfer!C29</f>
        <v>9768</v>
      </c>
      <c r="D33" s="14"/>
      <c r="E33" s="32">
        <f>transfer!D29</f>
        <v>0</v>
      </c>
      <c r="F33" s="61"/>
      <c r="G33" s="32">
        <f>transfer!E29</f>
        <v>0</v>
      </c>
      <c r="H33" s="14"/>
      <c r="I33" s="14"/>
      <c r="K33" s="507"/>
      <c r="L33" s="501"/>
      <c r="M33" s="501"/>
      <c r="N33" s="508"/>
    </row>
    <row r="34" spans="2:14" ht="15.75" thickBot="1">
      <c r="B34" s="274" t="s">
        <v>45</v>
      </c>
      <c r="C34" s="528">
        <f>C32-C33</f>
        <v>29225</v>
      </c>
      <c r="D34" s="14"/>
      <c r="E34" s="528">
        <f>E32-E33</f>
        <v>44789</v>
      </c>
      <c r="F34" s="14"/>
      <c r="G34" s="528">
        <f>G32-G33</f>
        <v>47212</v>
      </c>
      <c r="H34" s="14"/>
      <c r="I34" s="14"/>
      <c r="K34" s="507" t="str">
        <f>CONCATENATE("",I1," Ad Valorem Tax Revenue:")</f>
        <v>2014 Ad Valorem Tax Revenue:</v>
      </c>
      <c r="L34" s="501"/>
      <c r="M34" s="501"/>
      <c r="N34" s="502">
        <f>H32</f>
        <v>27397</v>
      </c>
    </row>
    <row r="35" spans="2:14" ht="15.75" thickTop="1">
      <c r="B35" s="274" t="s">
        <v>46</v>
      </c>
      <c r="C35" s="529">
        <f>inputPrYr!E54</f>
        <v>26824</v>
      </c>
      <c r="D35" s="61"/>
      <c r="E35" s="529">
        <f>inputPrYr!E26</f>
        <v>27211</v>
      </c>
      <c r="F35" s="14"/>
      <c r="G35" s="520" t="s">
        <v>289</v>
      </c>
      <c r="H35" s="14"/>
      <c r="I35" s="14"/>
      <c r="K35" s="507" t="str">
        <f>CONCATENATE("",I1-1," Ad Valorem Tax Revenue:")</f>
        <v>2013 Ad Valorem Tax Revenue:</v>
      </c>
      <c r="L35" s="501"/>
      <c r="M35" s="501"/>
      <c r="N35" s="515">
        <f>ROUND(G37*N27/1000,0)</f>
        <v>27401</v>
      </c>
    </row>
    <row r="36" spans="2:14" ht="15">
      <c r="B36" s="274" t="s">
        <v>47</v>
      </c>
      <c r="C36" s="55"/>
      <c r="D36" s="61"/>
      <c r="E36" s="55"/>
      <c r="F36" s="61"/>
      <c r="G36" s="14"/>
      <c r="H36" s="14"/>
      <c r="I36" s="14"/>
      <c r="K36" s="512" t="s">
        <v>717</v>
      </c>
      <c r="L36" s="513"/>
      <c r="M36" s="513"/>
      <c r="N36" s="505">
        <f>N34-N35</f>
        <v>-4</v>
      </c>
    </row>
    <row r="37" spans="2:14" ht="15">
      <c r="B37" s="274" t="s">
        <v>48</v>
      </c>
      <c r="C37" s="32">
        <f>inputPrYr!E55</f>
        <v>3425873</v>
      </c>
      <c r="D37" s="14"/>
      <c r="E37" s="32">
        <f>inputOth!E29</f>
        <v>3425900</v>
      </c>
      <c r="F37" s="14"/>
      <c r="G37" s="32">
        <f>inputOth!E7</f>
        <v>3436664</v>
      </c>
      <c r="H37" s="14"/>
      <c r="I37" s="14"/>
      <c r="K37" s="506"/>
      <c r="L37" s="506"/>
      <c r="M37" s="506"/>
      <c r="N37" s="514"/>
    </row>
    <row r="38" spans="2:14" ht="15">
      <c r="B38" s="22" t="s">
        <v>49</v>
      </c>
      <c r="C38" s="14"/>
      <c r="D38" s="14"/>
      <c r="E38" s="14"/>
      <c r="F38" s="14"/>
      <c r="G38" s="14"/>
      <c r="H38" s="14"/>
      <c r="I38" s="14"/>
      <c r="K38" s="831" t="s">
        <v>718</v>
      </c>
      <c r="L38" s="834"/>
      <c r="M38" s="834"/>
      <c r="N38" s="83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7.972</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0" t="str">
        <f>inputBudSum!B4</f>
        <v>Keith Anderson</v>
      </c>
      <c r="C46" s="830"/>
      <c r="D46" s="14"/>
      <c r="E46" s="14"/>
      <c r="F46" s="14"/>
      <c r="G46" s="14"/>
      <c r="H46" s="14"/>
      <c r="I46" s="14"/>
    </row>
    <row r="47" spans="2:9" ht="15">
      <c r="B47" s="828" t="str">
        <f>inputBudSum!B6</f>
        <v>Treasurer</v>
      </c>
      <c r="C47" s="829"/>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Empire Township</v>
      </c>
      <c r="B1" s="14"/>
      <c r="C1" s="14"/>
      <c r="D1" s="14"/>
      <c r="E1" s="14"/>
      <c r="F1" s="14">
        <f>inputPrYr!D5</f>
        <v>2014</v>
      </c>
    </row>
    <row r="2" spans="1:6" ht="15">
      <c r="A2" s="14"/>
      <c r="B2" s="14"/>
      <c r="C2" s="14"/>
      <c r="D2" s="14"/>
      <c r="E2" s="14"/>
      <c r="F2" s="14"/>
    </row>
    <row r="3" spans="1:6" ht="15">
      <c r="A3" s="14"/>
      <c r="B3" s="766" t="str">
        <f>CONCATENATE("",F1," Neighborhood Revitalization Rebate")</f>
        <v>2014 Neighborhood Revitalization Rebate</v>
      </c>
      <c r="C3" s="774"/>
      <c r="D3" s="774"/>
      <c r="E3" s="774"/>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3436664</v>
      </c>
      <c r="E19" s="14"/>
      <c r="F19" s="129"/>
    </row>
    <row r="20" spans="1:6" ht="15">
      <c r="A20" s="14"/>
      <c r="B20" s="14"/>
      <c r="C20" s="14"/>
      <c r="D20" s="14"/>
      <c r="E20" s="14"/>
      <c r="F20" s="129"/>
    </row>
    <row r="21" spans="1:6" ht="15">
      <c r="A21" s="14"/>
      <c r="B21" s="842" t="s">
        <v>365</v>
      </c>
      <c r="C21" s="842"/>
      <c r="D21" s="137">
        <f>IF(D19&gt;0,(D19*0.001),"")</f>
        <v>3436.664</v>
      </c>
      <c r="E21" s="14"/>
      <c r="F21" s="129"/>
    </row>
    <row r="22" spans="1:6" ht="15">
      <c r="A22" s="14"/>
      <c r="B22" s="48"/>
      <c r="C22" s="48"/>
      <c r="D22" s="138"/>
      <c r="E22" s="14"/>
      <c r="F22" s="129"/>
    </row>
    <row r="23" spans="1:6" ht="15">
      <c r="A23" s="840" t="s">
        <v>367</v>
      </c>
      <c r="B23" s="765"/>
      <c r="C23" s="765"/>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6" t="s">
        <v>129</v>
      </c>
      <c r="B1" s="846"/>
      <c r="C1" s="846"/>
      <c r="D1" s="846"/>
      <c r="E1" s="846"/>
      <c r="F1" s="846"/>
      <c r="G1" s="846"/>
    </row>
    <row r="2" ht="15">
      <c r="A2" s="1"/>
    </row>
    <row r="3" spans="1:7" ht="15">
      <c r="A3" s="847" t="s">
        <v>130</v>
      </c>
      <c r="B3" s="847"/>
      <c r="C3" s="847"/>
      <c r="D3" s="847"/>
      <c r="E3" s="847"/>
      <c r="F3" s="847"/>
      <c r="G3" s="847"/>
    </row>
    <row r="4" ht="15">
      <c r="A4" s="2"/>
    </row>
    <row r="5" ht="15">
      <c r="A5" s="2"/>
    </row>
    <row r="6" spans="1:9" ht="15">
      <c r="A6" s="8" t="str">
        <f>CONCATENATE("A resolution expressing the property taxation policy of the Board of ",(inputPrYr!D2)," ")</f>
        <v>A resolution expressing the property taxation policy of the Board of Empire Township </v>
      </c>
      <c r="I6">
        <f>CONCATENATE(I7)</f>
      </c>
    </row>
    <row r="7" spans="1:7" ht="15">
      <c r="A7" s="848" t="str">
        <f>CONCATENATE("   with respect to financing the ",inputPrYr!D5," annual budget for ",(inputPrYr!D2)," , ",(inputPrYr!D3)," , Kansas.")</f>
        <v>   with respect to financing the 2014 annual budget for Empire Township , Ellsworth County , Kansas.</v>
      </c>
      <c r="B7" s="844"/>
      <c r="C7" s="844"/>
      <c r="D7" s="844"/>
      <c r="E7" s="844"/>
      <c r="F7" s="844"/>
      <c r="G7" s="844"/>
    </row>
    <row r="8" spans="1:7" ht="15">
      <c r="A8" s="844"/>
      <c r="B8" s="844"/>
      <c r="C8" s="844"/>
      <c r="D8" s="844"/>
      <c r="E8" s="844"/>
      <c r="F8" s="844"/>
      <c r="G8" s="844"/>
    </row>
    <row r="9" ht="15">
      <c r="A9" s="1"/>
    </row>
    <row r="10" ht="15">
      <c r="A10" s="9" t="s">
        <v>131</v>
      </c>
    </row>
    <row r="11" ht="15">
      <c r="A11" s="7" t="str">
        <f>CONCATENATE("to finance the ",inputPrYr!D5," ",(inputPrYr!D2)," budget exceed the amount levied to finance the ",inputPrYr!D5-1,"")</f>
        <v>to finance the 2014 Empire Township budget exceed the amount levied to finance the 2013</v>
      </c>
    </row>
    <row r="12" spans="1:7" ht="15">
      <c r="A12" s="843" t="str">
        <f>CONCATENATE((inputPrYr!D2)," Township budget, except with regard to revenue produced and attributable to the taxation of 1) new improvements to real property; 2) increased personal property valuation, other than increased")</f>
        <v>Empire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
      <c r="A13" s="844"/>
      <c r="B13" s="844"/>
      <c r="C13" s="844"/>
      <c r="D13" s="844"/>
      <c r="E13" s="844"/>
      <c r="F13" s="844"/>
      <c r="G13" s="844"/>
    </row>
    <row r="14" spans="1:7" ht="15">
      <c r="A14" s="843" t="s">
        <v>136</v>
      </c>
      <c r="B14" s="844"/>
      <c r="C14" s="844"/>
      <c r="D14" s="844"/>
      <c r="E14" s="844"/>
      <c r="F14" s="844"/>
      <c r="G14" s="844"/>
    </row>
    <row r="15" spans="1:7" ht="15">
      <c r="A15" s="844"/>
      <c r="B15" s="844"/>
      <c r="C15" s="844"/>
      <c r="D15" s="844"/>
      <c r="E15" s="844"/>
      <c r="F15" s="844"/>
      <c r="G15" s="844"/>
    </row>
    <row r="16" spans="1:7" ht="15">
      <c r="A16" s="845"/>
      <c r="B16" s="845"/>
      <c r="C16" s="845"/>
      <c r="D16" s="845"/>
      <c r="E16" s="845"/>
      <c r="F16" s="845"/>
      <c r="G16" s="845"/>
    </row>
    <row r="17" ht="15">
      <c r="A17" s="2"/>
    </row>
    <row r="18" spans="1:7" ht="15">
      <c r="A18" s="849" t="s">
        <v>132</v>
      </c>
      <c r="B18" s="844"/>
      <c r="C18" s="844"/>
      <c r="D18" s="844"/>
      <c r="E18" s="844"/>
      <c r="F18" s="844"/>
      <c r="G18" s="844"/>
    </row>
    <row r="19" spans="1:7" ht="15">
      <c r="A19" s="844"/>
      <c r="B19" s="844"/>
      <c r="C19" s="844"/>
      <c r="D19" s="844"/>
      <c r="E19" s="844"/>
      <c r="F19" s="844"/>
      <c r="G19" s="844"/>
    </row>
    <row r="20" ht="15">
      <c r="A20" s="2"/>
    </row>
    <row r="21" spans="1:7" ht="15">
      <c r="A21" s="849" t="str">
        <f>CONCATENATE("Whereas, ",(inputPrYr!D2)," provides essential services to protect the safety and well being of the citizens of the township; and")</f>
        <v>Whereas, Empire Township provides essential services to protect the safety and well being of the citizens of the township; and</v>
      </c>
      <c r="B21" s="844"/>
      <c r="C21" s="844"/>
      <c r="D21" s="844"/>
      <c r="E21" s="844"/>
      <c r="F21" s="844"/>
      <c r="G21" s="844"/>
    </row>
    <row r="22" spans="1:7" ht="15">
      <c r="A22" s="844"/>
      <c r="B22" s="844"/>
      <c r="C22" s="844"/>
      <c r="D22" s="844"/>
      <c r="E22" s="844"/>
      <c r="F22" s="844"/>
      <c r="G22" s="844"/>
    </row>
    <row r="23" ht="15">
      <c r="A23" s="4"/>
    </row>
    <row r="24" ht="15">
      <c r="A24" s="3" t="s">
        <v>133</v>
      </c>
    </row>
    <row r="25" ht="15">
      <c r="A25" s="4"/>
    </row>
    <row r="26" spans="1:7" ht="1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Empire Township of Ellsworth County, Kansas that is our desire to notify the public of increased property taxes to finance the 2014 Empire Township  budget as defined above.</v>
      </c>
      <c r="B26" s="844"/>
      <c r="C26" s="844"/>
      <c r="D26" s="844"/>
      <c r="E26" s="844"/>
      <c r="F26" s="844"/>
      <c r="G26" s="844"/>
    </row>
    <row r="27" spans="1:7" ht="15">
      <c r="A27" s="844"/>
      <c r="B27" s="844"/>
      <c r="C27" s="844"/>
      <c r="D27" s="844"/>
      <c r="E27" s="844"/>
      <c r="F27" s="844"/>
      <c r="G27" s="844"/>
    </row>
    <row r="28" spans="1:7" ht="15">
      <c r="A28" s="844"/>
      <c r="B28" s="844"/>
      <c r="C28" s="844"/>
      <c r="D28" s="844"/>
      <c r="E28" s="844"/>
      <c r="F28" s="844"/>
      <c r="G28" s="844"/>
    </row>
    <row r="29" ht="15">
      <c r="A29" s="4"/>
    </row>
    <row r="30" spans="1:7" ht="15">
      <c r="A30" s="852" t="str">
        <f>CONCATENATE("Adopted this _________ day of ___________, ",inputPrYr!D5-1," by the ",(inputPrYr!D2)," Board, ",(inputPrYr!D3),", Kansas.")</f>
        <v>Adopted this _________ day of ___________, 2013 by the Empire Township Board, Ellsworth County, Kansas.</v>
      </c>
      <c r="B30" s="844"/>
      <c r="C30" s="844"/>
      <c r="D30" s="844"/>
      <c r="E30" s="844"/>
      <c r="F30" s="844"/>
      <c r="G30" s="844"/>
    </row>
    <row r="31" spans="1:7" ht="15">
      <c r="A31" s="844"/>
      <c r="B31" s="844"/>
      <c r="C31" s="844"/>
      <c r="D31" s="844"/>
      <c r="E31" s="844"/>
      <c r="F31" s="844"/>
      <c r="G31" s="844"/>
    </row>
    <row r="32" ht="15">
      <c r="A32" s="4"/>
    </row>
    <row r="33" spans="4:7" ht="15">
      <c r="D33" s="850" t="str">
        <f>CONCATENATE((inputPrYr!D2)," Board")</f>
        <v>Empire Township Board</v>
      </c>
      <c r="E33" s="850"/>
      <c r="F33" s="850"/>
      <c r="G33" s="850"/>
    </row>
    <row r="35" spans="4:7" ht="15">
      <c r="D35" s="851" t="s">
        <v>134</v>
      </c>
      <c r="E35" s="851"/>
      <c r="F35" s="851"/>
      <c r="G35" s="851"/>
    </row>
    <row r="36" spans="1:7" ht="15">
      <c r="A36" s="5"/>
      <c r="D36" s="851" t="s">
        <v>138</v>
      </c>
      <c r="E36" s="851"/>
      <c r="F36" s="851"/>
      <c r="G36" s="851"/>
    </row>
    <row r="37" spans="4:7" ht="15">
      <c r="D37" s="851"/>
      <c r="E37" s="851"/>
      <c r="F37" s="851"/>
      <c r="G37" s="851"/>
    </row>
    <row r="38" spans="4:7" ht="15">
      <c r="D38" s="851" t="s">
        <v>134</v>
      </c>
      <c r="E38" s="851"/>
      <c r="F38" s="851"/>
      <c r="G38" s="851"/>
    </row>
    <row r="39" spans="1:7" ht="15">
      <c r="A39" s="4"/>
      <c r="D39" s="851" t="s">
        <v>139</v>
      </c>
      <c r="E39" s="851"/>
      <c r="F39" s="851"/>
      <c r="G39" s="851"/>
    </row>
    <row r="40" spans="4:7" ht="15">
      <c r="D40" s="851"/>
      <c r="E40" s="851"/>
      <c r="F40" s="851"/>
      <c r="G40" s="851"/>
    </row>
    <row r="41" spans="4:7" ht="15">
      <c r="D41" s="851" t="s">
        <v>137</v>
      </c>
      <c r="E41" s="851"/>
      <c r="F41" s="851"/>
      <c r="G41" s="851"/>
    </row>
    <row r="42" spans="1:7" ht="15">
      <c r="A42" s="4"/>
      <c r="D42" s="851" t="s">
        <v>140</v>
      </c>
      <c r="E42" s="851"/>
      <c r="F42" s="851"/>
      <c r="G42" s="851"/>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3.5">
      <c r="A8" s="402"/>
      <c r="B8" s="857" t="s">
        <v>628</v>
      </c>
      <c r="C8" s="857"/>
      <c r="D8" s="857"/>
      <c r="E8" s="857"/>
      <c r="F8" s="857"/>
      <c r="G8" s="857"/>
      <c r="H8" s="857"/>
      <c r="I8" s="857"/>
      <c r="J8" s="857"/>
      <c r="K8" s="857"/>
      <c r="L8" s="402"/>
    </row>
    <row r="9" spans="1:12" ht="13.5">
      <c r="A9" s="402"/>
      <c r="L9" s="402"/>
    </row>
    <row r="10" spans="1:12" ht="13.5">
      <c r="A10" s="402"/>
      <c r="B10" s="857" t="s">
        <v>629</v>
      </c>
      <c r="C10" s="857"/>
      <c r="D10" s="857"/>
      <c r="E10" s="857"/>
      <c r="F10" s="857"/>
      <c r="G10" s="857"/>
      <c r="H10" s="857"/>
      <c r="I10" s="857"/>
      <c r="J10" s="857"/>
      <c r="K10" s="857"/>
      <c r="L10" s="402"/>
    </row>
    <row r="11" spans="1:12" ht="13.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9">
        <v>312000000</v>
      </c>
      <c r="G23" s="859"/>
      <c r="L23" s="402"/>
    </row>
    <row r="24" spans="1:12" ht="13.5">
      <c r="A24" s="402"/>
      <c r="L24" s="402"/>
    </row>
    <row r="25" spans="1:12" ht="13.5">
      <c r="A25" s="402"/>
      <c r="C25" s="860">
        <f>F23</f>
        <v>312000000</v>
      </c>
      <c r="D25" s="86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3.5">
      <c r="A31" s="402"/>
      <c r="B31" s="857" t="s">
        <v>639</v>
      </c>
      <c r="C31" s="857"/>
      <c r="D31" s="857"/>
      <c r="E31" s="857"/>
      <c r="F31" s="857"/>
      <c r="G31" s="857"/>
      <c r="H31" s="857"/>
      <c r="I31" s="857"/>
      <c r="J31" s="857"/>
      <c r="K31" s="857"/>
      <c r="L31" s="402"/>
    </row>
    <row r="32" spans="1:12" ht="13.5">
      <c r="A32" s="402"/>
      <c r="L32" s="402"/>
    </row>
    <row r="33" spans="1:12" ht="13.5">
      <c r="A33" s="402"/>
      <c r="B33" s="857" t="s">
        <v>640</v>
      </c>
      <c r="C33" s="857"/>
      <c r="D33" s="857"/>
      <c r="E33" s="857"/>
      <c r="F33" s="857"/>
      <c r="G33" s="857"/>
      <c r="H33" s="857"/>
      <c r="I33" s="857"/>
      <c r="J33" s="857"/>
      <c r="K33" s="857"/>
      <c r="L33" s="402"/>
    </row>
    <row r="34" spans="1:12" ht="13.5">
      <c r="A34" s="402"/>
      <c r="L34" s="402"/>
    </row>
    <row r="35" spans="1:12" ht="89.25" customHeight="1">
      <c r="A35" s="402"/>
      <c r="B35" s="858" t="s">
        <v>641</v>
      </c>
      <c r="C35" s="862"/>
      <c r="D35" s="862"/>
      <c r="E35" s="862"/>
      <c r="F35" s="862"/>
      <c r="G35" s="862"/>
      <c r="H35" s="862"/>
      <c r="I35" s="862"/>
      <c r="J35" s="862"/>
      <c r="K35" s="862"/>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63">
        <v>312000000</v>
      </c>
      <c r="D41" s="863"/>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4">
        <v>312000000</v>
      </c>
      <c r="C48" s="859"/>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5" t="s">
        <v>649</v>
      </c>
      <c r="H50" s="866"/>
      <c r="I50" s="546" t="s">
        <v>635</v>
      </c>
      <c r="J50" s="422">
        <f>B50/F50</f>
        <v>0.16025641025641027</v>
      </c>
      <c r="K50" s="414"/>
      <c r="L50" s="402"/>
    </row>
    <row r="51" spans="1:15" ht="14.2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3.5">
      <c r="A53" s="402"/>
      <c r="B53" s="857" t="s">
        <v>651</v>
      </c>
      <c r="C53" s="857"/>
      <c r="D53" s="857"/>
      <c r="E53" s="857"/>
      <c r="F53" s="857"/>
      <c r="G53" s="857"/>
      <c r="H53" s="857"/>
      <c r="I53" s="857"/>
      <c r="J53" s="857"/>
      <c r="K53" s="857"/>
      <c r="L53" s="402"/>
    </row>
    <row r="54" spans="1:12" ht="13.5">
      <c r="A54" s="402"/>
      <c r="B54" s="541"/>
      <c r="C54" s="541"/>
      <c r="D54" s="541"/>
      <c r="E54" s="541"/>
      <c r="F54" s="541"/>
      <c r="G54" s="541"/>
      <c r="H54" s="541"/>
      <c r="I54" s="541"/>
      <c r="J54" s="541"/>
      <c r="K54" s="541"/>
      <c r="L54" s="402"/>
    </row>
    <row r="55" spans="1:12" ht="13.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9">
        <v>312000000</v>
      </c>
      <c r="D74" s="859"/>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9">
        <v>50000</v>
      </c>
      <c r="D77" s="859"/>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9">
        <v>100000</v>
      </c>
      <c r="D80" s="859"/>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3.5">
      <c r="A86" s="402"/>
      <c r="B86" s="853" t="s">
        <v>669</v>
      </c>
      <c r="C86" s="853"/>
      <c r="D86" s="853"/>
      <c r="E86" s="853"/>
      <c r="F86" s="853"/>
      <c r="G86" s="853"/>
      <c r="H86" s="853"/>
      <c r="I86" s="853"/>
      <c r="J86" s="853"/>
      <c r="K86" s="853"/>
      <c r="L86" s="402"/>
    </row>
    <row r="87" spans="1:12" ht="13.5">
      <c r="A87" s="402"/>
      <c r="B87" s="436"/>
      <c r="C87" s="436"/>
      <c r="D87" s="436"/>
      <c r="E87" s="436"/>
      <c r="F87" s="436"/>
      <c r="G87" s="436"/>
      <c r="H87" s="436"/>
      <c r="I87" s="436"/>
      <c r="J87" s="436"/>
      <c r="K87" s="436"/>
      <c r="L87" s="402"/>
    </row>
    <row r="88" spans="1:12" ht="13.5">
      <c r="A88" s="402"/>
      <c r="B88" s="853" t="s">
        <v>670</v>
      </c>
      <c r="C88" s="853"/>
      <c r="D88" s="853"/>
      <c r="E88" s="853"/>
      <c r="F88" s="853"/>
      <c r="G88" s="853"/>
      <c r="H88" s="853"/>
      <c r="I88" s="853"/>
      <c r="J88" s="853"/>
      <c r="K88" s="853"/>
      <c r="L88" s="402"/>
    </row>
    <row r="89" spans="1:12" ht="13.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9">
        <v>312000000</v>
      </c>
      <c r="D114" s="859"/>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9">
        <v>2500000</v>
      </c>
      <c r="D120" s="859"/>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3.5">
      <c r="A126" s="402"/>
      <c r="B126" s="853" t="s">
        <v>676</v>
      </c>
      <c r="C126" s="853"/>
      <c r="D126" s="853"/>
      <c r="E126" s="853"/>
      <c r="F126" s="853"/>
      <c r="G126" s="853"/>
      <c r="H126" s="853"/>
      <c r="I126" s="853"/>
      <c r="J126" s="853"/>
      <c r="K126" s="853"/>
      <c r="L126" s="448"/>
    </row>
    <row r="127" spans="1:12" ht="13.5">
      <c r="A127" s="402"/>
      <c r="B127" s="541"/>
      <c r="C127" s="541"/>
      <c r="D127" s="541"/>
      <c r="E127" s="541"/>
      <c r="F127" s="541"/>
      <c r="G127" s="541"/>
      <c r="H127" s="541"/>
      <c r="I127" s="541"/>
      <c r="J127" s="541"/>
      <c r="K127" s="541"/>
      <c r="L127" s="448"/>
    </row>
    <row r="128" spans="1:12" ht="13.5">
      <c r="A128" s="402"/>
      <c r="B128" s="853" t="s">
        <v>677</v>
      </c>
      <c r="C128" s="853"/>
      <c r="D128" s="853"/>
      <c r="E128" s="853"/>
      <c r="F128" s="853"/>
      <c r="G128" s="853"/>
      <c r="H128" s="853"/>
      <c r="I128" s="853"/>
      <c r="J128" s="853"/>
      <c r="K128" s="853"/>
      <c r="L128" s="448"/>
    </row>
    <row r="129" spans="1:12" ht="13.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74" t="s">
        <v>679</v>
      </c>
      <c r="D133" s="874"/>
      <c r="E133" s="412"/>
      <c r="F133" s="546" t="s">
        <v>680</v>
      </c>
      <c r="G133" s="412"/>
      <c r="H133" s="874" t="s">
        <v>665</v>
      </c>
      <c r="I133" s="874"/>
      <c r="J133" s="412"/>
      <c r="K133" s="414"/>
      <c r="L133" s="402"/>
    </row>
    <row r="134" spans="1:12" ht="13.5">
      <c r="A134" s="402"/>
      <c r="B134" s="420" t="s">
        <v>658</v>
      </c>
      <c r="C134" s="859">
        <v>100000</v>
      </c>
      <c r="D134" s="859"/>
      <c r="E134" s="546" t="s">
        <v>289</v>
      </c>
      <c r="F134" s="546">
        <v>0.115</v>
      </c>
      <c r="G134" s="546" t="s">
        <v>635</v>
      </c>
      <c r="H134" s="875">
        <f>C134*F134</f>
        <v>11500</v>
      </c>
      <c r="I134" s="875"/>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76" t="s">
        <v>665</v>
      </c>
      <c r="D136" s="876"/>
      <c r="E136" s="430"/>
      <c r="F136" s="548" t="s">
        <v>681</v>
      </c>
      <c r="G136" s="548"/>
      <c r="H136" s="430"/>
      <c r="I136" s="430"/>
      <c r="J136" s="430" t="s">
        <v>682</v>
      </c>
      <c r="K136" s="431"/>
      <c r="L136" s="402"/>
    </row>
    <row r="137" spans="1:12" ht="13.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75" t="s">
        <v>686</v>
      </c>
      <c r="D147" s="875"/>
      <c r="E147" s="546"/>
      <c r="F147" s="466" t="s">
        <v>687</v>
      </c>
      <c r="G147" s="546"/>
      <c r="H147" s="546"/>
      <c r="I147" s="546"/>
      <c r="J147" s="880" t="s">
        <v>688</v>
      </c>
      <c r="K147" s="881"/>
      <c r="L147" s="402"/>
    </row>
    <row r="148" spans="1:12" ht="13.5">
      <c r="A148" s="402"/>
      <c r="B148" s="420"/>
      <c r="C148" s="882">
        <v>52.869</v>
      </c>
      <c r="D148" s="882"/>
      <c r="E148" s="546" t="s">
        <v>289</v>
      </c>
      <c r="F148" s="542">
        <v>312000000</v>
      </c>
      <c r="G148" s="471" t="s">
        <v>636</v>
      </c>
      <c r="H148" s="546">
        <v>1000</v>
      </c>
      <c r="I148" s="546" t="s">
        <v>635</v>
      </c>
      <c r="J148" s="880">
        <f>C148*(F148/1000)</f>
        <v>16495128</v>
      </c>
      <c r="K148" s="88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8">
      <selection activeCell="E29" sqref="E29"/>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Empire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3436664</v>
      </c>
    </row>
    <row r="8" spans="1:5" ht="15">
      <c r="A8" s="22" t="str">
        <f>CONCATENATE("New Improvements for ",E1-1,"")</f>
        <v>New Improvements for 2013</v>
      </c>
      <c r="B8" s="19"/>
      <c r="C8" s="19"/>
      <c r="D8" s="19"/>
      <c r="E8" s="283">
        <v>17085</v>
      </c>
    </row>
    <row r="9" spans="1:5" ht="15">
      <c r="A9" s="22" t="str">
        <f>CONCATENATE("Personal Property excluding oil, gas, and mobile homes - ",E1-1,"")</f>
        <v>Personal Property excluding oil, gas, and mobile homes - 2013</v>
      </c>
      <c r="B9" s="19"/>
      <c r="C9" s="19"/>
      <c r="D9" s="19"/>
      <c r="E9" s="283">
        <v>225237</v>
      </c>
    </row>
    <row r="10" spans="1:5" ht="15">
      <c r="A10" s="22" t="str">
        <f>CONCATENATE("Property that has changed in use for ",E1-1,"")</f>
        <v>Property that has changed in use for 2013</v>
      </c>
      <c r="B10" s="19"/>
      <c r="C10" s="19"/>
      <c r="D10" s="19"/>
      <c r="E10" s="283">
        <v>6207</v>
      </c>
    </row>
    <row r="11" spans="1:5" ht="15">
      <c r="A11" s="22" t="str">
        <f>CONCATENATE("Personal Property excluding oil, gas, and mobile homes- ",E1-2,"")</f>
        <v>Personal Property excluding oil, gas, and mobile homes- 2012</v>
      </c>
      <c r="B11" s="19"/>
      <c r="C11" s="19"/>
      <c r="D11" s="19"/>
      <c r="E11" s="283">
        <v>228162</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7.973</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7.973</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3425900</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2203</v>
      </c>
    </row>
    <row r="33" spans="1:5" ht="15">
      <c r="A33" s="296" t="s">
        <v>276</v>
      </c>
      <c r="B33" s="267"/>
      <c r="C33" s="267"/>
      <c r="D33" s="31"/>
      <c r="E33" s="34">
        <v>85</v>
      </c>
    </row>
    <row r="34" spans="1:5" ht="15">
      <c r="A34" s="296" t="s">
        <v>160</v>
      </c>
      <c r="B34" s="267"/>
      <c r="C34" s="267"/>
      <c r="D34" s="31"/>
      <c r="E34" s="34">
        <v>77</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38992</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18" sqref="D18"/>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949</v>
      </c>
      <c r="C4" s="710"/>
      <c r="J4" s="711" t="s">
        <v>843</v>
      </c>
    </row>
    <row r="5" spans="1:10" ht="15">
      <c r="A5" s="474"/>
      <c r="B5" s="710"/>
      <c r="J5" s="711" t="s">
        <v>844</v>
      </c>
    </row>
    <row r="6" spans="1:10" ht="15">
      <c r="A6" s="474" t="s">
        <v>839</v>
      </c>
      <c r="B6" s="356" t="s">
        <v>950</v>
      </c>
      <c r="J6" s="711" t="s">
        <v>845</v>
      </c>
    </row>
    <row r="7" spans="1:10" ht="15">
      <c r="A7" s="353"/>
      <c r="B7" s="353"/>
      <c r="C7" s="353"/>
      <c r="D7" s="355"/>
      <c r="E7" s="353"/>
      <c r="F7" s="353"/>
      <c r="J7" s="711" t="s">
        <v>846</v>
      </c>
    </row>
    <row r="8" spans="1:10" ht="15">
      <c r="A8" s="354" t="s">
        <v>372</v>
      </c>
      <c r="B8" s="356" t="s">
        <v>951</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9, 2013</v>
      </c>
      <c r="E9" s="353"/>
      <c r="F9" s="353"/>
      <c r="J9" s="711" t="s">
        <v>848</v>
      </c>
    </row>
    <row r="10" spans="1:10" ht="15">
      <c r="A10" s="354" t="s">
        <v>373</v>
      </c>
      <c r="B10" s="356" t="s">
        <v>952</v>
      </c>
      <c r="C10" s="360"/>
      <c r="D10" s="354"/>
      <c r="E10" s="353"/>
      <c r="F10" s="353"/>
      <c r="J10" s="711" t="s">
        <v>849</v>
      </c>
    </row>
    <row r="11" spans="1:10" ht="15">
      <c r="A11" s="354"/>
      <c r="B11" s="354"/>
      <c r="C11" s="354"/>
      <c r="D11" s="354"/>
      <c r="E11" s="353"/>
      <c r="F11" s="353"/>
      <c r="J11" s="711" t="s">
        <v>850</v>
      </c>
    </row>
    <row r="12" spans="1:10" ht="15">
      <c r="A12" s="354" t="s">
        <v>374</v>
      </c>
      <c r="B12" s="361" t="s">
        <v>953</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954</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41495</v>
      </c>
    </row>
    <row r="22" spans="1:7" ht="15">
      <c r="A22" s="354" t="s">
        <v>373</v>
      </c>
      <c r="B22" s="354" t="s">
        <v>378</v>
      </c>
      <c r="C22" s="354"/>
      <c r="D22" s="354"/>
      <c r="E22" s="354"/>
      <c r="G22" s="714">
        <f>IF(B8="","",MONTH(G21))</f>
        <v>8</v>
      </c>
    </row>
    <row r="23" spans="1:7" ht="15">
      <c r="A23" s="354"/>
      <c r="B23" s="354"/>
      <c r="C23" s="354"/>
      <c r="D23" s="354"/>
      <c r="E23" s="354"/>
      <c r="G23" s="715">
        <f>IF(B8="","",DAY(G21))</f>
        <v>9</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3">
      <selection activeCell="G22" sqref="G2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6" t="s">
        <v>70</v>
      </c>
      <c r="C1" s="766"/>
      <c r="D1" s="766"/>
      <c r="E1" s="766"/>
      <c r="F1" s="766"/>
      <c r="G1" s="766"/>
      <c r="H1" s="14">
        <f>inputPrYr!D5</f>
        <v>2014</v>
      </c>
    </row>
    <row r="2" spans="3:7" s="14" customFormat="1" ht="15">
      <c r="C2" s="145"/>
      <c r="D2" s="145"/>
      <c r="E2" s="145"/>
      <c r="F2" s="145"/>
      <c r="G2" s="62"/>
    </row>
    <row r="3" spans="2:8" s="14" customFormat="1" ht="15">
      <c r="B3" s="775" t="str">
        <f>CONCATENATE("To the Clerk of ",inputPrYr!D3,", State of Kansas")</f>
        <v>To the Clerk of Ellsworth County, State of Kansas</v>
      </c>
      <c r="C3" s="774"/>
      <c r="D3" s="774"/>
      <c r="E3" s="774"/>
      <c r="F3" s="774"/>
      <c r="G3" s="774"/>
      <c r="H3" s="774"/>
    </row>
    <row r="4" spans="2:7" s="14" customFormat="1" ht="15">
      <c r="B4" s="775" t="s">
        <v>152</v>
      </c>
      <c r="C4" s="783"/>
      <c r="D4" s="783"/>
      <c r="E4" s="783"/>
      <c r="F4" s="783"/>
      <c r="G4" s="783"/>
    </row>
    <row r="5" spans="2:7" s="14" customFormat="1" ht="15">
      <c r="B5" s="784" t="str">
        <f>inputPrYr!D2</f>
        <v>Empire Township</v>
      </c>
      <c r="C5" s="783"/>
      <c r="D5" s="783"/>
      <c r="E5" s="783"/>
      <c r="F5" s="783"/>
      <c r="G5" s="783"/>
    </row>
    <row r="6" spans="2:7" s="14" customFormat="1" ht="1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
      <c r="D11" s="19"/>
      <c r="E11" s="770" t="str">
        <f>CONCATENATE("",H1," Adopted Budget")</f>
        <v>2014 Adopted Budget</v>
      </c>
      <c r="F11" s="771"/>
      <c r="G11" s="772"/>
    </row>
    <row r="12" spans="2:7" s="14" customFormat="1" ht="15">
      <c r="B12" s="22"/>
      <c r="D12" s="66"/>
      <c r="E12" s="255" t="s">
        <v>277</v>
      </c>
      <c r="F12" s="767" t="str">
        <f>CONCATENATE("Amount of ",H1-1," Ad Valorem Tax")</f>
        <v>Amount of 2013 Ad Valorem Tax</v>
      </c>
      <c r="G12" s="23" t="s">
        <v>278</v>
      </c>
    </row>
    <row r="13" spans="4:7" s="14" customFormat="1" ht="15">
      <c r="D13" s="23" t="s">
        <v>279</v>
      </c>
      <c r="E13" s="522" t="s">
        <v>208</v>
      </c>
      <c r="F13" s="768"/>
      <c r="G13" s="156" t="s">
        <v>280</v>
      </c>
    </row>
    <row r="14" spans="2:7" s="14" customFormat="1" ht="15">
      <c r="B14" s="71" t="s">
        <v>281</v>
      </c>
      <c r="C14" s="20"/>
      <c r="D14" s="26" t="s">
        <v>282</v>
      </c>
      <c r="E14" s="523" t="s">
        <v>719</v>
      </c>
      <c r="F14" s="76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47212</v>
      </c>
      <c r="F21" s="722">
        <f>IF(gen!$E$57&lt;&gt;0,gen!$E$57,0)</f>
        <v>27397</v>
      </c>
      <c r="G21" s="723">
        <v>7.972</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47212</v>
      </c>
      <c r="F35" s="724">
        <f>SUM(F21:F30)</f>
        <v>27397</v>
      </c>
      <c r="G35" s="725">
        <f>IF(SUM(G21:G30)&gt;0,SUM(G21:G30),"")</f>
        <v>7.972</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7" t="s">
        <v>124</v>
      </c>
      <c r="D39" s="778"/>
      <c r="E39" s="272"/>
      <c r="G39" s="22" t="s">
        <v>290</v>
      </c>
    </row>
    <row r="40" spans="2:7" s="14" customFormat="1" ht="15">
      <c r="B40" s="27" t="s">
        <v>98</v>
      </c>
      <c r="C40" s="779"/>
      <c r="D40" s="780"/>
      <c r="E40" s="273"/>
      <c r="G40" s="22"/>
    </row>
    <row r="41" spans="2:7" s="14" customFormat="1" ht="15">
      <c r="B41" s="274"/>
      <c r="C41" s="781" t="str">
        <f>CONCATENATE("Nov. 1, ",H1-1," Valuation")</f>
        <v>Nov. 1, 2013 Valuation</v>
      </c>
      <c r="D41" s="782"/>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4" t="s">
        <v>292</v>
      </c>
      <c r="F54" s="765"/>
      <c r="G54" s="76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5">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Empire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6"/>
      <c r="C3" s="766"/>
      <c r="D3" s="766"/>
      <c r="E3" s="766"/>
      <c r="F3" s="766"/>
      <c r="G3" s="766"/>
      <c r="H3" s="766"/>
      <c r="I3" s="766"/>
      <c r="J3" s="766"/>
    </row>
    <row r="4" spans="1:10" ht="15">
      <c r="A4" s="14"/>
      <c r="B4" s="14"/>
      <c r="C4" s="14"/>
      <c r="D4" s="14"/>
      <c r="E4" s="766"/>
      <c r="F4" s="766"/>
      <c r="G4" s="76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27211</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27211</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17085</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225237</v>
      </c>
      <c r="F14" s="246"/>
      <c r="G14" s="55"/>
      <c r="H14" s="55"/>
      <c r="I14" s="53"/>
      <c r="J14" s="55"/>
    </row>
    <row r="15" spans="1:10" ht="15">
      <c r="A15" s="245"/>
      <c r="B15" s="14" t="s">
        <v>87</v>
      </c>
      <c r="C15" s="14" t="str">
        <f>CONCATENATE("Personal Property ",J1-2,"")</f>
        <v>Personal Property 2012</v>
      </c>
      <c r="D15" s="245" t="s">
        <v>82</v>
      </c>
      <c r="E15" s="249">
        <f>inputOth!E11</f>
        <v>228162</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6207</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23292</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3436664</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3413372</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0.0068237508246976886</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186</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27397</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27397</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Empire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5"/>
      <c r="D6" s="765"/>
      <c r="E6" s="765"/>
      <c r="F6" s="765"/>
      <c r="G6" s="765"/>
      <c r="H6" s="765"/>
      <c r="I6" s="765"/>
      <c r="J6" s="765"/>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27211</v>
      </c>
      <c r="E11" s="131">
        <f>IF(inputOth!D17&gt;0,inputOth!D17,"  ")</f>
        <v>7.973</v>
      </c>
      <c r="F11" s="717"/>
      <c r="G11" s="161">
        <f>IF(inputPrYr!E16=0,0,G23-SUM(G12:G20))</f>
        <v>2203</v>
      </c>
      <c r="H11" s="718"/>
      <c r="I11" s="161">
        <f>IF(inputPrYr!E16=0,0,I25-SUM(I12:I20))</f>
        <v>85</v>
      </c>
      <c r="J11" s="161">
        <f>IF(inputPrYr!E16=0,0,J27-SUM(J12:J20))</f>
        <v>77</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27211</v>
      </c>
      <c r="E21" s="720">
        <f>SUM(E11:E20)</f>
        <v>7.973</v>
      </c>
      <c r="F21" s="721"/>
      <c r="G21" s="719">
        <f>SUM(G11:G20)</f>
        <v>2203</v>
      </c>
      <c r="H21" s="719"/>
      <c r="I21" s="719">
        <f>SUM(I11:I20)</f>
        <v>85</v>
      </c>
      <c r="J21" s="719">
        <f>SUM(J11:J20)</f>
        <v>77</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2203</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85</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77</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0.08095990592039984</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0.0031237367241189226</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0.002829737973613612</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Empire Township</v>
      </c>
      <c r="B2" s="88"/>
      <c r="C2" s="14"/>
      <c r="D2" s="14"/>
      <c r="E2" s="52"/>
      <c r="F2" s="14"/>
    </row>
    <row r="3" spans="1:6" ht="15">
      <c r="A3" s="13"/>
      <c r="B3" s="88"/>
      <c r="C3" s="14"/>
      <c r="D3" s="14"/>
      <c r="E3" s="52"/>
      <c r="F3" s="14"/>
    </row>
    <row r="4" spans="1:6" ht="1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9768</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9768</v>
      </c>
      <c r="D27" s="228">
        <f>SUM(D10:D26)</f>
        <v>0</v>
      </c>
      <c r="E27" s="228">
        <f>SUM(E10:E26)</f>
        <v>0</v>
      </c>
      <c r="F27" s="129"/>
    </row>
    <row r="28" spans="1:6" ht="15">
      <c r="A28" s="129"/>
      <c r="B28" s="227" t="s">
        <v>609</v>
      </c>
      <c r="C28" s="129"/>
      <c r="D28" s="224"/>
      <c r="E28" s="224"/>
      <c r="F28" s="129"/>
    </row>
    <row r="29" spans="1:6" ht="15">
      <c r="A29" s="129"/>
      <c r="B29" s="179" t="s">
        <v>177</v>
      </c>
      <c r="C29" s="229">
        <f>C27</f>
        <v>9768</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2013-07-18T19:52:17Z</cp:lastPrinted>
  <dcterms:created xsi:type="dcterms:W3CDTF">1998-08-26T16:30:41Z</dcterms:created>
  <dcterms:modified xsi:type="dcterms:W3CDTF">2013-07-19T21:49:25Z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