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30" yWindow="65206" windowWidth="11070" windowHeight="7410"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summ" sheetId="11" r:id="rId11"/>
    <sheet name="nonbud" sheetId="12" r:id="rId12"/>
    <sheet name="NonBudFunds"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Library" sheetId="22" r:id="rId22"/>
    <sheet name="road" sheetId="23" r:id="rId23"/>
    <sheet name="Noxious" sheetId="24" r:id="rId24"/>
    <sheet name="Cemerty" sheetId="25" r:id="rId25"/>
    <sheet name="levypage11" sheetId="26" r:id="rId26"/>
    <sheet name="levypage12" sheetId="27" r:id="rId27"/>
    <sheet name="nolevypage13" sheetId="28" r:id="rId28"/>
    <sheet name="nolevypage14" sheetId="29" r:id="rId29"/>
    <sheet name="Library Grant" sheetId="30" r:id="rId30"/>
    <sheet name="Helpful Links" sheetId="31" r:id="rId31"/>
    <sheet name="legend" sheetId="32" r:id="rId32"/>
    <sheet name="TransferStatutes" sheetId="33" r:id="rId33"/>
  </sheets>
  <externalReferences>
    <externalReference r:id="rId36"/>
  </externalReferences>
  <definedNames>
    <definedName name="_xlnm.Print_Area" localSheetId="24">'Cemerty'!$A$1:$E$82</definedName>
    <definedName name="_xlnm.Print_Area" localSheetId="9">'gen'!$B$1:$E$52</definedName>
    <definedName name="_xlnm.Print_Area" localSheetId="1">'inputPrYr'!$A$1:$E$93</definedName>
    <definedName name="_xlnm.Print_Area" localSheetId="25">'levypage11'!$A$1:$E$90</definedName>
    <definedName name="_xlnm.Print_Area" localSheetId="26">'levypage12'!$A$1:$E$90</definedName>
    <definedName name="_xlnm.Print_Area" localSheetId="21">'Library'!$B$1:$E$73</definedName>
    <definedName name="_xlnm.Print_Area" localSheetId="29">'Library Grant'!$A$1:$J$40</definedName>
    <definedName name="_xlnm.Print_Area" localSheetId="23">'Noxious'!$A$1:$E$88</definedName>
    <definedName name="_xlnm.Print_Area" localSheetId="22">'road'!$B$1:$E$66</definedName>
    <definedName name="_xlnm.Print_Area" localSheetId="10">'summ'!$A$2:$H$31</definedName>
  </definedNames>
  <calcPr fullCalcOnLoad="1"/>
</workbook>
</file>

<file path=xl/sharedStrings.xml><?xml version="1.0" encoding="utf-8"?>
<sst xmlns="http://schemas.openxmlformats.org/spreadsheetml/2006/main" count="1681" uniqueCount="963">
  <si>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</si>
  <si>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</si>
  <si>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</si>
  <si>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</si>
  <si>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</si>
  <si>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</si>
  <si>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</si>
  <si>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</si>
  <si>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</si>
  <si>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</si>
  <si>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</si>
  <si>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</si>
  <si>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</si>
  <si>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</si>
  <si>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</si>
  <si>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</si>
  <si>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</si>
  <si>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</si>
  <si>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</si>
  <si>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</si>
  <si>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</si>
  <si>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</si>
  <si>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</si>
  <si>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</si>
  <si>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</si>
  <si>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</si>
  <si>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</si>
  <si>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</si>
  <si>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</si>
  <si>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</si>
  <si>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</si>
  <si>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</si>
  <si>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</si>
  <si>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</si>
  <si>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</si>
  <si>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</si>
  <si>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</si>
  <si>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</si>
  <si>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</si>
  <si>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</si>
  <si>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</si>
  <si>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</si>
  <si>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</si>
  <si>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</si>
  <si>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</si>
  <si>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</si>
  <si>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</si>
  <si>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</si>
  <si>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</si>
  <si>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</si>
  <si>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</si>
  <si>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</si>
  <si>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</si>
  <si>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</si>
  <si>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</si>
  <si>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</si>
  <si>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</si>
  <si>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</si>
  <si>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</si>
  <si>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</si>
  <si>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</si>
  <si>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</si>
  <si>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</si>
  <si>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</si>
  <si>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</si>
  <si>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</si>
  <si>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</si>
  <si>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</si>
  <si>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</si>
  <si>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</si>
  <si>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</si>
  <si>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</si>
  <si>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</si>
  <si>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</si>
  <si>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</si>
  <si>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</si>
  <si>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</si>
  <si>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</si>
  <si>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</si>
  <si>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</si>
  <si>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</si>
  <si>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</si>
  <si>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</si>
  <si>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</si>
  <si>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</si>
  <si>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</si>
  <si>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</si>
  <si>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</si>
  <si>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</si>
  <si>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</si>
  <si>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</si>
  <si>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</si>
  <si>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</si>
  <si>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</si>
  <si>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</si>
  <si>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</si>
  <si>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</si>
  <si>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</si>
  <si>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</si>
  <si>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</si>
  <si>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</si>
  <si>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</si>
  <si>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</si>
  <si>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</si>
  <si>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</si>
  <si>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</si>
  <si>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</si>
  <si>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</si>
  <si>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</si>
  <si>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</si>
  <si>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</si>
  <si>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</si>
  <si>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</si>
  <si>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</si>
  <si>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</si>
  <si>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</si>
  <si>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</si>
  <si>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</si>
  <si>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</si>
  <si>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</si>
  <si>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</si>
  <si>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</si>
  <si>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</si>
  <si>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</si>
  <si>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</si>
  <si>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</si>
  <si>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</si>
  <si>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</si>
  <si>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</si>
  <si>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</si>
  <si>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</si>
  <si>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</si>
  <si>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</si>
  <si>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</si>
  <si>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</si>
  <si>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</si>
  <si>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</si>
  <si>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</si>
  <si>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</si>
  <si>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</si>
  <si>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</si>
  <si>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</si>
  <si>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</si>
  <si>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</si>
  <si>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</si>
  <si>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</si>
  <si>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</si>
  <si>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</si>
  <si>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</si>
  <si>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</si>
  <si>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</si>
  <si>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</si>
  <si>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</si>
  <si>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</si>
  <si>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</si>
  <si>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</si>
  <si>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</si>
  <si>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</si>
  <si>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</si>
  <si>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</si>
  <si>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</si>
  <si>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</si>
  <si>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</si>
  <si>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</si>
  <si>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</si>
  <si>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</si>
  <si>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</si>
  <si>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</si>
  <si>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</si>
  <si>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</si>
  <si>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</si>
  <si>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</si>
  <si>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</si>
  <si>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</si>
  <si>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</si>
  <si>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</si>
  <si>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</si>
  <si>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</si>
  <si>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</si>
  <si>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</si>
  <si>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</si>
  <si>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</si>
  <si>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</si>
  <si>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</si>
  <si>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</si>
  <si>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</si>
  <si>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</si>
  <si>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</si>
  <si>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</si>
  <si>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</si>
  <si>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</si>
  <si>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</si>
  <si>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</si>
  <si>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</si>
  <si>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</si>
  <si>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</si>
  <si>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</si>
  <si>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</si>
  <si>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</si>
  <si>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</si>
  <si>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</si>
  <si>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</si>
  <si>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</si>
  <si>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</si>
  <si>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</si>
  <si>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</si>
  <si>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</si>
  <si>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</si>
  <si>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</si>
  <si>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</si>
  <si>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</si>
  <si>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</si>
  <si>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</si>
  <si>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</si>
  <si>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</si>
  <si>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</si>
  <si>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</si>
  <si>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</si>
  <si>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</si>
  <si>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</si>
  <si>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</si>
  <si>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</si>
  <si>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</si>
  <si>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</si>
  <si>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</si>
  <si>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</si>
  <si>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</si>
  <si>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</si>
  <si>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</si>
  <si>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</si>
  <si>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</si>
  <si>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</si>
  <si>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</si>
  <si>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</si>
  <si>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</si>
  <si>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</si>
  <si>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</si>
  <si>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</si>
  <si>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</si>
  <si>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</si>
  <si>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</si>
  <si>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</si>
  <si>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</si>
  <si>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</si>
  <si>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</si>
  <si>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</si>
  <si>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</si>
  <si>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</si>
  <si>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</si>
  <si>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</si>
  <si>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</si>
  <si>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</si>
  <si>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</si>
  <si>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</si>
  <si>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</si>
  <si>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</si>
  <si>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</si>
  <si>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</si>
  <si>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</si>
  <si>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</si>
  <si>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</si>
  <si>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</si>
  <si>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</si>
  <si>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</si>
  <si>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</si>
  <si>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</si>
  <si>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</si>
  <si>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</si>
  <si>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</si>
  <si>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</si>
  <si>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</si>
  <si>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</si>
  <si>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</si>
  <si>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</si>
  <si>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</si>
  <si>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</si>
  <si>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</si>
  <si>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</si>
  <si>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</si>
  <si>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</si>
  <si>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</si>
  <si>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</si>
  <si>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</si>
  <si>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</si>
  <si>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</si>
  <si>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</si>
  <si>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</si>
  <si>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</si>
  <si>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</si>
  <si>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</si>
  <si>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</si>
  <si>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</si>
  <si>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</si>
  <si>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</si>
  <si>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</si>
  <si>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</si>
  <si>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</si>
  <si>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</si>
  <si>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</si>
  <si>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</si>
  <si>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</si>
  <si>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</si>
  <si>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</si>
  <si>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</si>
  <si>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</si>
  <si>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</si>
  <si>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</si>
  <si>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</si>
  <si>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</si>
  <si>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</si>
  <si>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</si>
  <si>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</si>
  <si>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</si>
  <si>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</si>
  <si>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</si>
  <si>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</si>
  <si>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</si>
  <si>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</si>
  <si>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</si>
  <si>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</si>
  <si>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</si>
  <si>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</si>
  <si>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</si>
  <si>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</si>
  <si>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</si>
  <si>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</si>
  <si>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</si>
  <si>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</si>
  <si>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</si>
  <si>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</si>
  <si>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</si>
  <si>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</si>
  <si>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</si>
  <si>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</si>
  <si>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</si>
  <si>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</si>
  <si>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</si>
  <si>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</si>
  <si>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</si>
  <si>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</si>
  <si>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</si>
  <si>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</si>
  <si>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</si>
  <si>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</si>
  <si>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</si>
  <si>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</si>
  <si>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</si>
  <si>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</si>
  <si>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</si>
  <si>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</si>
  <si>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</si>
  <si>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</si>
  <si>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</si>
  <si>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</si>
  <si>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</si>
  <si>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</si>
  <si>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</si>
  <si>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</si>
  <si>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</si>
  <si>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</si>
  <si>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</si>
  <si>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</si>
  <si>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</si>
  <si>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</si>
  <si>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</si>
  <si>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</si>
  <si>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</si>
  <si>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</si>
  <si>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</si>
  <si>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</si>
  <si>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</si>
  <si>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</si>
  <si>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</si>
  <si>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</si>
  <si>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</si>
  <si>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</si>
  <si>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</si>
  <si>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</si>
  <si>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</si>
  <si>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</si>
  <si>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</si>
  <si>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</si>
  <si>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</si>
  <si>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</si>
  <si>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</si>
  <si>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</si>
  <si>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</si>
  <si>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</si>
  <si>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</si>
  <si>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</si>
  <si>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</si>
  <si>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</si>
  <si>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</si>
  <si>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</si>
  <si>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</si>
  <si>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</si>
  <si>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</si>
  <si>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</si>
  <si>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</si>
  <si>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</si>
  <si>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</si>
  <si>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</si>
  <si>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</si>
  <si>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</si>
  <si>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</si>
  <si>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</si>
  <si>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</si>
  <si>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</si>
  <si>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</si>
  <si>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</si>
  <si>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</si>
  <si>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</si>
  <si>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</si>
  <si>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</si>
  <si>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</si>
  <si>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</si>
  <si>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</si>
  <si>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</si>
  <si>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</si>
  <si>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</si>
  <si>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</si>
  <si>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</si>
  <si>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</si>
  <si>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</si>
  <si>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</si>
  <si>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</si>
  <si>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</si>
  <si>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</si>
  <si>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</si>
  <si>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</si>
  <si>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</si>
  <si>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</si>
  <si>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</si>
  <si>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</si>
  <si>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</si>
  <si>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</si>
  <si>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</si>
  <si>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</si>
  <si>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</si>
  <si>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</si>
  <si>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</si>
  <si>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</si>
  <si>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</si>
  <si>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</si>
  <si>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</si>
  <si>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</si>
  <si>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</si>
  <si>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</si>
  <si>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</si>
  <si>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</si>
  <si>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</si>
  <si>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</si>
  <si>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</si>
  <si>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</si>
  <si>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</si>
  <si>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</si>
  <si>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</si>
  <si>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</si>
  <si>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</si>
  <si>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</si>
  <si>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</si>
  <si>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</si>
  <si>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</si>
  <si>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</si>
  <si>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</si>
  <si>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</si>
  <si>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</si>
  <si>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</si>
  <si>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</si>
  <si>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</si>
  <si>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</si>
  <si>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</si>
  <si>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</si>
  <si>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</si>
  <si>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</si>
  <si>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</si>
  <si>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</si>
  <si>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</si>
  <si>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</si>
  <si>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</si>
  <si>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</si>
  <si>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</si>
  <si>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</si>
  <si>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</si>
  <si>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</si>
  <si>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</si>
  <si>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</si>
  <si>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</si>
  <si>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</si>
  <si>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</si>
  <si>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</si>
  <si>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</si>
  <si>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</si>
  <si>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</si>
  <si>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</si>
  <si>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</si>
  <si>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</si>
  <si>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</si>
  <si>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</si>
  <si>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</si>
  <si>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</si>
  <si>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</si>
  <si>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</si>
  <si>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</si>
  <si>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</si>
  <si>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</si>
  <si>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</si>
  <si>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</si>
  <si>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</si>
  <si>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</si>
  <si>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</si>
  <si>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</si>
  <si>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</si>
  <si>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</si>
  <si>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</si>
  <si>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</si>
  <si>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</si>
  <si>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</si>
  <si>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</si>
  <si>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</si>
  <si>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</si>
  <si>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</si>
  <si>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</si>
  <si>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</si>
  <si>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</si>
  <si>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</si>
  <si>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</si>
  <si>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</si>
  <si>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</si>
  <si>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</si>
  <si>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</si>
  <si>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</si>
  <si>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</si>
  <si>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</si>
  <si>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</si>
  <si>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</si>
  <si>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</si>
  <si>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</si>
  <si>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</si>
  <si>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</si>
  <si>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</si>
  <si>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</si>
  <si>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</si>
  <si>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</si>
  <si>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</si>
  <si>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</si>
  <si>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</si>
  <si>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</si>
  <si>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</si>
  <si>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</si>
  <si>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</si>
  <si>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</si>
  <si>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</si>
  <si>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</si>
  <si>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</si>
  <si>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</si>
  <si>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</si>
  <si>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</si>
  <si>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</si>
  <si>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</si>
  <si>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</si>
  <si>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</si>
  <si>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</si>
  <si>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</si>
  <si>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</si>
  <si>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</si>
  <si>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</si>
  <si>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</si>
  <si>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</si>
  <si>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</si>
  <si>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</si>
  <si>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</si>
  <si>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</si>
  <si>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</si>
  <si>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</si>
  <si>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</si>
  <si>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</si>
  <si>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</si>
  <si>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</si>
  <si>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</si>
  <si>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</si>
  <si>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</si>
  <si>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</si>
  <si>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</si>
  <si>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</si>
  <si>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</si>
  <si>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</si>
  <si>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</si>
  <si>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</si>
  <si>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</si>
  <si>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</si>
  <si>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</si>
  <si>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</si>
  <si>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</si>
  <si>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</si>
  <si>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</si>
  <si>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</si>
  <si>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</si>
  <si>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</si>
  <si>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</si>
  <si>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</si>
  <si>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</si>
  <si>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</si>
  <si>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</si>
  <si>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</si>
  <si>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</si>
  <si>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</si>
  <si>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</si>
  <si>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</si>
  <si>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</si>
  <si>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</si>
  <si>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</si>
  <si>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</si>
  <si>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</si>
  <si>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</si>
  <si>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</si>
  <si>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</si>
  <si>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</si>
  <si>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</si>
  <si>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</si>
  <si>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</si>
  <si>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</si>
  <si>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</si>
  <si>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</si>
  <si>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</si>
  <si>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</si>
  <si>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</si>
  <si>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</si>
  <si>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</si>
  <si>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</si>
  <si>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</si>
  <si>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</si>
  <si>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</si>
  <si>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</si>
  <si>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</si>
  <si>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</si>
  <si>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</si>
  <si>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</si>
  <si>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</si>
  <si>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</si>
  <si>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</si>
  <si>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</si>
  <si>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</si>
  <si>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</si>
  <si>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</si>
  <si>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</si>
  <si>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</si>
  <si>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</si>
  <si>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</si>
  <si>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</si>
  <si>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</si>
  <si>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</si>
  <si>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</si>
  <si>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</si>
  <si>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</si>
  <si>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</si>
  <si>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</si>
  <si>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</si>
  <si>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</si>
  <si>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</si>
  <si>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</si>
  <si>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</si>
  <si>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</si>
  <si>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</si>
  <si>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</si>
  <si>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</si>
  <si>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</si>
  <si>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</si>
  <si>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</si>
  <si>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</si>
  <si>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</si>
  <si>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</si>
  <si>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</si>
  <si>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</si>
  <si>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</si>
  <si>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</si>
  <si>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</si>
  <si>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</si>
  <si>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</si>
  <si>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</si>
  <si>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</si>
  <si>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</si>
  <si>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</si>
  <si>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</si>
  <si>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</si>
  <si>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</si>
  <si>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</si>
  <si>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</si>
  <si>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</si>
  <si>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</si>
  <si>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</si>
  <si>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</si>
  <si>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</si>
  <si>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</si>
  <si>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</si>
  <si>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</si>
  <si>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</si>
  <si>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</si>
  <si>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</si>
  <si>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</si>
  <si>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</si>
  <si>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</si>
  <si>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</si>
  <si>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</si>
  <si>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</si>
  <si>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</si>
  <si>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</si>
  <si>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</si>
  <si>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</si>
  <si>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</si>
  <si>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</si>
  <si>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</si>
  <si>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</si>
  <si>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</si>
  <si>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</si>
  <si>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</si>
  <si>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</si>
  <si>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</si>
  <si>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</si>
  <si>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</si>
  <si>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</si>
  <si>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</si>
  <si>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</si>
  <si>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</si>
  <si>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</si>
  <si>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</si>
  <si>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</si>
  <si>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</si>
  <si>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</si>
  <si>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</si>
  <si>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</si>
  <si>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</si>
  <si>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</si>
  <si>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</si>
  <si>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</si>
  <si>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</si>
  <si>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</si>
  <si>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</si>
  <si>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</si>
  <si>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</si>
  <si>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</si>
  <si>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</si>
  <si>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</si>
  <si>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</si>
  <si>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</si>
  <si>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</si>
  <si>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</si>
  <si>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</si>
  <si>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</si>
  <si>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</si>
  <si>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</si>
  <si>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</si>
  <si>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</si>
  <si>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</si>
  <si>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</si>
  <si>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</si>
  <si>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</si>
  <si>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</si>
  <si>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</si>
  <si>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</si>
  <si>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</si>
  <si>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</si>
  <si>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</si>
  <si>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</si>
  <si>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</si>
  <si>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</si>
  <si>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</si>
  <si>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</si>
  <si>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</si>
  <si>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</si>
  <si>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</si>
  <si>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</si>
  <si>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</si>
  <si>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</si>
  <si>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</si>
  <si>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</si>
  <si>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</si>
  <si>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</si>
  <si>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</si>
  <si>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</si>
  <si>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</si>
  <si>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</si>
  <si>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</si>
  <si>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</si>
  <si>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</si>
  <si>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</si>
  <si>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</si>
  <si>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</si>
  <si>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</si>
  <si>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</si>
  <si>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</si>
  <si>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</si>
  <si>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</si>
  <si>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</si>
  <si>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</si>
  <si>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</si>
  <si>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</si>
  <si>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</si>
  <si>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</si>
  <si>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</si>
  <si>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</si>
  <si>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</si>
  <si>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</si>
  <si>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</si>
  <si>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</si>
  <si>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</si>
  <si>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</si>
  <si>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</si>
  <si>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</si>
  <si>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</si>
  <si>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</si>
  <si>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</si>
  <si>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</si>
  <si>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</si>
  <si>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</si>
  <si>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</si>
  <si>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</si>
  <si>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</si>
  <si>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</si>
  <si>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</si>
  <si>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</si>
  <si>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</si>
  <si>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</si>
  <si>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</si>
  <si>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</si>
  <si>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</si>
  <si>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</si>
  <si>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</si>
  <si>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</si>
  <si>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</si>
  <si>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</si>
  <si>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</si>
  <si>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</si>
  <si>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</si>
  <si>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</si>
  <si>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</si>
  <si>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</si>
  <si>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</si>
  <si>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</si>
  <si>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</si>
  <si>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</si>
  <si>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</si>
  <si>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</si>
  <si>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</si>
  <si>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</si>
  <si>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</si>
  <si>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</si>
  <si>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</si>
  <si>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</si>
  <si>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</si>
  <si>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</si>
  <si>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</si>
  <si>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</si>
  <si>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</si>
  <si>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</si>
  <si>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</si>
  <si>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</si>
  <si>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</si>
  <si>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</si>
  <si>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</si>
  <si>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</si>
  <si>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</si>
  <si>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</si>
  <si>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</si>
  <si>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</si>
  <si>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</si>
  <si>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</si>
  <si>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</si>
  <si>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</si>
  <si>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</si>
  <si>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</si>
  <si>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</si>
  <si>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</si>
  <si>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</si>
  <si>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</si>
  <si>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</si>
  <si>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</si>
  <si>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</si>
  <si>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</si>
  <si>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</si>
  <si>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</si>
  <si>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</si>
  <si>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</si>
  <si>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</si>
  <si>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</si>
  <si>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</si>
  <si>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</si>
  <si>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</si>
  <si>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</si>
  <si>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</si>
  <si>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</si>
  <si>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</si>
  <si>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</si>
  <si>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</si>
  <si>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</si>
  <si>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</si>
  <si>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</si>
  <si>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</si>
  <si>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</si>
  <si>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</si>
  <si>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</si>
  <si>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</si>
  <si>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</si>
  <si>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</si>
  <si>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</si>
  <si>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</si>
  <si>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</si>
  <si>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</si>
  <si>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</si>
  <si>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</si>
  <si>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</si>
  <si>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</si>
  <si>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</si>
  <si>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</si>
  <si>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</si>
  <si>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</si>
  <si>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</si>
  <si>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</si>
  <si>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</si>
  <si>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</si>
  <si>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</si>
  <si>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</si>
  <si>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</si>
  <si>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</si>
  <si>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</si>
  <si>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</si>
  <si>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</si>
  <si>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</si>
  <si>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</si>
  <si>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</si>
  <si>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</si>
  <si>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</si>
  <si>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</si>
  <si>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</si>
  <si>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</si>
  <si>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</si>
  <si>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</si>
  <si>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</si>
  <si>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</si>
  <si>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</si>
  <si>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</si>
  <si>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Cemetery</t>
  </si>
  <si>
    <t>Equipment Repair</t>
  </si>
  <si>
    <t>Budget &amp; Publication</t>
  </si>
  <si>
    <t>Telecommunications Distribution</t>
  </si>
  <si>
    <t>Sales</t>
  </si>
  <si>
    <t>Co-op Patronage</t>
  </si>
  <si>
    <t>Equipment Repairs</t>
  </si>
  <si>
    <t>Fuel</t>
  </si>
  <si>
    <t>Budget &amp; Publications</t>
  </si>
  <si>
    <t>None</t>
  </si>
  <si>
    <t>Lyon County</t>
  </si>
  <si>
    <t>Center Township</t>
  </si>
  <si>
    <t>Olpe</t>
  </si>
  <si>
    <t>Lyon County Clerk's office</t>
  </si>
  <si>
    <t>Gravel</t>
  </si>
  <si>
    <t>Mowing</t>
  </si>
  <si>
    <t>7:00 PM</t>
  </si>
  <si>
    <t>Nakita Elwood's residence, 221 Road H. Madison</t>
  </si>
  <si>
    <t>Nakita Elwood</t>
  </si>
  <si>
    <t>Treasurer</t>
  </si>
  <si>
    <t>Maintenance</t>
  </si>
  <si>
    <t>August 12,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</si>
</sst>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5">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333</v>
      </c>
    </row>
    <row r="3" ht="34.5" customHeight="1">
      <c r="A3" s="211" t="s">
        <v>124</v>
      </c>
    </row>
    <row r="4" ht="15.75">
      <c r="A4" s="212"/>
    </row>
    <row r="5" ht="52.5" customHeight="1">
      <c r="A5" s="213" t="s">
        <v>334</v>
      </c>
    </row>
    <row r="6" ht="15.75">
      <c r="A6" s="213"/>
    </row>
    <row r="7" ht="51" customHeight="1">
      <c r="A7" s="213" t="s">
        <v>862</v>
      </c>
    </row>
    <row r="8" ht="15.75">
      <c r="A8" s="213"/>
    </row>
    <row r="9" ht="15.75">
      <c r="A9" s="213" t="s">
        <v>125</v>
      </c>
    </row>
    <row r="12" ht="15.75">
      <c r="A12" s="210" t="s">
        <v>181</v>
      </c>
    </row>
    <row r="14" ht="15.75">
      <c r="A14" s="212" t="s">
        <v>182</v>
      </c>
    </row>
    <row r="17" ht="38.25" customHeight="1">
      <c r="A17" s="214" t="s">
        <v>306</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395</v>
      </c>
    </row>
    <row r="39" ht="15.75">
      <c r="A39" s="210" t="s">
        <v>131</v>
      </c>
    </row>
    <row r="41" ht="70.5" customHeight="1">
      <c r="A41" s="213" t="s">
        <v>764</v>
      </c>
    </row>
    <row r="42" ht="52.5" customHeight="1">
      <c r="A42" s="220" t="s">
        <v>132</v>
      </c>
    </row>
    <row r="43" ht="33" customHeight="1">
      <c r="A43" s="213" t="s">
        <v>161</v>
      </c>
    </row>
    <row r="44" ht="106.5" customHeight="1">
      <c r="A44" s="735" t="s">
        <v>863</v>
      </c>
    </row>
    <row r="45" ht="10.5" customHeight="1">
      <c r="A45" s="213"/>
    </row>
    <row r="46" ht="108" customHeight="1">
      <c r="A46" s="213" t="s">
        <v>765</v>
      </c>
    </row>
    <row r="47" ht="59.25" customHeight="1">
      <c r="A47" s="213" t="s">
        <v>133</v>
      </c>
    </row>
    <row r="48" ht="101.25" customHeight="1">
      <c r="A48" s="213" t="s">
        <v>221</v>
      </c>
    </row>
    <row r="49" ht="74.25" customHeight="1">
      <c r="A49" s="213" t="s">
        <v>396</v>
      </c>
    </row>
    <row r="50" ht="69.75" customHeight="1">
      <c r="A50" s="213" t="s">
        <v>403</v>
      </c>
    </row>
    <row r="51" ht="58.5" customHeight="1">
      <c r="A51" s="736" t="s">
        <v>864</v>
      </c>
    </row>
    <row r="52" ht="12" customHeight="1">
      <c r="A52" s="213"/>
    </row>
    <row r="53" ht="81" customHeight="1">
      <c r="A53" s="213" t="s">
        <v>397</v>
      </c>
    </row>
    <row r="54" ht="81" customHeight="1">
      <c r="A54" s="213" t="s">
        <v>616</v>
      </c>
    </row>
    <row r="55" ht="81" customHeight="1">
      <c r="A55" s="213" t="s">
        <v>865</v>
      </c>
    </row>
    <row r="56" ht="48" customHeight="1">
      <c r="A56" s="736" t="s">
        <v>866</v>
      </c>
    </row>
    <row r="57" ht="84.75" customHeight="1">
      <c r="A57" s="737" t="s">
        <v>867</v>
      </c>
    </row>
    <row r="58" ht="11.25" customHeight="1"/>
    <row r="59" ht="72" customHeight="1">
      <c r="A59" s="213" t="s">
        <v>398</v>
      </c>
    </row>
    <row r="60" ht="54" customHeight="1">
      <c r="A60" s="213" t="s">
        <v>399</v>
      </c>
    </row>
    <row r="61" ht="54.75" customHeight="1">
      <c r="A61" s="213" t="s">
        <v>400</v>
      </c>
    </row>
    <row r="62" ht="14.25" customHeight="1">
      <c r="A62" s="213"/>
    </row>
    <row r="63" ht="68.25" customHeight="1">
      <c r="A63" s="737" t="s">
        <v>868</v>
      </c>
    </row>
    <row r="64" ht="12.75" customHeight="1">
      <c r="A64" s="213"/>
    </row>
    <row r="65" ht="41.25" customHeight="1">
      <c r="A65" s="213" t="s">
        <v>401</v>
      </c>
    </row>
    <row r="66" ht="24" customHeight="1">
      <c r="A66" s="213" t="s">
        <v>622</v>
      </c>
    </row>
    <row r="67" ht="72" customHeight="1">
      <c r="A67" s="213" t="s">
        <v>623</v>
      </c>
    </row>
    <row r="68" ht="56.25" customHeight="1">
      <c r="A68" s="213" t="s">
        <v>620</v>
      </c>
    </row>
    <row r="69" ht="15.75">
      <c r="A69" s="213" t="s">
        <v>621</v>
      </c>
    </row>
    <row r="70" ht="15.75" customHeight="1">
      <c r="A70" s="213"/>
    </row>
    <row r="71" ht="68.25" customHeight="1">
      <c r="A71" s="213" t="s">
        <v>402</v>
      </c>
    </row>
    <row r="72" s="213" customFormat="1" ht="14.25" customHeight="1">
      <c r="A72" s="111"/>
    </row>
    <row r="73" ht="87.75" customHeight="1">
      <c r="A73" s="213" t="s">
        <v>404</v>
      </c>
    </row>
    <row r="74" ht="12" customHeight="1">
      <c r="A74" s="213"/>
    </row>
    <row r="75" ht="141" customHeight="1">
      <c r="A75" s="737" t="s">
        <v>869</v>
      </c>
    </row>
    <row r="76" ht="12" customHeight="1"/>
    <row r="77" ht="78.75" customHeight="1">
      <c r="A77" s="213" t="s">
        <v>871</v>
      </c>
    </row>
    <row r="78" ht="78.75" customHeight="1">
      <c r="A78" s="737" t="s">
        <v>870</v>
      </c>
    </row>
    <row r="79" ht="86.25" customHeight="1">
      <c r="A79" s="539" t="s">
        <v>872</v>
      </c>
    </row>
    <row r="80" ht="78.75" customHeight="1">
      <c r="A80" s="539" t="s">
        <v>873</v>
      </c>
    </row>
    <row r="81" ht="78.75" customHeight="1">
      <c r="A81" s="539" t="s">
        <v>874</v>
      </c>
    </row>
    <row r="82" ht="73.5" customHeight="1">
      <c r="A82" s="213" t="s">
        <v>875</v>
      </c>
    </row>
    <row r="83" ht="120.75" customHeight="1">
      <c r="A83" s="213" t="s">
        <v>876</v>
      </c>
    </row>
    <row r="84" ht="72.75" customHeight="1">
      <c r="A84" s="213" t="s">
        <v>877</v>
      </c>
    </row>
    <row r="85" ht="100.5" customHeight="1">
      <c r="A85" s="213" t="s">
        <v>878</v>
      </c>
    </row>
    <row r="86" ht="110.25" customHeight="1">
      <c r="A86" s="213" t="s">
        <v>879</v>
      </c>
    </row>
    <row r="87" ht="100.5" customHeight="1">
      <c r="A87" s="221" t="s">
        <v>880</v>
      </c>
    </row>
    <row r="88" ht="61.5" customHeight="1">
      <c r="A88" s="357" t="s">
        <v>881</v>
      </c>
    </row>
    <row r="89" ht="120.75" customHeight="1">
      <c r="A89" s="213" t="s">
        <v>933</v>
      </c>
    </row>
    <row r="90" ht="86.25" customHeight="1">
      <c r="A90" s="221" t="s">
        <v>882</v>
      </c>
    </row>
    <row r="91" ht="101.25" customHeight="1">
      <c r="A91" s="221" t="s">
        <v>932</v>
      </c>
    </row>
    <row r="92" ht="133.5" customHeight="1">
      <c r="A92" s="213" t="s">
        <v>883</v>
      </c>
    </row>
    <row r="93" ht="137.25" customHeight="1">
      <c r="A93" s="213" t="s">
        <v>884</v>
      </c>
    </row>
    <row r="94" ht="101.25" customHeight="1">
      <c r="A94" s="213" t="s">
        <v>885</v>
      </c>
    </row>
    <row r="95" ht="9.75" customHeight="1">
      <c r="A95" s="221"/>
    </row>
    <row r="96" ht="119.25" customHeight="1">
      <c r="A96" s="213" t="s">
        <v>886</v>
      </c>
    </row>
    <row r="97" ht="117" customHeight="1">
      <c r="A97" s="221" t="s">
        <v>887</v>
      </c>
    </row>
    <row r="98" ht="58.5" customHeight="1">
      <c r="A98" s="221" t="s">
        <v>888</v>
      </c>
    </row>
    <row r="99" ht="21" customHeight="1">
      <c r="A99" s="213" t="s">
        <v>889</v>
      </c>
    </row>
    <row r="100" ht="3.75" customHeight="1"/>
    <row r="101" ht="64.5" customHeight="1">
      <c r="A101" s="213" t="s">
        <v>890</v>
      </c>
    </row>
    <row r="102" ht="22.5" customHeight="1">
      <c r="A102" s="213" t="s">
        <v>891</v>
      </c>
    </row>
    <row r="103" ht="40.5" customHeight="1">
      <c r="A103" s="539" t="s">
        <v>892</v>
      </c>
    </row>
    <row r="104" ht="115.5" customHeight="1">
      <c r="A104" s="539" t="s">
        <v>893</v>
      </c>
    </row>
    <row r="105" ht="116.25" customHeight="1">
      <c r="A105" s="539" t="s">
        <v>894</v>
      </c>
    </row>
    <row r="106" ht="90" customHeight="1">
      <c r="A106" s="213" t="s">
        <v>895</v>
      </c>
    </row>
    <row r="107" ht="74.25" customHeight="1">
      <c r="A107" s="738" t="s">
        <v>896</v>
      </c>
    </row>
    <row r="108" ht="61.5" customHeight="1">
      <c r="A108" s="213" t="s">
        <v>897</v>
      </c>
    </row>
    <row r="109" ht="9" customHeight="1"/>
    <row r="110" ht="78.75" customHeight="1">
      <c r="A110" s="213" t="s">
        <v>898</v>
      </c>
    </row>
    <row r="112" ht="73.5" customHeight="1">
      <c r="A112" s="539" t="s">
        <v>899</v>
      </c>
    </row>
    <row r="113" ht="108" customHeight="1">
      <c r="A113" s="539" t="s">
        <v>900</v>
      </c>
    </row>
    <row r="114" ht="96" customHeight="1">
      <c r="A114" s="539" t="s">
        <v>901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70" zoomScaleNormal="70" zoomScalePageLayoutView="0" workbookViewId="0" topLeftCell="A31">
      <selection activeCell="E37" sqref="E37"/>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Center Township</v>
      </c>
      <c r="C1" s="65"/>
      <c r="D1" s="65"/>
      <c r="E1" s="223">
        <f>inputPrYr!D9</f>
        <v>2014</v>
      </c>
    </row>
    <row r="2" spans="2:5" ht="15.75">
      <c r="B2" s="541" t="s">
        <v>763</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5023</v>
      </c>
      <c r="D6" s="392">
        <f>C42</f>
        <v>4715</v>
      </c>
      <c r="E6" s="259">
        <f>D42</f>
        <v>2374</v>
      </c>
    </row>
    <row r="7" spans="2:5" ht="15.75">
      <c r="B7" s="79" t="s">
        <v>69</v>
      </c>
      <c r="C7" s="392"/>
      <c r="D7" s="392"/>
      <c r="E7" s="313"/>
    </row>
    <row r="8" spans="2:5" ht="15.75">
      <c r="B8" s="79" t="s">
        <v>276</v>
      </c>
      <c r="C8" s="311">
        <v>3580</v>
      </c>
      <c r="D8" s="392">
        <f>IF(inputPrYr!H19&gt;0,inputPrYr!G20,inputPrYr!E20)</f>
        <v>3574</v>
      </c>
      <c r="E8" s="313" t="s">
        <v>255</v>
      </c>
    </row>
    <row r="9" spans="2:5" ht="15.75">
      <c r="B9" s="79" t="s">
        <v>277</v>
      </c>
      <c r="C9" s="311"/>
      <c r="D9" s="311"/>
      <c r="E9" s="169"/>
    </row>
    <row r="10" spans="2:5" ht="15.75">
      <c r="B10" s="79" t="s">
        <v>278</v>
      </c>
      <c r="C10" s="311">
        <f>3699-3580</f>
        <v>119</v>
      </c>
      <c r="D10" s="311">
        <v>311</v>
      </c>
      <c r="E10" s="259">
        <f>mvalloc!G11</f>
        <v>319</v>
      </c>
    </row>
    <row r="11" spans="2:5" ht="15.75">
      <c r="B11" s="79" t="s">
        <v>279</v>
      </c>
      <c r="C11" s="311"/>
      <c r="D11" s="311">
        <v>4</v>
      </c>
      <c r="E11" s="259">
        <f>mvalloc!I11</f>
        <v>5</v>
      </c>
    </row>
    <row r="12" spans="2:5" ht="15.75">
      <c r="B12" s="314" t="s">
        <v>18</v>
      </c>
      <c r="C12" s="311"/>
      <c r="D12" s="311">
        <v>15</v>
      </c>
      <c r="E12" s="259">
        <f>mvalloc!J11</f>
        <v>29</v>
      </c>
    </row>
    <row r="13" spans="2:5" ht="15.75">
      <c r="B13" s="314" t="s">
        <v>109</v>
      </c>
      <c r="C13" s="311"/>
      <c r="D13" s="311"/>
      <c r="E13" s="259">
        <f>inputOth!E71</f>
        <v>0</v>
      </c>
    </row>
    <row r="14" spans="2:5" ht="15.75">
      <c r="B14" s="79" t="s">
        <v>280</v>
      </c>
      <c r="C14" s="311"/>
      <c r="D14" s="311"/>
      <c r="E14" s="259">
        <f>inputOth!E32</f>
        <v>0</v>
      </c>
    </row>
    <row r="15" spans="2:5" ht="15.75">
      <c r="B15" s="316"/>
      <c r="C15" s="311"/>
      <c r="D15" s="311"/>
      <c r="E15" s="169"/>
    </row>
    <row r="16" spans="2:5" ht="15.75">
      <c r="B16" s="315"/>
      <c r="C16" s="311"/>
      <c r="D16" s="311"/>
      <c r="E16" s="169"/>
    </row>
    <row r="17" spans="2:5" ht="15.75">
      <c r="B17" s="316" t="s">
        <v>282</v>
      </c>
      <c r="C17" s="311">
        <v>4</v>
      </c>
      <c r="D17" s="311">
        <v>5</v>
      </c>
      <c r="E17" s="169">
        <v>5</v>
      </c>
    </row>
    <row r="18" spans="2:5" ht="15.75">
      <c r="B18" s="317" t="s">
        <v>228</v>
      </c>
      <c r="C18" s="311"/>
      <c r="D18" s="311"/>
      <c r="E18" s="169"/>
    </row>
    <row r="19" spans="2:5" ht="15.75">
      <c r="B19" s="317" t="s">
        <v>229</v>
      </c>
      <c r="C19" s="394">
        <f>IF(C20*0.1&lt;C18,"Exceed 10% Rule","")</f>
      </c>
      <c r="D19" s="394">
        <f>IF(D20*0.1&lt;D18,"Exceed 10% Rule","")</f>
      </c>
      <c r="E19" s="321">
        <f>IF(E20*0.1+E48&lt;E18,"Exceed 10% Rule","")</f>
      </c>
    </row>
    <row r="20" spans="2:5" ht="15.75">
      <c r="B20" s="319" t="s">
        <v>283</v>
      </c>
      <c r="C20" s="395">
        <f>SUM(C8:C18)</f>
        <v>3703</v>
      </c>
      <c r="D20" s="395">
        <f>SUM(D8:D18)</f>
        <v>3909</v>
      </c>
      <c r="E20" s="320">
        <f>SUM(E8:E18)</f>
        <v>358</v>
      </c>
    </row>
    <row r="21" spans="2:5" ht="15.75">
      <c r="B21" s="97" t="s">
        <v>284</v>
      </c>
      <c r="C21" s="395">
        <f>C20+C6</f>
        <v>8726</v>
      </c>
      <c r="D21" s="395">
        <f>D20+D6</f>
        <v>8624</v>
      </c>
      <c r="E21" s="320">
        <f>E20+E6</f>
        <v>2732</v>
      </c>
    </row>
    <row r="22" spans="2:5" ht="15.75">
      <c r="B22" s="79" t="s">
        <v>285</v>
      </c>
      <c r="C22" s="392"/>
      <c r="D22" s="392"/>
      <c r="E22" s="259"/>
    </row>
    <row r="23" spans="2:5" ht="15.75">
      <c r="B23" s="315"/>
      <c r="C23" s="311"/>
      <c r="D23" s="311"/>
      <c r="E23" s="169"/>
    </row>
    <row r="24" spans="2:5" ht="15.75">
      <c r="B24" s="316" t="s">
        <v>50</v>
      </c>
      <c r="C24" s="311">
        <v>300</v>
      </c>
      <c r="D24" s="311">
        <v>300</v>
      </c>
      <c r="E24" s="169">
        <v>300</v>
      </c>
    </row>
    <row r="25" spans="2:5" ht="15.75">
      <c r="B25" s="316" t="s">
        <v>74</v>
      </c>
      <c r="C25" s="311"/>
      <c r="D25" s="311"/>
      <c r="E25" s="169"/>
    </row>
    <row r="26" spans="2:5" ht="15.75">
      <c r="B26" s="316" t="s">
        <v>51</v>
      </c>
      <c r="C26" s="311"/>
      <c r="D26" s="311"/>
      <c r="E26" s="169"/>
    </row>
    <row r="27" spans="2:5" ht="15.75">
      <c r="B27" s="316" t="s">
        <v>296</v>
      </c>
      <c r="C27" s="311">
        <v>40</v>
      </c>
      <c r="D27" s="311">
        <v>1000</v>
      </c>
      <c r="E27" s="169">
        <v>1000</v>
      </c>
    </row>
    <row r="28" spans="2:5" ht="15.75">
      <c r="B28" s="315" t="s">
        <v>955</v>
      </c>
      <c r="C28" s="311">
        <v>1775</v>
      </c>
      <c r="D28" s="311">
        <v>2000</v>
      </c>
      <c r="E28" s="169">
        <v>2000</v>
      </c>
    </row>
    <row r="29" spans="2:5" ht="15.75">
      <c r="B29" s="316" t="s">
        <v>76</v>
      </c>
      <c r="C29" s="311">
        <v>250</v>
      </c>
      <c r="D29" s="311">
        <v>250</v>
      </c>
      <c r="E29" s="169">
        <v>250</v>
      </c>
    </row>
    <row r="30" spans="2:5" ht="15.75">
      <c r="B30" s="316" t="s">
        <v>942</v>
      </c>
      <c r="C30" s="311"/>
      <c r="D30" s="311"/>
      <c r="E30" s="169"/>
    </row>
    <row r="31" spans="2:5" ht="15.75">
      <c r="B31" s="316" t="s">
        <v>943</v>
      </c>
      <c r="C31" s="311">
        <f>100+47-1</f>
        <v>146</v>
      </c>
      <c r="D31" s="311">
        <v>150</v>
      </c>
      <c r="E31" s="169">
        <v>150</v>
      </c>
    </row>
    <row r="32" spans="2:5" ht="15.75">
      <c r="B32" s="316" t="s">
        <v>956</v>
      </c>
      <c r="C32" s="311">
        <f>750+750</f>
        <v>1500</v>
      </c>
      <c r="D32" s="311">
        <v>1800</v>
      </c>
      <c r="E32" s="169">
        <v>1800</v>
      </c>
    </row>
    <row r="33" spans="2:10" ht="15.75">
      <c r="B33" s="316" t="s">
        <v>961</v>
      </c>
      <c r="C33" s="311"/>
      <c r="D33" s="311">
        <v>750</v>
      </c>
      <c r="E33" s="169">
        <f>3592-2768</f>
        <v>824</v>
      </c>
      <c r="G33" s="509"/>
      <c r="H33" s="543"/>
      <c r="I33" s="548"/>
      <c r="J33" s="510"/>
    </row>
    <row r="34" spans="2:10" ht="15.75">
      <c r="B34" s="314" t="s">
        <v>188</v>
      </c>
      <c r="C34" s="311"/>
      <c r="D34" s="311"/>
      <c r="E34" s="169"/>
      <c r="G34" s="511" t="s">
        <v>732</v>
      </c>
      <c r="H34" s="548"/>
      <c r="I34" s="548"/>
      <c r="J34" s="512">
        <v>0</v>
      </c>
    </row>
    <row r="35" spans="2:10" ht="15.75">
      <c r="B35" s="314" t="s">
        <v>189</v>
      </c>
      <c r="C35" s="394">
        <f>IF(AND($C$34&gt;0,$C$8&gt;0),"Not Authorized","")</f>
      </c>
      <c r="D35" s="394">
        <f>IF(AND($D$34&gt;0,$D$8&gt;0),"Not Authorized","")</f>
      </c>
      <c r="E35" s="321">
        <f>IF(AND(E48&gt;0,$E$34&gt;0),"Not Authorized","")</f>
      </c>
      <c r="G35" s="509" t="s">
        <v>733</v>
      </c>
      <c r="H35" s="543"/>
      <c r="I35" s="543"/>
      <c r="J35" s="719">
        <f>IF(J34=0,"",ROUND((J34+E48-G47)/inputOth!E11*1000,3)-G52)</f>
      </c>
    </row>
    <row r="36" spans="2:10" ht="15.75">
      <c r="B36" s="79" t="s">
        <v>190</v>
      </c>
      <c r="C36" s="311"/>
      <c r="D36" s="311"/>
      <c r="E36" s="169"/>
      <c r="G36" s="720" t="str">
        <f>CONCATENATE("",E1," Tot Exp/Non-Appr Must Be:")</f>
        <v>2014 Tot Exp/Non-Appr Must Be:</v>
      </c>
      <c r="H36" s="538"/>
      <c r="I36" s="716"/>
      <c r="J36" s="721">
        <f>IF(J34&gt;0,IF(E45&lt;E17,IF(J34=G47,E45,((J34-G47)*(1-D47))+E17),E45+(J34-G47)),0)</f>
        <v>0</v>
      </c>
    </row>
    <row r="37" spans="2:10" ht="15.75">
      <c r="B37" s="79" t="s">
        <v>769</v>
      </c>
      <c r="C37" s="394">
        <f>IF(C21*0.25&lt;C36,"Exceeds 25%","")</f>
      </c>
      <c r="D37" s="394">
        <f>IF(D21*0.25&lt;D36,"Exceeds 25%","")</f>
      </c>
      <c r="E37" s="321">
        <f>IF(E21*0.25+E48&lt;E36,"Exceeds 25%","")</f>
      </c>
      <c r="G37" s="722" t="s">
        <v>859</v>
      </c>
      <c r="H37" s="723"/>
      <c r="I37" s="723"/>
      <c r="J37" s="724">
        <f>IF(J34&gt;0,J36-E45,0)</f>
        <v>0</v>
      </c>
    </row>
    <row r="38" spans="2:5" ht="15.75">
      <c r="B38" s="314" t="s">
        <v>230</v>
      </c>
      <c r="C38" s="311"/>
      <c r="D38" s="311"/>
      <c r="E38" s="180">
        <f>nhood!E6</f>
      </c>
    </row>
    <row r="39" spans="2:10" ht="15.75">
      <c r="B39" s="314" t="s">
        <v>228</v>
      </c>
      <c r="C39" s="311"/>
      <c r="D39" s="311"/>
      <c r="E39" s="169"/>
      <c r="G39" s="807" t="str">
        <f>CONCATENATE("Projected Carryover Into ",E1+1,"")</f>
        <v>Projected Carryover Into 2015</v>
      </c>
      <c r="H39" s="808"/>
      <c r="I39" s="808"/>
      <c r="J39" s="809"/>
    </row>
    <row r="40" spans="2:10" ht="15.75">
      <c r="B40" s="314" t="s">
        <v>730</v>
      </c>
      <c r="C40" s="394">
        <f>IF(C41*0.1&lt;C39,"Exceed 10% Rule","")</f>
      </c>
      <c r="D40" s="394">
        <f>IF(D41*0.1&lt;D39,"Exceed 10% Rule","")</f>
      </c>
      <c r="E40" s="321">
        <f>IF(E41*0.1&lt;E39,"Exceed 10% Rule","")</f>
      </c>
      <c r="G40" s="542"/>
      <c r="H40" s="543"/>
      <c r="I40" s="543"/>
      <c r="J40" s="544"/>
    </row>
    <row r="41" spans="2:10" ht="15.75">
      <c r="B41" s="97" t="s">
        <v>286</v>
      </c>
      <c r="C41" s="395">
        <f>SUM(C23:C34,C36,C38:C39)</f>
        <v>4011</v>
      </c>
      <c r="D41" s="395">
        <f>SUM(D23:D34,D36,D38:D39)</f>
        <v>6250</v>
      </c>
      <c r="E41" s="320">
        <f>SUM(E23:E34,E38:E39,E36)</f>
        <v>6324</v>
      </c>
      <c r="G41" s="545">
        <f>D42</f>
        <v>2374</v>
      </c>
      <c r="H41" s="546" t="str">
        <f>CONCATENATE("",E1-1," Ending Cash Balance (est.)")</f>
        <v>2013 Ending Cash Balance (est.)</v>
      </c>
      <c r="I41" s="547"/>
      <c r="J41" s="544"/>
    </row>
    <row r="42" spans="2:10" ht="15.75">
      <c r="B42" s="79" t="s">
        <v>68</v>
      </c>
      <c r="C42" s="396">
        <f>C21-C41</f>
        <v>4715</v>
      </c>
      <c r="D42" s="396">
        <f>D21-D41</f>
        <v>2374</v>
      </c>
      <c r="E42" s="313" t="s">
        <v>255</v>
      </c>
      <c r="G42" s="545">
        <f>E20</f>
        <v>358</v>
      </c>
      <c r="H42" s="548" t="str">
        <f>CONCATENATE("",E1," Non-AV Receipts (est.)")</f>
        <v>2014 Non-AV Receipts (est.)</v>
      </c>
      <c r="I42" s="547"/>
      <c r="J42" s="544"/>
    </row>
    <row r="43" spans="2:11" ht="15.75">
      <c r="B43" s="115" t="str">
        <f>CONCATENATE("",E1-2,"/",E1-1," Budget Authority Amount:")</f>
        <v>2012/2013 Budget Authority Amount:</v>
      </c>
      <c r="C43" s="336">
        <f>inputOth!B83</f>
        <v>4500</v>
      </c>
      <c r="D43" s="68">
        <f>inputPrYr!D20</f>
        <v>8159</v>
      </c>
      <c r="E43" s="313" t="s">
        <v>255</v>
      </c>
      <c r="F43" s="322"/>
      <c r="G43" s="549">
        <f>IF(D47&gt;0,E46,E48)</f>
        <v>3592</v>
      </c>
      <c r="H43" s="548" t="str">
        <f>CONCATENATE("",E1," Ad Valorem Tax (est.)")</f>
        <v>2014 Ad Valorem Tax (est.)</v>
      </c>
      <c r="I43" s="547"/>
      <c r="J43" s="544"/>
      <c r="K43" s="725">
        <f>IF(G43=E48,"","Note: Does not include Delinquent Taxes")</f>
      </c>
    </row>
    <row r="44" spans="2:10" ht="15.75">
      <c r="B44" s="115"/>
      <c r="C44" s="801" t="s">
        <v>727</v>
      </c>
      <c r="D44" s="802"/>
      <c r="E44" s="169"/>
      <c r="F44" s="322">
        <f>IF(E41/0.95-E41&lt;E44,"Exceeds 5%","")</f>
      </c>
      <c r="G44" s="545">
        <f>SUM(G41:G43)</f>
        <v>6324</v>
      </c>
      <c r="H44" s="548" t="str">
        <f>CONCATENATE("Total ",E1," Resources Available")</f>
        <v>Total 2014 Resources Available</v>
      </c>
      <c r="I44" s="547"/>
      <c r="J44" s="544"/>
    </row>
    <row r="45" spans="2:10" ht="15.75">
      <c r="B45" s="501" t="str">
        <f>CONCATENATE(C65,"      ",D65)</f>
        <v>      </v>
      </c>
      <c r="C45" s="803" t="s">
        <v>728</v>
      </c>
      <c r="D45" s="804"/>
      <c r="E45" s="259">
        <f>E41+E44</f>
        <v>6324</v>
      </c>
      <c r="G45" s="550"/>
      <c r="H45" s="548"/>
      <c r="I45" s="548"/>
      <c r="J45" s="544"/>
    </row>
    <row r="46" spans="2:10" ht="15.75">
      <c r="B46" s="501" t="str">
        <f>CONCATENATE(C66,"       ",D66)</f>
        <v>       </v>
      </c>
      <c r="C46" s="504"/>
      <c r="D46" s="503" t="s">
        <v>288</v>
      </c>
      <c r="E46" s="180">
        <f>IF(E45-E21&gt;0,E45-E21,0)</f>
        <v>3592</v>
      </c>
      <c r="G46" s="549">
        <f>ROUND(C41*0.05+C41,0)</f>
        <v>4212</v>
      </c>
      <c r="H46" s="548" t="str">
        <f>CONCATENATE("Less ",E1-2," Expenditures + 5%")</f>
        <v>Less 2012 Expenditures + 5%</v>
      </c>
      <c r="I46" s="547"/>
      <c r="J46" s="544"/>
    </row>
    <row r="47" spans="2:10" ht="15.75">
      <c r="B47" s="208"/>
      <c r="C47" s="502" t="s">
        <v>729</v>
      </c>
      <c r="D47" s="718">
        <f>inputOth!$E$77</f>
        <v>0</v>
      </c>
      <c r="E47" s="259">
        <f>ROUND(IF(D47&gt;0,(E46*D47),0),0)</f>
        <v>0</v>
      </c>
      <c r="G47" s="551">
        <f>G44-G46</f>
        <v>2112</v>
      </c>
      <c r="H47" s="552" t="str">
        <f>CONCATENATE("Projected ",E1+1," Carryover (est.)")</f>
        <v>Projected 2015 Carryover (est.)</v>
      </c>
      <c r="I47" s="553"/>
      <c r="J47" s="554"/>
    </row>
    <row r="48" spans="2:5" ht="15.75">
      <c r="B48" s="65"/>
      <c r="C48" s="805" t="str">
        <f>CONCATENATE("Amount of  ",$E$1-1," Ad Valorem Tax")</f>
        <v>Amount of  2013 Ad Valorem Tax</v>
      </c>
      <c r="D48" s="806"/>
      <c r="E48" s="180">
        <f>E46+E47</f>
        <v>3592</v>
      </c>
    </row>
    <row r="49" spans="2:10" ht="15.75">
      <c r="B49" s="65"/>
      <c r="C49" s="65"/>
      <c r="D49" s="65"/>
      <c r="E49" s="65"/>
      <c r="G49" s="810" t="s">
        <v>860</v>
      </c>
      <c r="H49" s="811"/>
      <c r="I49" s="811"/>
      <c r="J49" s="812"/>
    </row>
    <row r="50" spans="2:11" s="324" customFormat="1" ht="15.75">
      <c r="B50" s="70"/>
      <c r="C50" s="70"/>
      <c r="D50" s="266"/>
      <c r="E50" s="70"/>
      <c r="G50" s="726"/>
      <c r="H50" s="546"/>
      <c r="I50" s="717"/>
      <c r="J50" s="727"/>
      <c r="K50" s="154"/>
    </row>
    <row r="51" spans="2:11" s="325" customFormat="1" ht="15.75">
      <c r="B51" s="65"/>
      <c r="C51" s="65"/>
      <c r="D51" s="188"/>
      <c r="E51" s="65"/>
      <c r="G51" s="728">
        <f>summ!H18</f>
        <v>0.182</v>
      </c>
      <c r="H51" s="546" t="str">
        <f>CONCATENATE("",E1," Fund Mill Rate")</f>
        <v>2014 Fund Mill Rate</v>
      </c>
      <c r="I51" s="717"/>
      <c r="J51" s="727"/>
      <c r="K51" s="154"/>
    </row>
    <row r="52" spans="2:10" ht="15.75">
      <c r="B52" s="208" t="s">
        <v>269</v>
      </c>
      <c r="C52" s="373">
        <v>6</v>
      </c>
      <c r="D52" s="65"/>
      <c r="E52" s="65"/>
      <c r="G52" s="729">
        <f>summ!E18</f>
        <v>0.19</v>
      </c>
      <c r="H52" s="546" t="str">
        <f>CONCATENATE("",E1-1," Fund Mill Rate")</f>
        <v>2013 Fund Mill Rate</v>
      </c>
      <c r="I52" s="717"/>
      <c r="J52" s="727"/>
    </row>
    <row r="53" spans="7:10" ht="15.75">
      <c r="G53" s="730">
        <f>summ!H20</f>
        <v>0.182</v>
      </c>
      <c r="H53" s="546" t="str">
        <f>CONCATENATE("Total ",E1," Mill Rate")</f>
        <v>Total 2014 Mill Rate</v>
      </c>
      <c r="I53" s="717"/>
      <c r="J53" s="727"/>
    </row>
    <row r="54" spans="2:10" ht="15.75">
      <c r="B54" s="107"/>
      <c r="G54" s="729">
        <f>summ!E20</f>
        <v>0.19</v>
      </c>
      <c r="H54" s="731" t="str">
        <f>CONCATENATE("Total ",E1-1," Mill Rate")</f>
        <v>Total 2013 Mill Rate</v>
      </c>
      <c r="I54" s="732"/>
      <c r="J54" s="733"/>
    </row>
    <row r="65" spans="3:4" ht="15.75" hidden="1">
      <c r="C65" s="154">
        <f>IF(C41&gt;C43,"See Tab A","")</f>
      </c>
      <c r="D65" s="154">
        <f>IF(D41&gt;D43,"See Tab C","")</f>
      </c>
    </row>
    <row r="66" spans="3:4" ht="15.75" hidden="1">
      <c r="C66" s="154">
        <f>IF(C42&lt;0,"See Tab B","")</f>
      </c>
      <c r="D66" s="154">
        <f>IF(D42&lt;0,"See Tab D","")</f>
      </c>
    </row>
  </sheetData>
  <sheetProtection/>
  <mergeCells count="5">
    <mergeCell ref="C44:D44"/>
    <mergeCell ref="C45:D45"/>
    <mergeCell ref="C48:D48"/>
    <mergeCell ref="G39:J39"/>
    <mergeCell ref="G49:J49"/>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4">
    <cfRule type="cellIs" priority="4" dxfId="173" operator="greaterThan" stopIfTrue="1">
      <formula>$E$41/0.95-$E$41</formula>
    </cfRule>
  </conditionalFormatting>
  <conditionalFormatting sqref="E39">
    <cfRule type="cellIs" priority="5" dxfId="173" operator="greaterThan" stopIfTrue="1">
      <formula>$E$41*0.1</formula>
    </cfRule>
  </conditionalFormatting>
  <conditionalFormatting sqref="D39">
    <cfRule type="cellIs" priority="6" dxfId="173" operator="greaterThan" stopIfTrue="1">
      <formula>$D$41*0.1</formula>
    </cfRule>
  </conditionalFormatting>
  <conditionalFormatting sqref="C39">
    <cfRule type="cellIs" priority="7" dxfId="173" operator="greaterThan" stopIfTrue="1">
      <formula>$C$41*0.1</formula>
    </cfRule>
  </conditionalFormatting>
  <conditionalFormatting sqref="C41">
    <cfRule type="cellIs" priority="8" dxfId="173" operator="greaterThan" stopIfTrue="1">
      <formula>$C$43</formula>
    </cfRule>
  </conditionalFormatting>
  <conditionalFormatting sqref="C42">
    <cfRule type="cellIs" priority="9" dxfId="173"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73" operator="greaterThan" stopIfTrue="1">
      <formula>$C$21*0.25</formula>
    </cfRule>
  </conditionalFormatting>
  <conditionalFormatting sqref="D36">
    <cfRule type="cellIs" priority="12" dxfId="173" operator="greaterThan" stopIfTrue="1">
      <formula>$D$21*0.25</formula>
    </cfRule>
  </conditionalFormatting>
  <conditionalFormatting sqref="D34">
    <cfRule type="expression" priority="13" dxfId="173" stopIfTrue="1">
      <formula>$D$8&gt;0</formula>
    </cfRule>
  </conditionalFormatting>
  <conditionalFormatting sqref="C34">
    <cfRule type="expression" priority="15" dxfId="173" stopIfTrue="1">
      <formula>$C$8&gt;0</formula>
    </cfRule>
  </conditionalFormatting>
  <conditionalFormatting sqref="E36">
    <cfRule type="cellIs" priority="16" dxfId="173" operator="greaterThan" stopIfTrue="1">
      <formula>$E$21*0.25+$E$48</formula>
    </cfRule>
  </conditionalFormatting>
  <conditionalFormatting sqref="E34">
    <cfRule type="expression" priority="17" dxfId="173" stopIfTrue="1">
      <formula>$E$48&gt;0</formula>
    </cfRule>
  </conditionalFormatting>
  <conditionalFormatting sqref="D42">
    <cfRule type="cellIs" priority="1" dxfId="0" operator="lessThan" stopIfTrue="1">
      <formula>0</formula>
    </cfRule>
  </conditionalFormatting>
  <conditionalFormatting sqref="E18">
    <cfRule type="cellIs" priority="23" dxfId="173" operator="greaterThan" stopIfTrue="1">
      <formula>$E$20*0.1+$E$48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90"/>
  <sheetViews>
    <sheetView zoomScale="70" zoomScaleNormal="70" zoomScalePageLayoutView="0" workbookViewId="0" topLeftCell="A1">
      <selection activeCell="A19" sqref="A19"/>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2" t="s">
        <v>20</v>
      </c>
      <c r="B2" s="774"/>
      <c r="C2" s="774"/>
      <c r="D2" s="774"/>
      <c r="E2" s="774"/>
      <c r="F2" s="774"/>
      <c r="G2" s="774"/>
      <c r="H2" s="774"/>
    </row>
    <row r="3" spans="1:8" ht="15.75">
      <c r="A3" s="364"/>
      <c r="B3" s="65"/>
      <c r="C3" s="65"/>
      <c r="D3" s="65"/>
      <c r="E3" s="65"/>
      <c r="F3" s="71" t="s">
        <v>297</v>
      </c>
      <c r="G3" s="71" t="s">
        <v>298</v>
      </c>
      <c r="H3" s="65"/>
    </row>
    <row r="4" spans="1:8" ht="15.75">
      <c r="A4" s="787" t="s">
        <v>299</v>
      </c>
      <c r="B4" s="787"/>
      <c r="C4" s="787"/>
      <c r="D4" s="787"/>
      <c r="E4" s="787"/>
      <c r="F4" s="787"/>
      <c r="G4" s="787"/>
      <c r="H4" s="787"/>
    </row>
    <row r="5" spans="1:8" ht="15.75">
      <c r="A5" s="790" t="str">
        <f>inputPrYr!D3</f>
        <v>Center Township</v>
      </c>
      <c r="B5" s="790"/>
      <c r="C5" s="790"/>
      <c r="D5" s="790"/>
      <c r="E5" s="790"/>
      <c r="F5" s="790"/>
      <c r="G5" s="790"/>
      <c r="H5" s="790"/>
    </row>
    <row r="6" spans="1:8" ht="15.75">
      <c r="A6" s="790" t="str">
        <f>inputPrYr!D4</f>
        <v>Lyon County</v>
      </c>
      <c r="B6" s="790"/>
      <c r="C6" s="790"/>
      <c r="D6" s="790"/>
      <c r="E6" s="790"/>
      <c r="F6" s="790"/>
      <c r="G6" s="790"/>
      <c r="H6" s="790"/>
    </row>
    <row r="7" spans="1:8" ht="15.75">
      <c r="A7" s="821" t="str">
        <f>CONCATENATE("will meet on ",inputBudSum!B8," at ",inputBudSum!B10," at ",inputBudSum!B12," for the purpose of hearing and")</f>
        <v>will meet on August 12, 2013 at 7:00 PM at Nakita Elwood's residence, 221 Road H. Madison for the purpose of hearing and</v>
      </c>
      <c r="B7" s="821"/>
      <c r="C7" s="821"/>
      <c r="D7" s="821"/>
      <c r="E7" s="821"/>
      <c r="F7" s="821"/>
      <c r="G7" s="821"/>
      <c r="H7" s="821"/>
    </row>
    <row r="8" spans="1:8" ht="15.75">
      <c r="A8" s="787" t="s">
        <v>408</v>
      </c>
      <c r="B8" s="789"/>
      <c r="C8" s="789"/>
      <c r="D8" s="789"/>
      <c r="E8" s="789"/>
      <c r="F8" s="789"/>
      <c r="G8" s="789"/>
      <c r="H8" s="789"/>
    </row>
    <row r="9" spans="1:8" ht="15.75">
      <c r="A9" s="785" t="str">
        <f>CONCATENATE("Detailed budget information is available at ",inputBudSum!B15," and will be available at this hearing.")</f>
        <v>Detailed budget information is available at Lyon County Clerk's office and will be available at this hearing.</v>
      </c>
      <c r="B9" s="774"/>
      <c r="C9" s="774"/>
      <c r="D9" s="774"/>
      <c r="E9" s="774"/>
      <c r="F9" s="774"/>
      <c r="G9" s="774"/>
      <c r="H9" s="774"/>
    </row>
    <row r="10" spans="1:8" ht="15.75">
      <c r="A10" s="792" t="s">
        <v>21</v>
      </c>
      <c r="B10" s="789"/>
      <c r="C10" s="789"/>
      <c r="D10" s="789"/>
      <c r="E10" s="789"/>
      <c r="F10" s="789"/>
      <c r="G10" s="789"/>
      <c r="H10" s="789"/>
    </row>
    <row r="11" spans="1:8" ht="15.75">
      <c r="A11" s="787" t="str">
        <f>CONCATENATE("Proposed Budget ",H1," Expenditures and Amount of ",H1-1," Ad Valorem Tax establish the maximum limits")</f>
        <v>Proposed Budget 2014 Expenditures and Amount of 2013 Ad Valorem Tax establish the maximum limits</v>
      </c>
      <c r="B11" s="789"/>
      <c r="C11" s="789"/>
      <c r="D11" s="789"/>
      <c r="E11" s="789"/>
      <c r="F11" s="789"/>
      <c r="G11" s="789"/>
      <c r="H11" s="789"/>
    </row>
    <row r="12" spans="1:8" ht="15.75">
      <c r="A12" s="787" t="str">
        <f>CONCATENATE("of the ",H1," budget.  Estimated Tax Rate is subject to change depending on the final assessed valuation.")</f>
        <v>of the 2014 budget.  Estimated Tax Rate is subject to change depending on the final assessed valuation.</v>
      </c>
      <c r="B12" s="789"/>
      <c r="C12" s="789"/>
      <c r="D12" s="789"/>
      <c r="E12" s="789"/>
      <c r="F12" s="789"/>
      <c r="G12" s="789"/>
      <c r="H12" s="789"/>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292</v>
      </c>
      <c r="D15" s="73"/>
      <c r="E15" s="73" t="s">
        <v>292</v>
      </c>
      <c r="F15" s="204"/>
      <c r="G15" s="779" t="str">
        <f>CONCATENATE("Amount of ",H1-1," Ad Valorem Tax")</f>
        <v>Amount of 2013 Ad Valorem Tax</v>
      </c>
      <c r="H15" s="73" t="s">
        <v>300</v>
      </c>
      <c r="I15" s="197"/>
    </row>
    <row r="16" spans="1:9" ht="15.75">
      <c r="A16" s="74"/>
      <c r="B16" s="75"/>
      <c r="C16" s="75" t="s">
        <v>301</v>
      </c>
      <c r="D16" s="75"/>
      <c r="E16" s="75" t="s">
        <v>301</v>
      </c>
      <c r="F16" s="497" t="s">
        <v>173</v>
      </c>
      <c r="G16" s="819"/>
      <c r="H16" s="75" t="s">
        <v>301</v>
      </c>
      <c r="I16" s="197"/>
    </row>
    <row r="17" spans="1:10" ht="15.75">
      <c r="A17" s="78" t="s">
        <v>251</v>
      </c>
      <c r="B17" s="78" t="s">
        <v>302</v>
      </c>
      <c r="C17" s="78" t="s">
        <v>303</v>
      </c>
      <c r="D17" s="78" t="s">
        <v>302</v>
      </c>
      <c r="E17" s="78" t="s">
        <v>303</v>
      </c>
      <c r="F17" s="496" t="s">
        <v>726</v>
      </c>
      <c r="G17" s="820"/>
      <c r="H17" s="78" t="s">
        <v>303</v>
      </c>
      <c r="I17" s="197"/>
      <c r="J17" s="523"/>
    </row>
    <row r="18" spans="1:10" ht="15.75">
      <c r="A18" s="89" t="str">
        <f>inputPrYr!B20</f>
        <v>General</v>
      </c>
      <c r="B18" s="89">
        <f>IF(gen!$C$41&lt;&gt;0,gen!$C$41,"  ")</f>
        <v>4011</v>
      </c>
      <c r="C18" s="92">
        <f>IF(inputPrYr!D49&gt;0,inputPrYr!D49,"  ")</f>
        <v>0.207</v>
      </c>
      <c r="D18" s="89">
        <f>IF(gen!$D$41&lt;&gt;0,gen!$D$41,"  ")</f>
        <v>6250</v>
      </c>
      <c r="E18" s="92">
        <f>IF(inputOth!D37&gt;0,inputOth!D37,"  ")</f>
        <v>0.19</v>
      </c>
      <c r="F18" s="89">
        <f>IF(gen!$E$41&lt;&gt;0,gen!$E$41,"  ")</f>
        <v>6324</v>
      </c>
      <c r="G18" s="89">
        <f>IF(gen!$E$48&lt;&gt;0,gen!$E$48,"")</f>
        <v>3592</v>
      </c>
      <c r="H18" s="92">
        <f>IF(gen!E48&gt;0,ROUND(G18/F24*1000,3)," ")</f>
        <v>0.182</v>
      </c>
      <c r="I18" s="197"/>
      <c r="J18" s="523"/>
    </row>
    <row r="19" spans="1:13" ht="16.5" thickBot="1">
      <c r="A19" s="103"/>
      <c r="B19" s="479" t="str">
        <f>IF(road!C63&lt;&gt;0,road!C63,"  ")</f>
        <v>  </v>
      </c>
      <c r="C19" s="480"/>
      <c r="D19" s="480"/>
      <c r="E19" s="480"/>
      <c r="F19" s="480"/>
      <c r="G19" s="480"/>
      <c r="H19" s="480"/>
      <c r="J19" s="514"/>
      <c r="K19" s="514"/>
      <c r="L19" s="514"/>
      <c r="M19" s="514"/>
    </row>
    <row r="20" spans="1:13" ht="15.75">
      <c r="A20" s="103" t="s">
        <v>254</v>
      </c>
      <c r="B20" s="477">
        <f aca="true" t="shared" si="0" ref="B20:H20">SUM(B18:B19)</f>
        <v>4011</v>
      </c>
      <c r="C20" s="478">
        <f t="shared" si="0"/>
        <v>0.207</v>
      </c>
      <c r="D20" s="477">
        <f t="shared" si="0"/>
        <v>6250</v>
      </c>
      <c r="E20" s="478">
        <f t="shared" si="0"/>
        <v>0.19</v>
      </c>
      <c r="F20" s="477">
        <f t="shared" si="0"/>
        <v>6324</v>
      </c>
      <c r="G20" s="477">
        <f t="shared" si="0"/>
        <v>3592</v>
      </c>
      <c r="H20" s="478">
        <f t="shared" si="0"/>
        <v>0.182</v>
      </c>
      <c r="J20" s="815" t="str">
        <f>CONCATENATE("Impact On Keeping The Same Mill Rate As For ",H1-1,"")</f>
        <v>Impact On Keeping The Same Mill Rate As For 2013</v>
      </c>
      <c r="K20" s="816"/>
      <c r="L20" s="816"/>
      <c r="M20" s="817"/>
    </row>
    <row r="21" spans="1:13" ht="15.75">
      <c r="A21" s="103" t="s">
        <v>304</v>
      </c>
      <c r="B21" s="89">
        <f>transfer!C29</f>
        <v>0</v>
      </c>
      <c r="C21" s="65"/>
      <c r="D21" s="89">
        <f>transfer!D29</f>
        <v>0</v>
      </c>
      <c r="E21" s="206"/>
      <c r="F21" s="89">
        <f>transfer!E29</f>
        <v>0</v>
      </c>
      <c r="G21" s="65"/>
      <c r="H21" s="65"/>
      <c r="J21" s="520"/>
      <c r="K21" s="522"/>
      <c r="L21" s="522"/>
      <c r="M21" s="519"/>
    </row>
    <row r="22" spans="1:13" ht="16.5" thickBot="1">
      <c r="A22" s="103" t="s">
        <v>305</v>
      </c>
      <c r="B22" s="481">
        <f>B20-B21</f>
        <v>4011</v>
      </c>
      <c r="C22" s="65"/>
      <c r="D22" s="481">
        <f>D20-D21</f>
        <v>6250</v>
      </c>
      <c r="E22" s="65"/>
      <c r="F22" s="481">
        <f>F20-F21</f>
        <v>6324</v>
      </c>
      <c r="G22" s="65"/>
      <c r="H22" s="65"/>
      <c r="J22" s="520" t="str">
        <f>CONCATENATE("",H1," Ad Valorem Tax Rev(Township Only):")</f>
        <v>2014 Ad Valorem Tax Rev(Township Only):</v>
      </c>
      <c r="K22" s="522"/>
      <c r="L22" s="522"/>
      <c r="M22" s="521" t="e">
        <f>SUM(#REF!)</f>
        <v>#REF!</v>
      </c>
    </row>
    <row r="23" spans="1:13" ht="16.5" thickTop="1">
      <c r="A23" s="103" t="s">
        <v>0</v>
      </c>
      <c r="B23" s="228">
        <f>inputPrYr!E63</f>
        <v>3549</v>
      </c>
      <c r="C23" s="206"/>
      <c r="D23" s="228">
        <f>inputPrYr!E32</f>
        <v>3574</v>
      </c>
      <c r="E23" s="65"/>
      <c r="F23" s="482" t="s">
        <v>255</v>
      </c>
      <c r="G23" s="65"/>
      <c r="H23" s="65"/>
      <c r="J23" s="520" t="str">
        <f>CONCATENATE("",H1," Ad Valorem Tax Rev(Township Tot):")</f>
        <v>2014 Ad Valorem Tax Rev(Township Tot):</v>
      </c>
      <c r="K23" s="522"/>
      <c r="L23" s="522"/>
      <c r="M23" s="534" t="e">
        <f>SUM(G18,#REF!,#REF!,#REF!,#REF!,#REF!,#REF!,#REF!)</f>
        <v>#REF!</v>
      </c>
    </row>
    <row r="24" spans="1:13" ht="15.75">
      <c r="A24" s="103" t="s">
        <v>180</v>
      </c>
      <c r="B24" s="89">
        <f>inputPrYr!E64</f>
        <v>17114213</v>
      </c>
      <c r="C24" s="206"/>
      <c r="D24" s="89">
        <f>inputOth!E55</f>
        <v>19271981</v>
      </c>
      <c r="E24" s="206"/>
      <c r="F24" s="89">
        <f>inputOth!E11</f>
        <v>19716096</v>
      </c>
      <c r="G24" s="65"/>
      <c r="H24" s="65"/>
      <c r="J24" s="520" t="str">
        <f>CONCATENATE("Total ",H1," Ad Valorem Tax Revenue:")</f>
        <v>Total 2014 Ad Valorem Tax Revenue:</v>
      </c>
      <c r="K24" s="508"/>
      <c r="L24" s="508"/>
      <c r="M24" s="535" t="e">
        <f>M22+M23</f>
        <v>#REF!</v>
      </c>
    </row>
    <row r="25" spans="1:14" ht="15.75">
      <c r="A25" s="79" t="s">
        <v>235</v>
      </c>
      <c r="B25" s="207"/>
      <c r="C25" s="65"/>
      <c r="D25" s="176"/>
      <c r="E25" s="65"/>
      <c r="F25" s="89">
        <f>inputOth!E8</f>
        <v>16937495</v>
      </c>
      <c r="G25" s="65"/>
      <c r="H25" s="65"/>
      <c r="J25" s="520" t="str">
        <f>CONCATENATE("",H1-1," Ad Valorem Tax Rev(Township Only):")</f>
        <v>2013 Ad Valorem Tax Rev(Township Only):</v>
      </c>
      <c r="K25" s="522"/>
      <c r="L25" s="522"/>
      <c r="M25" s="536" t="e">
        <f>ROUND(SUM(#REF!)*F25/1000,0)</f>
        <v>#REF!</v>
      </c>
      <c r="N25" s="528"/>
    </row>
    <row r="26" spans="1:13" ht="15.75">
      <c r="A26" s="71" t="s">
        <v>2</v>
      </c>
      <c r="B26" s="65"/>
      <c r="C26" s="65"/>
      <c r="D26" s="65"/>
      <c r="E26" s="65"/>
      <c r="F26" s="65"/>
      <c r="G26" s="65"/>
      <c r="H26" s="65"/>
      <c r="J26" s="520"/>
      <c r="K26" s="522"/>
      <c r="L26" s="522"/>
      <c r="M26" s="519"/>
    </row>
    <row r="27" spans="1:13" ht="15.75">
      <c r="A27" s="65"/>
      <c r="B27" s="65"/>
      <c r="C27" s="65"/>
      <c r="D27" s="65"/>
      <c r="E27" s="65"/>
      <c r="F27" s="65"/>
      <c r="G27" s="65"/>
      <c r="H27" s="65"/>
      <c r="J27" s="525" t="str">
        <f>CONCATENATE("Enter Desired ",$H$1," Mill Rate:")</f>
        <v>Enter Desired 2014 Mill Rate:</v>
      </c>
      <c r="K27" s="526"/>
      <c r="L27" s="527"/>
      <c r="M27" s="524">
        <v>12</v>
      </c>
    </row>
    <row r="28" spans="1:13" ht="15.75">
      <c r="A28" s="818" t="str">
        <f>inputBudSum!B4</f>
        <v>Nakita Elwood</v>
      </c>
      <c r="B28" s="818"/>
      <c r="C28" s="65"/>
      <c r="D28" s="65"/>
      <c r="E28" s="65"/>
      <c r="F28" s="65"/>
      <c r="G28" s="65"/>
      <c r="H28" s="65"/>
      <c r="J28" s="520" t="str">
        <f>CONCATENATE("Current ",$H$1," Estimated Mill Rate:")</f>
        <v>Current 2014 Estimated Mill Rate:</v>
      </c>
      <c r="K28" s="522"/>
      <c r="L28" s="522"/>
      <c r="M28" s="531">
        <f>IF(M27=0,0,$H$20)</f>
        <v>0.182</v>
      </c>
    </row>
    <row r="29" spans="1:13" ht="15.75">
      <c r="A29" s="813" t="str">
        <f>inputBudSum!B6</f>
        <v>Treasurer</v>
      </c>
      <c r="B29" s="814"/>
      <c r="C29" s="65"/>
      <c r="D29" s="65"/>
      <c r="E29" s="65"/>
      <c r="F29" s="65"/>
      <c r="G29" s="65"/>
      <c r="H29" s="65"/>
      <c r="J29" s="520" t="s">
        <v>735</v>
      </c>
      <c r="K29" s="522"/>
      <c r="L29" s="522"/>
      <c r="M29" s="532">
        <f>M27-M28</f>
        <v>11.818</v>
      </c>
    </row>
    <row r="30" spans="1:13" ht="15.75">
      <c r="A30" s="65"/>
      <c r="B30" s="65"/>
      <c r="C30" s="65"/>
      <c r="D30" s="65"/>
      <c r="E30" s="65"/>
      <c r="F30" s="65"/>
      <c r="G30" s="65"/>
      <c r="H30" s="65"/>
      <c r="J30" s="507" t="s">
        <v>736</v>
      </c>
      <c r="K30" s="70"/>
      <c r="L30" s="70"/>
      <c r="M30" s="529" t="e">
        <f>IF(M27=0,0,ROUND(SUM(#REF!)/M28,2))</f>
        <v>#REF!</v>
      </c>
    </row>
    <row r="31" spans="1:13" ht="15.75">
      <c r="A31" s="65"/>
      <c r="B31" s="208" t="s">
        <v>269</v>
      </c>
      <c r="C31" s="209">
        <v>7</v>
      </c>
      <c r="D31" s="65"/>
      <c r="E31" s="65"/>
      <c r="F31" s="65"/>
      <c r="G31" s="65"/>
      <c r="H31" s="65"/>
      <c r="J31" s="507" t="s">
        <v>737</v>
      </c>
      <c r="K31" s="70"/>
      <c r="L31" s="70"/>
      <c r="M31" s="529" t="e">
        <f>IF(M27=0,0,ROUND(SUM(H18+#REF!+#REF!+#REF!+#REF!+#REF!+#REF!+#REF!)/M28,2))</f>
        <v>#REF!</v>
      </c>
    </row>
    <row r="32" spans="1:13" ht="15.75">
      <c r="A32" s="111"/>
      <c r="B32" s="111"/>
      <c r="C32" s="111"/>
      <c r="H32" s="530"/>
      <c r="J32" s="518" t="str">
        <f>CONCATENATE("",$H$1," Tax Levy Fund Total Exp. Changed By:")</f>
        <v>2014 Tax Levy Fund Total Exp. Changed By:</v>
      </c>
      <c r="K32" s="517"/>
      <c r="L32" s="517"/>
      <c r="M32" s="521"/>
    </row>
    <row r="33" spans="10:13" ht="15.75">
      <c r="J33" s="537" t="s">
        <v>738</v>
      </c>
      <c r="K33" s="538"/>
      <c r="L33" s="538"/>
      <c r="M33" s="535" t="e">
        <f>ROUND(F25*M29*M30/1000,0)</f>
        <v>#REF!</v>
      </c>
    </row>
    <row r="34" spans="1:13" ht="15.75">
      <c r="A34" s="111"/>
      <c r="B34" s="111"/>
      <c r="C34" s="111"/>
      <c r="D34" s="111"/>
      <c r="E34" s="111"/>
      <c r="F34" s="111"/>
      <c r="G34" s="111"/>
      <c r="J34" s="516" t="s">
        <v>739</v>
      </c>
      <c r="K34" s="513"/>
      <c r="L34" s="513"/>
      <c r="M34" s="515" t="e">
        <f>ROUND(F24*M29*M31/1000,0)</f>
        <v>#REF!</v>
      </c>
    </row>
    <row r="35" spans="8:13" ht="15.75">
      <c r="H35" s="111"/>
      <c r="M35" s="533"/>
    </row>
    <row r="36" ht="15.75">
      <c r="M36" s="533"/>
    </row>
    <row r="56" spans="1:6" ht="15.75">
      <c r="A56" s="111"/>
      <c r="B56" s="111"/>
      <c r="C56" s="111"/>
      <c r="D56" s="111"/>
      <c r="E56" s="111"/>
      <c r="F56" s="111"/>
    </row>
    <row r="63" spans="1:7" ht="15.75">
      <c r="A63" s="111"/>
      <c r="B63" s="111"/>
      <c r="C63" s="111"/>
      <c r="D63" s="111"/>
      <c r="E63" s="111"/>
      <c r="F63" s="111"/>
      <c r="G63" s="111"/>
    </row>
    <row r="64" ht="15.75">
      <c r="H64" s="111"/>
    </row>
    <row r="69" spans="1:7" ht="15.75">
      <c r="A69" s="111"/>
      <c r="B69" s="111"/>
      <c r="C69" s="111"/>
      <c r="D69" s="111"/>
      <c r="E69" s="111"/>
      <c r="F69" s="111"/>
      <c r="G69" s="111"/>
    </row>
    <row r="70" ht="15.75">
      <c r="H70" s="111"/>
    </row>
    <row r="90" spans="1:7" ht="15.75">
      <c r="A90" s="111"/>
      <c r="B90" s="111"/>
      <c r="C90" s="111"/>
      <c r="D90" s="111"/>
      <c r="E90" s="111"/>
      <c r="F90" s="111"/>
      <c r="G90" s="111"/>
    </row>
  </sheetData>
  <sheetProtection/>
  <mergeCells count="14">
    <mergeCell ref="J20:M20"/>
    <mergeCell ref="A28:B28"/>
    <mergeCell ref="A4:H4"/>
    <mergeCell ref="G15:G17"/>
    <mergeCell ref="A7:H7"/>
    <mergeCell ref="A6:H6"/>
    <mergeCell ref="A5:H5"/>
    <mergeCell ref="A29:B29"/>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73" sqref="C73"/>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Center Township</v>
      </c>
      <c r="B1" s="117"/>
      <c r="C1" s="110"/>
      <c r="D1" s="110"/>
      <c r="E1" s="110"/>
      <c r="F1" s="118" t="s">
        <v>335</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336</v>
      </c>
      <c r="B3" s="110"/>
      <c r="C3" s="110"/>
      <c r="D3" s="110"/>
      <c r="E3" s="110"/>
      <c r="F3" s="117"/>
      <c r="G3" s="110"/>
      <c r="H3" s="110"/>
      <c r="I3" s="110"/>
      <c r="J3" s="110"/>
      <c r="K3" s="110"/>
    </row>
    <row r="4" spans="1:11" ht="15.75">
      <c r="A4" s="110" t="s">
        <v>337</v>
      </c>
      <c r="B4" s="110"/>
      <c r="C4" s="110" t="s">
        <v>338</v>
      </c>
      <c r="D4" s="110"/>
      <c r="E4" s="110" t="s">
        <v>339</v>
      </c>
      <c r="F4" s="117"/>
      <c r="G4" s="110" t="s">
        <v>340</v>
      </c>
      <c r="H4" s="110"/>
      <c r="I4" s="110" t="s">
        <v>341</v>
      </c>
      <c r="J4" s="110"/>
      <c r="K4" s="110"/>
    </row>
    <row r="5" spans="1:11" ht="15.75">
      <c r="A5" s="822">
        <f>inputPrYr!B41</f>
        <v>0</v>
      </c>
      <c r="B5" s="823"/>
      <c r="C5" s="822">
        <f>inputPrYr!B42</f>
        <v>0</v>
      </c>
      <c r="D5" s="823"/>
      <c r="E5" s="822">
        <f>inputPrYr!B43</f>
        <v>0</v>
      </c>
      <c r="F5" s="823"/>
      <c r="G5" s="824">
        <f>inputPrYr!B44</f>
        <v>0</v>
      </c>
      <c r="H5" s="823"/>
      <c r="I5" s="824">
        <f>inputPrYr!B45</f>
        <v>0</v>
      </c>
      <c r="J5" s="823"/>
      <c r="K5" s="122"/>
    </row>
    <row r="6" spans="1:11" ht="15.75">
      <c r="A6" s="123" t="s">
        <v>342</v>
      </c>
      <c r="B6" s="124"/>
      <c r="C6" s="125" t="s">
        <v>342</v>
      </c>
      <c r="D6" s="126"/>
      <c r="E6" s="125" t="s">
        <v>342</v>
      </c>
      <c r="F6" s="127"/>
      <c r="G6" s="125" t="s">
        <v>342</v>
      </c>
      <c r="H6" s="121"/>
      <c r="I6" s="125" t="s">
        <v>342</v>
      </c>
      <c r="J6" s="110"/>
      <c r="K6" s="128" t="s">
        <v>241</v>
      </c>
    </row>
    <row r="7" spans="1:11" ht="15.75">
      <c r="A7" s="129" t="s">
        <v>343</v>
      </c>
      <c r="B7" s="130"/>
      <c r="C7" s="131" t="s">
        <v>343</v>
      </c>
      <c r="D7" s="130"/>
      <c r="E7" s="131" t="s">
        <v>343</v>
      </c>
      <c r="F7" s="130"/>
      <c r="G7" s="131" t="s">
        <v>343</v>
      </c>
      <c r="H7" s="130"/>
      <c r="I7" s="131" t="s">
        <v>343</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283</v>
      </c>
      <c r="B17" s="132">
        <f>SUM(B9:B16)</f>
        <v>0</v>
      </c>
      <c r="C17" s="133" t="s">
        <v>283</v>
      </c>
      <c r="D17" s="132">
        <f>SUM(D9:D16)</f>
        <v>0</v>
      </c>
      <c r="E17" s="133" t="s">
        <v>283</v>
      </c>
      <c r="F17" s="146">
        <f>SUM(F9:F16)</f>
        <v>0</v>
      </c>
      <c r="G17" s="133" t="s">
        <v>283</v>
      </c>
      <c r="H17" s="132">
        <f>SUM(H9:H16)</f>
        <v>0</v>
      </c>
      <c r="I17" s="133" t="s">
        <v>283</v>
      </c>
      <c r="J17" s="132">
        <f>SUM(J9:J16)</f>
        <v>0</v>
      </c>
      <c r="K17" s="132">
        <f>SUM(B17+D17+F17+H17+J17)</f>
        <v>0</v>
      </c>
    </row>
    <row r="18" spans="1:11" ht="15.75">
      <c r="A18" s="133" t="s">
        <v>284</v>
      </c>
      <c r="B18" s="132">
        <f>SUM(B7+B17)</f>
        <v>0</v>
      </c>
      <c r="C18" s="133" t="s">
        <v>284</v>
      </c>
      <c r="D18" s="132">
        <f>SUM(D7+D17)</f>
        <v>0</v>
      </c>
      <c r="E18" s="133" t="s">
        <v>284</v>
      </c>
      <c r="F18" s="132">
        <f>SUM(F7+F17)</f>
        <v>0</v>
      </c>
      <c r="G18" s="133" t="s">
        <v>284</v>
      </c>
      <c r="H18" s="132">
        <f>SUM(H7+H17)</f>
        <v>0</v>
      </c>
      <c r="I18" s="133" t="s">
        <v>284</v>
      </c>
      <c r="J18" s="132">
        <f>SUM(J7+J17)</f>
        <v>0</v>
      </c>
      <c r="K18" s="132">
        <f>SUM(B18+D18+F18+H18+J18)</f>
        <v>0</v>
      </c>
    </row>
    <row r="19" spans="1:11" ht="15.75">
      <c r="A19" s="133" t="s">
        <v>285</v>
      </c>
      <c r="B19" s="134"/>
      <c r="C19" s="133" t="s">
        <v>285</v>
      </c>
      <c r="D19" s="135"/>
      <c r="E19" s="133" t="s">
        <v>285</v>
      </c>
      <c r="F19" s="117"/>
      <c r="G19" s="133" t="s">
        <v>285</v>
      </c>
      <c r="H19" s="110"/>
      <c r="I19" s="133" t="s">
        <v>285</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286</v>
      </c>
      <c r="B28" s="132">
        <f>SUM(B20:B27)</f>
        <v>0</v>
      </c>
      <c r="C28" s="133" t="s">
        <v>286</v>
      </c>
      <c r="D28" s="132">
        <f>SUM(D20:D27)</f>
        <v>0</v>
      </c>
      <c r="E28" s="133" t="s">
        <v>286</v>
      </c>
      <c r="F28" s="146">
        <f>SUM(F20:F27)</f>
        <v>0</v>
      </c>
      <c r="G28" s="133" t="s">
        <v>286</v>
      </c>
      <c r="H28" s="146">
        <f>SUM(H20:H27)</f>
        <v>0</v>
      </c>
      <c r="I28" s="133" t="s">
        <v>286</v>
      </c>
      <c r="J28" s="132">
        <f>SUM(J20:J27)</f>
        <v>0</v>
      </c>
      <c r="K28" s="132">
        <f>SUM(B28+D28+F28+H28+J28)</f>
        <v>0</v>
      </c>
    </row>
    <row r="29" spans="1:12" ht="15.75">
      <c r="A29" s="133" t="s">
        <v>344</v>
      </c>
      <c r="B29" s="132">
        <f>SUM(B18-B28)</f>
        <v>0</v>
      </c>
      <c r="C29" s="133" t="s">
        <v>344</v>
      </c>
      <c r="D29" s="132">
        <f>SUM(D18-D28)</f>
        <v>0</v>
      </c>
      <c r="E29" s="133" t="s">
        <v>344</v>
      </c>
      <c r="F29" s="132">
        <f>SUM(F18-F28)</f>
        <v>0</v>
      </c>
      <c r="G29" s="133" t="s">
        <v>344</v>
      </c>
      <c r="H29" s="132">
        <f>SUM(H18-H28)</f>
        <v>0</v>
      </c>
      <c r="I29" s="133" t="s">
        <v>344</v>
      </c>
      <c r="J29" s="132">
        <f>SUM(J18-J28)</f>
        <v>0</v>
      </c>
      <c r="K29" s="147">
        <f>SUM(B29+D29+F29+H29+J29)</f>
        <v>0</v>
      </c>
      <c r="L29" s="111" t="s">
        <v>345</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345</v>
      </c>
    </row>
    <row r="31" spans="1:11" ht="15.75">
      <c r="A31" s="110"/>
      <c r="B31" s="148"/>
      <c r="C31" s="110"/>
      <c r="D31" s="117"/>
      <c r="E31" s="110"/>
      <c r="F31" s="110"/>
      <c r="G31" s="149" t="s">
        <v>346</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7" customWidth="1"/>
    <col min="2" max="16384" width="8.796875" style="107" customWidth="1"/>
  </cols>
  <sheetData>
    <row r="1" ht="20.25">
      <c r="A1" s="355" t="s">
        <v>353</v>
      </c>
    </row>
    <row r="2" ht="53.25" customHeight="1">
      <c r="A2" s="215" t="s">
        <v>354</v>
      </c>
    </row>
    <row r="3" ht="15.75">
      <c r="A3" s="356"/>
    </row>
    <row r="4" ht="58.5" customHeight="1">
      <c r="A4" s="215" t="s">
        <v>355</v>
      </c>
    </row>
    <row r="5" ht="15.75">
      <c r="A5" s="111"/>
    </row>
    <row r="6" ht="55.5" customHeight="1">
      <c r="A6" s="215" t="s">
        <v>356</v>
      </c>
    </row>
    <row r="7" ht="15.75">
      <c r="A7" s="356"/>
    </row>
    <row r="8" ht="42.75" customHeight="1">
      <c r="A8" s="215" t="s">
        <v>357</v>
      </c>
    </row>
    <row r="9" ht="15.75">
      <c r="A9" s="111"/>
    </row>
    <row r="10" ht="31.5">
      <c r="A10" s="215" t="s">
        <v>358</v>
      </c>
    </row>
    <row r="11" ht="15.75">
      <c r="A11" s="356"/>
    </row>
    <row r="12" ht="69.75" customHeight="1">
      <c r="A12" s="215" t="s">
        <v>359</v>
      </c>
    </row>
    <row r="13" ht="15.75">
      <c r="A13" s="356"/>
    </row>
    <row r="14" ht="40.5" customHeight="1">
      <c r="A14" s="215" t="s">
        <v>360</v>
      </c>
    </row>
    <row r="15" ht="15.75">
      <c r="A15" s="111"/>
    </row>
    <row r="16" ht="56.25" customHeight="1">
      <c r="A16" s="215" t="s">
        <v>361</v>
      </c>
    </row>
    <row r="17" ht="15.75">
      <c r="A17" s="356"/>
    </row>
    <row r="18" ht="54.75" customHeight="1">
      <c r="A18" s="215" t="s">
        <v>362</v>
      </c>
    </row>
    <row r="19" ht="15.75">
      <c r="A19" s="356"/>
    </row>
    <row r="20" ht="55.5" customHeight="1">
      <c r="A20" s="215" t="s">
        <v>363</v>
      </c>
    </row>
    <row r="21" ht="15.75">
      <c r="A21" s="356"/>
    </row>
    <row r="22" ht="76.5" customHeight="1">
      <c r="A22" s="215" t="s">
        <v>364</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Center Township</v>
      </c>
      <c r="B1" s="65"/>
      <c r="C1" s="65"/>
      <c r="D1" s="65"/>
      <c r="E1" s="65"/>
      <c r="F1" s="65">
        <f>inputPrYr!D9</f>
        <v>2014</v>
      </c>
    </row>
    <row r="2" spans="1:6" ht="15.75">
      <c r="A2" s="65"/>
      <c r="B2" s="65"/>
      <c r="C2" s="65"/>
      <c r="D2" s="65"/>
      <c r="E2" s="65"/>
      <c r="F2" s="65"/>
    </row>
    <row r="3" spans="1:6" ht="15.75">
      <c r="A3" s="65"/>
      <c r="B3" s="778" t="str">
        <f>CONCATENATE("",F1," Neighborhood Revitalization Rebate")</f>
        <v>2014 Neighborhood Revitalization Rebate</v>
      </c>
      <c r="C3" s="786"/>
      <c r="D3" s="786"/>
      <c r="E3" s="786"/>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t="str">
        <f>IF(inputPrYr!B27&gt;0,inputPrYr!B27,"")</f>
        <v>Cemetery</v>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27" t="str">
        <f>CONCATENATE("",F1-1," July 1 Valuation:")</f>
        <v>2013 July 1 Valuation:</v>
      </c>
      <c r="B21" s="826"/>
      <c r="C21" s="827"/>
      <c r="D21" s="345">
        <f>inputOth!E11</f>
        <v>19716096</v>
      </c>
      <c r="E21" s="65"/>
      <c r="F21" s="190"/>
    </row>
    <row r="22" spans="1:6" ht="15.75">
      <c r="A22" s="65"/>
      <c r="B22" s="65"/>
      <c r="C22" s="65"/>
      <c r="D22" s="65"/>
      <c r="E22" s="65"/>
      <c r="F22" s="190"/>
    </row>
    <row r="23" spans="1:6" ht="15.75">
      <c r="A23" s="65"/>
      <c r="B23" s="827" t="s">
        <v>375</v>
      </c>
      <c r="C23" s="827"/>
      <c r="D23" s="346">
        <f>IF(D21&gt;0,(D21*0.001),"")</f>
        <v>19716.096</v>
      </c>
      <c r="E23" s="65"/>
      <c r="F23" s="190"/>
    </row>
    <row r="24" spans="1:6" ht="15.75">
      <c r="A24" s="65"/>
      <c r="B24" s="115"/>
      <c r="C24" s="115"/>
      <c r="D24" s="347"/>
      <c r="E24" s="65"/>
      <c r="F24" s="190"/>
    </row>
    <row r="25" spans="1:6" ht="15.75">
      <c r="A25" s="825" t="s">
        <v>376</v>
      </c>
      <c r="B25" s="774"/>
      <c r="C25" s="774"/>
      <c r="D25" s="348">
        <f>inputOth!E33</f>
        <v>0</v>
      </c>
      <c r="E25" s="177"/>
      <c r="F25" s="177"/>
    </row>
    <row r="26" spans="1:6" ht="15.75">
      <c r="A26" s="177"/>
      <c r="B26" s="177"/>
      <c r="C26" s="177"/>
      <c r="D26" s="349"/>
      <c r="E26" s="177"/>
      <c r="F26" s="177"/>
    </row>
    <row r="27" spans="1:6" ht="15.75">
      <c r="A27" s="177"/>
      <c r="B27" s="825" t="s">
        <v>377</v>
      </c>
      <c r="C27" s="826"/>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618</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28" t="s">
        <v>77</v>
      </c>
      <c r="B1" s="828"/>
      <c r="C1" s="828"/>
      <c r="D1" s="828"/>
      <c r="E1" s="828"/>
      <c r="F1" s="828"/>
      <c r="G1" s="828"/>
    </row>
    <row r="2" ht="15.75">
      <c r="A2" s="21"/>
    </row>
    <row r="3" spans="1:7" ht="15.75">
      <c r="A3" s="829" t="s">
        <v>78</v>
      </c>
      <c r="B3" s="829"/>
      <c r="C3" s="829"/>
      <c r="D3" s="829"/>
      <c r="E3" s="829"/>
      <c r="F3" s="829"/>
      <c r="G3" s="829"/>
    </row>
    <row r="4" ht="15.75">
      <c r="A4" s="22"/>
    </row>
    <row r="5" ht="15.75">
      <c r="A5" s="22"/>
    </row>
    <row r="6" spans="1:9" ht="15.75">
      <c r="A6" s="28" t="str">
        <f>CONCATENATE("A resolution expressing the property taxation policy of the Board of ",(inputPrYr!D3)," ")</f>
        <v>A resolution expressing the property taxation policy of the Board of Center Township </v>
      </c>
      <c r="I6">
        <f>CONCATENATE(I7)</f>
      </c>
    </row>
    <row r="7" spans="1:7" ht="15.75">
      <c r="A7" s="830" t="str">
        <f>CONCATENATE("   with respect to financing the ",inputPrYr!D9," annual budget for ",(inputPrYr!D3)," , ",(inputPrYr!D4)," , Kansas.")</f>
        <v>   with respect to financing the 2014 annual budget for Center Township , Lyon County , Kansas.</v>
      </c>
      <c r="B7" s="755"/>
      <c r="C7" s="755"/>
      <c r="D7" s="755"/>
      <c r="E7" s="755"/>
      <c r="F7" s="755"/>
      <c r="G7" s="755"/>
    </row>
    <row r="8" spans="1:7" ht="15.75">
      <c r="A8" s="755"/>
      <c r="B8" s="755"/>
      <c r="C8" s="755"/>
      <c r="D8" s="755"/>
      <c r="E8" s="755"/>
      <c r="F8" s="755"/>
      <c r="G8" s="755"/>
    </row>
    <row r="9" ht="15.75">
      <c r="A9" s="21"/>
    </row>
    <row r="10" ht="15.75">
      <c r="A10" s="29" t="s">
        <v>79</v>
      </c>
    </row>
    <row r="11" ht="15.75">
      <c r="A11" s="27" t="str">
        <f>CONCATENATE("to finance the ",inputPrYr!D9," ",(inputPrYr!D3)," budget exceed the amount levied to finance the ",inputPrYr!D9-1,"")</f>
        <v>to finance the 2014 Center Township budget exceed the amount levied to finance the 2013</v>
      </c>
    </row>
    <row r="12" spans="1:7" ht="15.75">
      <c r="A12" s="833"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755"/>
      <c r="C12" s="755"/>
      <c r="D12" s="755"/>
      <c r="E12" s="755"/>
      <c r="F12" s="755"/>
      <c r="G12" s="755"/>
    </row>
    <row r="13" spans="1:7" ht="15.75">
      <c r="A13" s="755"/>
      <c r="B13" s="755"/>
      <c r="C13" s="755"/>
      <c r="D13" s="755"/>
      <c r="E13" s="755"/>
      <c r="F13" s="755"/>
      <c r="G13" s="755"/>
    </row>
    <row r="14" spans="1:7" ht="15.75">
      <c r="A14" s="833" t="s">
        <v>84</v>
      </c>
      <c r="B14" s="755"/>
      <c r="C14" s="755"/>
      <c r="D14" s="755"/>
      <c r="E14" s="755"/>
      <c r="F14" s="755"/>
      <c r="G14" s="755"/>
    </row>
    <row r="15" spans="1:7" ht="15.75">
      <c r="A15" s="755"/>
      <c r="B15" s="755"/>
      <c r="C15" s="755"/>
      <c r="D15" s="755"/>
      <c r="E15" s="755"/>
      <c r="F15" s="755"/>
      <c r="G15" s="755"/>
    </row>
    <row r="16" spans="1:7" ht="15.75">
      <c r="A16" s="834"/>
      <c r="B16" s="834"/>
      <c r="C16" s="834"/>
      <c r="D16" s="834"/>
      <c r="E16" s="834"/>
      <c r="F16" s="834"/>
      <c r="G16" s="834"/>
    </row>
    <row r="17" ht="15.75">
      <c r="A17" s="22"/>
    </row>
    <row r="18" spans="1:7" ht="15.75">
      <c r="A18" s="831" t="s">
        <v>80</v>
      </c>
      <c r="B18" s="755"/>
      <c r="C18" s="755"/>
      <c r="D18" s="755"/>
      <c r="E18" s="755"/>
      <c r="F18" s="755"/>
      <c r="G18" s="755"/>
    </row>
    <row r="19" spans="1:7" ht="15.75">
      <c r="A19" s="755"/>
      <c r="B19" s="755"/>
      <c r="C19" s="755"/>
      <c r="D19" s="755"/>
      <c r="E19" s="755"/>
      <c r="F19" s="755"/>
      <c r="G19" s="755"/>
    </row>
    <row r="20" ht="15.75">
      <c r="A20" s="22"/>
    </row>
    <row r="21" spans="1:7" ht="15.75">
      <c r="A21" s="831" t="str">
        <f>CONCATENATE("Whereas, ",(inputPrYr!D3)," provides essential services to protect the safety and well being of the citizens of the township; and")</f>
        <v>Whereas, Center Township provides essential services to protect the safety and well being of the citizens of the township; and</v>
      </c>
      <c r="B21" s="755"/>
      <c r="C21" s="755"/>
      <c r="D21" s="755"/>
      <c r="E21" s="755"/>
      <c r="F21" s="755"/>
      <c r="G21" s="755"/>
    </row>
    <row r="22" spans="1:7" ht="15.75">
      <c r="A22" s="755"/>
      <c r="B22" s="755"/>
      <c r="C22" s="755"/>
      <c r="D22" s="755"/>
      <c r="E22" s="755"/>
      <c r="F22" s="755"/>
      <c r="G22" s="755"/>
    </row>
    <row r="23" ht="15.75">
      <c r="A23" s="24"/>
    </row>
    <row r="24" ht="15.75">
      <c r="A24" s="23" t="s">
        <v>81</v>
      </c>
    </row>
    <row r="25" ht="15.75">
      <c r="A25" s="24"/>
    </row>
    <row r="26" spans="1:7" ht="15.75">
      <c r="A26" s="831"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Lyon County, Kansas that is our desire to notify the public of increased property taxes to finance the 2014 Center Township  budget as defined above.</v>
      </c>
      <c r="B26" s="755"/>
      <c r="C26" s="755"/>
      <c r="D26" s="755"/>
      <c r="E26" s="755"/>
      <c r="F26" s="755"/>
      <c r="G26" s="755"/>
    </row>
    <row r="27" spans="1:7" ht="15.75">
      <c r="A27" s="755"/>
      <c r="B27" s="755"/>
      <c r="C27" s="755"/>
      <c r="D27" s="755"/>
      <c r="E27" s="755"/>
      <c r="F27" s="755"/>
      <c r="G27" s="755"/>
    </row>
    <row r="28" spans="1:7" ht="15.75">
      <c r="A28" s="755"/>
      <c r="B28" s="755"/>
      <c r="C28" s="755"/>
      <c r="D28" s="755"/>
      <c r="E28" s="755"/>
      <c r="F28" s="755"/>
      <c r="G28" s="755"/>
    </row>
    <row r="29" ht="15.75">
      <c r="A29" s="24"/>
    </row>
    <row r="30" spans="1:7" ht="15.75">
      <c r="A30" s="836" t="str">
        <f>CONCATENATE("Adopted this _________ day of ___________, ",inputPrYr!D9-1," by the ",(inputPrYr!D3)," Board, ",(inputPrYr!D4),", Kansas.")</f>
        <v>Adopted this _________ day of ___________, 2013 by the Center Township Board, Lyon County, Kansas.</v>
      </c>
      <c r="B30" s="755"/>
      <c r="C30" s="755"/>
      <c r="D30" s="755"/>
      <c r="E30" s="755"/>
      <c r="F30" s="755"/>
      <c r="G30" s="755"/>
    </row>
    <row r="31" spans="1:7" ht="15.75">
      <c r="A31" s="755"/>
      <c r="B31" s="755"/>
      <c r="C31" s="755"/>
      <c r="D31" s="755"/>
      <c r="E31" s="755"/>
      <c r="F31" s="755"/>
      <c r="G31" s="755"/>
    </row>
    <row r="32" ht="15.75">
      <c r="A32" s="24"/>
    </row>
    <row r="33" spans="4:7" ht="15.75">
      <c r="D33" s="832" t="str">
        <f>CONCATENATE((inputPrYr!D3)," Board")</f>
        <v>Center Township Board</v>
      </c>
      <c r="E33" s="832"/>
      <c r="F33" s="832"/>
      <c r="G33" s="832"/>
    </row>
    <row r="35" spans="4:7" ht="15.75">
      <c r="D35" s="835" t="s">
        <v>82</v>
      </c>
      <c r="E35" s="835"/>
      <c r="F35" s="835"/>
      <c r="G35" s="835"/>
    </row>
    <row r="36" spans="1:7" ht="15.75">
      <c r="A36" s="25"/>
      <c r="D36" s="835" t="s">
        <v>86</v>
      </c>
      <c r="E36" s="835"/>
      <c r="F36" s="835"/>
      <c r="G36" s="835"/>
    </row>
    <row r="37" spans="4:7" ht="15.75">
      <c r="D37" s="835"/>
      <c r="E37" s="835"/>
      <c r="F37" s="835"/>
      <c r="G37" s="835"/>
    </row>
    <row r="38" spans="4:7" ht="15.75">
      <c r="D38" s="835" t="s">
        <v>82</v>
      </c>
      <c r="E38" s="835"/>
      <c r="F38" s="835"/>
      <c r="G38" s="835"/>
    </row>
    <row r="39" spans="1:7" ht="15.75">
      <c r="A39" s="24"/>
      <c r="D39" s="835" t="s">
        <v>87</v>
      </c>
      <c r="E39" s="835"/>
      <c r="F39" s="835"/>
      <c r="G39" s="835"/>
    </row>
    <row r="40" spans="4:7" ht="15.75">
      <c r="D40" s="835"/>
      <c r="E40" s="835"/>
      <c r="F40" s="835"/>
      <c r="G40" s="835"/>
    </row>
    <row r="41" spans="4:7" ht="15.75">
      <c r="D41" s="835" t="s">
        <v>85</v>
      </c>
      <c r="E41" s="835"/>
      <c r="F41" s="835"/>
      <c r="G41" s="835"/>
    </row>
    <row r="42" spans="1:7" ht="15.75">
      <c r="A42" s="24"/>
      <c r="D42" s="835" t="s">
        <v>88</v>
      </c>
      <c r="E42" s="835"/>
      <c r="F42" s="835"/>
      <c r="G42" s="835"/>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409</v>
      </c>
      <c r="B3" s="376"/>
      <c r="C3" s="376"/>
      <c r="D3" s="376"/>
      <c r="E3" s="376"/>
      <c r="F3" s="376"/>
      <c r="G3" s="376"/>
      <c r="H3" s="376"/>
      <c r="I3" s="376"/>
      <c r="J3" s="376"/>
      <c r="K3" s="376"/>
      <c r="L3" s="376"/>
    </row>
    <row r="5" ht="15.75">
      <c r="A5" s="377" t="s">
        <v>410</v>
      </c>
    </row>
    <row r="6" ht="15.75">
      <c r="A6" s="377" t="str">
        <f>CONCATENATE(inputPrYr!D9-2," 'total expenditures' exceed your ",inputPrYr!D9-2," 'budget authority.'")</f>
        <v>2012 'total expenditures' exceed your 2012 'budget authority.'</v>
      </c>
    </row>
    <row r="7" ht="15.75">
      <c r="A7" s="377"/>
    </row>
    <row r="8" ht="15.75">
      <c r="A8" s="377" t="s">
        <v>411</v>
      </c>
    </row>
    <row r="9" ht="15.75">
      <c r="A9" s="377" t="s">
        <v>412</v>
      </c>
    </row>
    <row r="10" ht="15.75">
      <c r="A10" s="377" t="s">
        <v>413</v>
      </c>
    </row>
    <row r="11" ht="15.75">
      <c r="A11" s="377"/>
    </row>
    <row r="12" ht="15.75">
      <c r="A12" s="377"/>
    </row>
    <row r="13" ht="15.75">
      <c r="A13" s="378" t="s">
        <v>414</v>
      </c>
    </row>
    <row r="15" ht="15.75">
      <c r="A15" s="377" t="s">
        <v>415</v>
      </c>
    </row>
    <row r="16" ht="15.75">
      <c r="A16" s="377" t="str">
        <f>CONCATENATE("(i.e. an audit has not been completed, or the ",inputPrYr!D9," adopted")</f>
        <v>(i.e. an audit has not been completed, or the 2014 adopted</v>
      </c>
    </row>
    <row r="17" ht="15.75">
      <c r="A17" s="377" t="s">
        <v>416</v>
      </c>
    </row>
    <row r="18" ht="15.75">
      <c r="A18" s="377" t="s">
        <v>417</v>
      </c>
    </row>
    <row r="19" ht="15.75">
      <c r="A19" s="377" t="s">
        <v>418</v>
      </c>
    </row>
    <row r="21" ht="15.75">
      <c r="A21" s="378" t="s">
        <v>419</v>
      </c>
    </row>
    <row r="22" ht="15.75">
      <c r="A22" s="378"/>
    </row>
    <row r="23" ht="15.75">
      <c r="A23" s="377" t="s">
        <v>420</v>
      </c>
    </row>
    <row r="24" ht="15.75">
      <c r="A24" s="377" t="s">
        <v>421</v>
      </c>
    </row>
    <row r="25" ht="15.75">
      <c r="A25" s="377" t="str">
        <f>CONCATENATE("particular fund.  If your ",inputPrYr!D9-2," budget was amended, did you")</f>
        <v>particular fund.  If your 2012 budget was amended, did you</v>
      </c>
    </row>
    <row r="26" ht="15.75">
      <c r="A26" s="377" t="s">
        <v>422</v>
      </c>
    </row>
    <row r="27" ht="15.75">
      <c r="A27" s="377"/>
    </row>
    <row r="28" ht="15.75">
      <c r="A28" s="377" t="str">
        <f>CONCATENATE("Next, look to see if any of your ",inputPrYr!D9-2," expenditures can be")</f>
        <v>Next, look to see if any of your 2012 expenditures can be</v>
      </c>
    </row>
    <row r="29" ht="15.75">
      <c r="A29" s="377" t="s">
        <v>423</v>
      </c>
    </row>
    <row r="30" ht="15.75">
      <c r="A30" s="377" t="s">
        <v>424</v>
      </c>
    </row>
    <row r="31" ht="15.75">
      <c r="A31" s="377" t="s">
        <v>425</v>
      </c>
    </row>
    <row r="32" ht="15.75">
      <c r="A32" s="377"/>
    </row>
    <row r="33" ht="15.75">
      <c r="A33" s="377" t="str">
        <f>CONCATENATE("Additionally, do your ",inputPrYr!D9-2," receipts contain a reimbursement")</f>
        <v>Additionally, do your 2012 receipts contain a reimbursement</v>
      </c>
    </row>
    <row r="34" ht="15.75">
      <c r="A34" s="377" t="s">
        <v>426</v>
      </c>
    </row>
    <row r="35" ht="15.75">
      <c r="A35" s="377" t="s">
        <v>427</v>
      </c>
    </row>
    <row r="36" ht="15.75">
      <c r="A36" s="377"/>
    </row>
    <row r="37" ht="15.75">
      <c r="A37" s="377" t="s">
        <v>428</v>
      </c>
    </row>
    <row r="38" ht="15.75">
      <c r="A38" s="377" t="s">
        <v>429</v>
      </c>
    </row>
    <row r="39" ht="15.75">
      <c r="A39" s="377" t="s">
        <v>430</v>
      </c>
    </row>
    <row r="40" ht="15.75">
      <c r="A40" s="377" t="s">
        <v>431</v>
      </c>
    </row>
    <row r="41" ht="15.75">
      <c r="A41" s="377" t="s">
        <v>432</v>
      </c>
    </row>
    <row r="42" ht="15.75">
      <c r="A42" s="377" t="s">
        <v>433</v>
      </c>
    </row>
    <row r="43" ht="15.75">
      <c r="A43" s="377" t="s">
        <v>434</v>
      </c>
    </row>
    <row r="44" ht="15.75">
      <c r="A44" s="377" t="s">
        <v>435</v>
      </c>
    </row>
    <row r="45" ht="15.75">
      <c r="A45" s="377"/>
    </row>
    <row r="46" ht="15.75">
      <c r="A46" s="377" t="s">
        <v>436</v>
      </c>
    </row>
    <row r="47" ht="15.75">
      <c r="A47" s="377" t="s">
        <v>437</v>
      </c>
    </row>
    <row r="48" ht="15.75">
      <c r="A48" s="377" t="s">
        <v>438</v>
      </c>
    </row>
    <row r="49" ht="15.75">
      <c r="A49" s="377"/>
    </row>
    <row r="50" ht="15.75">
      <c r="A50" s="377" t="s">
        <v>439</v>
      </c>
    </row>
    <row r="51" ht="15.75">
      <c r="A51" s="377" t="s">
        <v>440</v>
      </c>
    </row>
    <row r="52" ht="15.75">
      <c r="A52" s="377" t="s">
        <v>441</v>
      </c>
    </row>
    <row r="53" ht="15.75">
      <c r="A53" s="377"/>
    </row>
    <row r="54" ht="15.75">
      <c r="A54" s="378" t="s">
        <v>442</v>
      </c>
    </row>
    <row r="55" ht="15.75">
      <c r="A55" s="377"/>
    </row>
    <row r="56" ht="15.75">
      <c r="A56" s="377" t="s">
        <v>443</v>
      </c>
    </row>
    <row r="57" ht="15.75">
      <c r="A57" s="377" t="s">
        <v>444</v>
      </c>
    </row>
    <row r="58" ht="15.75">
      <c r="A58" s="377" t="s">
        <v>445</v>
      </c>
    </row>
    <row r="59" ht="15.75">
      <c r="A59" s="377" t="s">
        <v>446</v>
      </c>
    </row>
    <row r="60" ht="15.75">
      <c r="A60" s="377" t="s">
        <v>447</v>
      </c>
    </row>
    <row r="61" ht="15.75">
      <c r="A61" s="377" t="s">
        <v>448</v>
      </c>
    </row>
    <row r="62" ht="15.75">
      <c r="A62" s="377" t="s">
        <v>449</v>
      </c>
    </row>
    <row r="63" ht="15.75">
      <c r="A63" s="377" t="s">
        <v>450</v>
      </c>
    </row>
    <row r="64" ht="15.75">
      <c r="A64" s="377" t="s">
        <v>451</v>
      </c>
    </row>
    <row r="65" ht="15.75">
      <c r="A65" s="377" t="s">
        <v>452</v>
      </c>
    </row>
    <row r="66" ht="15.75">
      <c r="A66" s="377" t="s">
        <v>453</v>
      </c>
    </row>
    <row r="67" ht="15.75">
      <c r="A67" s="377" t="s">
        <v>454</v>
      </c>
    </row>
    <row r="68" ht="15.75">
      <c r="A68" s="377" t="s">
        <v>455</v>
      </c>
    </row>
    <row r="69" ht="15.75">
      <c r="A69" s="377"/>
    </row>
    <row r="70" ht="15.75">
      <c r="A70" s="377" t="s">
        <v>456</v>
      </c>
    </row>
    <row r="71" ht="15.75">
      <c r="A71" s="377" t="s">
        <v>457</v>
      </c>
    </row>
    <row r="72" ht="15.75">
      <c r="A72" s="377" t="s">
        <v>458</v>
      </c>
    </row>
    <row r="73" ht="15.75">
      <c r="A73" s="377"/>
    </row>
    <row r="74" ht="15.75">
      <c r="A74" s="378" t="str">
        <f>CONCATENATE("What if the ",inputPrYr!D9-2," financial records have been closed?")</f>
        <v>What if the 2012 financial records have been closed?</v>
      </c>
    </row>
    <row r="76" ht="15.75">
      <c r="A76" s="377" t="s">
        <v>459</v>
      </c>
    </row>
    <row r="77" ht="15.75">
      <c r="A77" s="377" t="str">
        <f>CONCATENATE("(i.e. an audit for ",inputPrYr!D9-2," has been completed, or the ",inputPrYr!D9)</f>
        <v>(i.e. an audit for 2012 has been completed, or the 2014</v>
      </c>
    </row>
    <row r="78" ht="15.75">
      <c r="A78" s="377" t="s">
        <v>460</v>
      </c>
    </row>
    <row r="79" ht="15.75">
      <c r="A79" s="377" t="s">
        <v>461</v>
      </c>
    </row>
    <row r="80" ht="15.75">
      <c r="A80" s="377"/>
    </row>
    <row r="81" ht="15.75">
      <c r="A81" s="377" t="s">
        <v>462</v>
      </c>
    </row>
    <row r="82" ht="15.75">
      <c r="A82" s="377" t="s">
        <v>463</v>
      </c>
    </row>
    <row r="83" ht="15.75">
      <c r="A83" s="377" t="s">
        <v>464</v>
      </c>
    </row>
    <row r="84" ht="15.75">
      <c r="A84" s="377"/>
    </row>
    <row r="85" ht="15.75">
      <c r="A85" s="377" t="s">
        <v>465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466</v>
      </c>
      <c r="B3" s="376"/>
      <c r="C3" s="376"/>
      <c r="D3" s="376"/>
      <c r="E3" s="376"/>
      <c r="F3" s="376"/>
      <c r="G3" s="376"/>
      <c r="H3" s="379"/>
      <c r="I3" s="379"/>
      <c r="J3" s="379"/>
    </row>
    <row r="5" ht="15.75">
      <c r="A5" s="377" t="s">
        <v>467</v>
      </c>
    </row>
    <row r="6" ht="15.75">
      <c r="A6" t="str">
        <f>CONCATENATE(inputPrYr!D9-2," expenditures show that you finished the year with a ")</f>
        <v>2012 expenditures show that you finished the year with a </v>
      </c>
    </row>
    <row r="7" ht="15.75">
      <c r="A7" t="s">
        <v>468</v>
      </c>
    </row>
    <row r="9" ht="15.75">
      <c r="A9" t="s">
        <v>469</v>
      </c>
    </row>
    <row r="10" ht="15.75">
      <c r="A10" t="s">
        <v>470</v>
      </c>
    </row>
    <row r="11" ht="15.75">
      <c r="A11" t="s">
        <v>471</v>
      </c>
    </row>
    <row r="13" ht="15.75">
      <c r="A13" s="378" t="s">
        <v>472</v>
      </c>
    </row>
    <row r="14" ht="15.75">
      <c r="A14" s="378"/>
    </row>
    <row r="15" ht="15.75">
      <c r="A15" s="377" t="s">
        <v>473</v>
      </c>
    </row>
    <row r="16" ht="15.75">
      <c r="A16" s="377" t="s">
        <v>474</v>
      </c>
    </row>
    <row r="17" ht="15.75">
      <c r="A17" s="377" t="s">
        <v>475</v>
      </c>
    </row>
    <row r="18" ht="15.75">
      <c r="A18" s="377"/>
    </row>
    <row r="19" ht="15.75">
      <c r="A19" s="378" t="s">
        <v>476</v>
      </c>
    </row>
    <row r="20" ht="15.75">
      <c r="A20" s="378"/>
    </row>
    <row r="21" ht="15.75">
      <c r="A21" s="377" t="s">
        <v>477</v>
      </c>
    </row>
    <row r="22" ht="15.75">
      <c r="A22" s="377" t="s">
        <v>478</v>
      </c>
    </row>
    <row r="23" ht="15.75">
      <c r="A23" s="377" t="s">
        <v>479</v>
      </c>
    </row>
    <row r="24" ht="15.75">
      <c r="A24" s="377"/>
    </row>
    <row r="25" ht="15.75">
      <c r="A25" s="378" t="s">
        <v>480</v>
      </c>
    </row>
    <row r="26" ht="15.75">
      <c r="A26" s="378"/>
    </row>
    <row r="27" ht="15.75">
      <c r="A27" s="377" t="s">
        <v>481</v>
      </c>
    </row>
    <row r="28" ht="15.75">
      <c r="A28" s="377" t="s">
        <v>482</v>
      </c>
    </row>
    <row r="29" ht="15.75">
      <c r="A29" s="377" t="s">
        <v>483</v>
      </c>
    </row>
    <row r="30" ht="15.75">
      <c r="A30" s="377"/>
    </row>
    <row r="31" ht="15.75">
      <c r="A31" s="378" t="s">
        <v>484</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485</v>
      </c>
      <c r="B35" s="377"/>
      <c r="C35" s="377"/>
      <c r="D35" s="377"/>
      <c r="E35" s="377"/>
      <c r="F35" s="377"/>
      <c r="G35" s="377"/>
      <c r="H35" s="377"/>
    </row>
    <row r="36" spans="1:8" ht="15.75">
      <c r="A36" s="377" t="s">
        <v>486</v>
      </c>
      <c r="B36" s="377"/>
      <c r="C36" s="377"/>
      <c r="D36" s="377"/>
      <c r="E36" s="377"/>
      <c r="F36" s="377"/>
      <c r="G36" s="377"/>
      <c r="H36" s="377"/>
    </row>
    <row r="37" spans="1:8" ht="15.75">
      <c r="A37" s="377" t="s">
        <v>487</v>
      </c>
      <c r="B37" s="377"/>
      <c r="C37" s="377"/>
      <c r="D37" s="377"/>
      <c r="E37" s="377"/>
      <c r="F37" s="377"/>
      <c r="G37" s="377"/>
      <c r="H37" s="377"/>
    </row>
    <row r="38" spans="1:8" ht="15.75">
      <c r="A38" s="377" t="s">
        <v>488</v>
      </c>
      <c r="B38" s="377"/>
      <c r="C38" s="377"/>
      <c r="D38" s="377"/>
      <c r="E38" s="377"/>
      <c r="F38" s="377"/>
      <c r="G38" s="377"/>
      <c r="H38" s="377"/>
    </row>
    <row r="39" spans="1:8" ht="15.75">
      <c r="A39" s="377" t="s">
        <v>489</v>
      </c>
      <c r="B39" s="377"/>
      <c r="C39" s="377"/>
      <c r="D39" s="377"/>
      <c r="E39" s="377"/>
      <c r="F39" s="377"/>
      <c r="G39" s="377"/>
      <c r="H39" s="377"/>
    </row>
    <row r="40" spans="1:8" ht="15.75">
      <c r="A40" s="377"/>
      <c r="B40" s="377"/>
      <c r="C40" s="377"/>
      <c r="D40" s="377"/>
      <c r="E40" s="377"/>
      <c r="F40" s="377"/>
      <c r="G40" s="377"/>
      <c r="H40" s="377"/>
    </row>
    <row r="41" spans="1:8" ht="15.75">
      <c r="A41" s="377" t="s">
        <v>490</v>
      </c>
      <c r="B41" s="377"/>
      <c r="C41" s="377"/>
      <c r="D41" s="377"/>
      <c r="E41" s="377"/>
      <c r="F41" s="377"/>
      <c r="G41" s="377"/>
      <c r="H41" s="377"/>
    </row>
    <row r="42" spans="1:8" ht="15.75">
      <c r="A42" s="377" t="s">
        <v>491</v>
      </c>
      <c r="B42" s="377"/>
      <c r="C42" s="377"/>
      <c r="D42" s="377"/>
      <c r="E42" s="377"/>
      <c r="F42" s="377"/>
      <c r="G42" s="377"/>
      <c r="H42" s="377"/>
    </row>
    <row r="43" spans="1:8" ht="15.75">
      <c r="A43" s="377" t="s">
        <v>492</v>
      </c>
      <c r="B43" s="377"/>
      <c r="C43" s="377"/>
      <c r="D43" s="377"/>
      <c r="E43" s="377"/>
      <c r="F43" s="377"/>
      <c r="G43" s="377"/>
      <c r="H43" s="377"/>
    </row>
    <row r="44" spans="1:8" ht="15.75">
      <c r="A44" s="377" t="s">
        <v>493</v>
      </c>
      <c r="B44" s="377"/>
      <c r="C44" s="377"/>
      <c r="D44" s="377"/>
      <c r="E44" s="377"/>
      <c r="F44" s="377"/>
      <c r="G44" s="377"/>
      <c r="H44" s="377"/>
    </row>
    <row r="45" spans="1:8" ht="15.75">
      <c r="A45" s="377"/>
      <c r="B45" s="377"/>
      <c r="C45" s="377"/>
      <c r="D45" s="377"/>
      <c r="E45" s="377"/>
      <c r="F45" s="377"/>
      <c r="G45" s="377"/>
      <c r="H45" s="377"/>
    </row>
    <row r="46" spans="1:8" ht="15.75">
      <c r="A46" s="377" t="s">
        <v>494</v>
      </c>
      <c r="B46" s="377"/>
      <c r="C46" s="377"/>
      <c r="D46" s="377"/>
      <c r="E46" s="377"/>
      <c r="F46" s="377"/>
      <c r="G46" s="377"/>
      <c r="H46" s="377"/>
    </row>
    <row r="47" spans="1:8" ht="15.75">
      <c r="A47" s="377" t="s">
        <v>495</v>
      </c>
      <c r="B47" s="377"/>
      <c r="C47" s="377"/>
      <c r="D47" s="377"/>
      <c r="E47" s="377"/>
      <c r="F47" s="377"/>
      <c r="G47" s="377"/>
      <c r="H47" s="377"/>
    </row>
    <row r="48" spans="1:8" ht="15.75">
      <c r="A48" s="377" t="s">
        <v>496</v>
      </c>
      <c r="B48" s="377"/>
      <c r="C48" s="377"/>
      <c r="D48" s="377"/>
      <c r="E48" s="377"/>
      <c r="F48" s="377"/>
      <c r="G48" s="377"/>
      <c r="H48" s="377"/>
    </row>
    <row r="49" spans="1:8" ht="15.75">
      <c r="A49" s="377" t="s">
        <v>497</v>
      </c>
      <c r="B49" s="377"/>
      <c r="C49" s="377"/>
      <c r="D49" s="377"/>
      <c r="E49" s="377"/>
      <c r="F49" s="377"/>
      <c r="G49" s="377"/>
      <c r="H49" s="377"/>
    </row>
    <row r="50" spans="1:8" ht="15.75">
      <c r="A50" s="377" t="s">
        <v>498</v>
      </c>
      <c r="B50" s="377"/>
      <c r="C50" s="377"/>
      <c r="D50" s="377"/>
      <c r="E50" s="377"/>
      <c r="F50" s="377"/>
      <c r="G50" s="377"/>
      <c r="H50" s="377"/>
    </row>
    <row r="51" spans="1:8" ht="15.75">
      <c r="A51" s="377"/>
      <c r="B51" s="377"/>
      <c r="C51" s="377"/>
      <c r="D51" s="377"/>
      <c r="E51" s="377"/>
      <c r="F51" s="377"/>
      <c r="G51" s="377"/>
      <c r="H51" s="377"/>
    </row>
    <row r="52" spans="1:8" ht="15.75">
      <c r="A52" s="378" t="s">
        <v>499</v>
      </c>
      <c r="B52" s="378"/>
      <c r="C52" s="378"/>
      <c r="D52" s="378"/>
      <c r="E52" s="378"/>
      <c r="F52" s="378"/>
      <c r="G52" s="378"/>
      <c r="H52" s="377"/>
    </row>
    <row r="53" spans="1:8" ht="15.75">
      <c r="A53" s="378" t="s">
        <v>500</v>
      </c>
      <c r="B53" s="378"/>
      <c r="C53" s="378"/>
      <c r="D53" s="378"/>
      <c r="E53" s="378"/>
      <c r="F53" s="378"/>
      <c r="G53" s="378"/>
      <c r="H53" s="377"/>
    </row>
    <row r="54" spans="1:8" ht="15.75">
      <c r="A54" s="377"/>
      <c r="B54" s="377"/>
      <c r="C54" s="377"/>
      <c r="D54" s="377"/>
      <c r="E54" s="377"/>
      <c r="F54" s="377"/>
      <c r="G54" s="377"/>
      <c r="H54" s="377"/>
    </row>
    <row r="55" spans="1:8" ht="15.75">
      <c r="A55" s="377" t="s">
        <v>501</v>
      </c>
      <c r="B55" s="377"/>
      <c r="C55" s="377"/>
      <c r="D55" s="377"/>
      <c r="E55" s="377"/>
      <c r="F55" s="377"/>
      <c r="G55" s="377"/>
      <c r="H55" s="377"/>
    </row>
    <row r="56" spans="1:8" ht="15.75">
      <c r="A56" s="377" t="s">
        <v>502</v>
      </c>
      <c r="B56" s="377"/>
      <c r="C56" s="377"/>
      <c r="D56" s="377"/>
      <c r="E56" s="377"/>
      <c r="F56" s="377"/>
      <c r="G56" s="377"/>
      <c r="H56" s="377"/>
    </row>
    <row r="57" spans="1:8" ht="15.75">
      <c r="A57" s="377" t="s">
        <v>503</v>
      </c>
      <c r="B57" s="377"/>
      <c r="C57" s="377"/>
      <c r="D57" s="377"/>
      <c r="E57" s="377"/>
      <c r="F57" s="377"/>
      <c r="G57" s="377"/>
      <c r="H57" s="377"/>
    </row>
    <row r="58" spans="1:8" ht="15.75">
      <c r="A58" s="377" t="s">
        <v>504</v>
      </c>
      <c r="B58" s="377"/>
      <c r="C58" s="377"/>
      <c r="D58" s="377"/>
      <c r="E58" s="377"/>
      <c r="F58" s="377"/>
      <c r="G58" s="377"/>
      <c r="H58" s="377"/>
    </row>
    <row r="59" spans="1:8" ht="15.75">
      <c r="A59" s="377"/>
      <c r="B59" s="377"/>
      <c r="C59" s="377"/>
      <c r="D59" s="377"/>
      <c r="E59" s="377"/>
      <c r="F59" s="377"/>
      <c r="G59" s="377"/>
      <c r="H59" s="377"/>
    </row>
    <row r="60" spans="1:8" ht="15.75">
      <c r="A60" s="377" t="s">
        <v>505</v>
      </c>
      <c r="B60" s="377"/>
      <c r="C60" s="377"/>
      <c r="D60" s="377"/>
      <c r="E60" s="377"/>
      <c r="F60" s="377"/>
      <c r="G60" s="377"/>
      <c r="H60" s="377"/>
    </row>
    <row r="61" spans="1:8" ht="15.75">
      <c r="A61" s="377" t="s">
        <v>506</v>
      </c>
      <c r="B61" s="377"/>
      <c r="C61" s="377"/>
      <c r="D61" s="377"/>
      <c r="E61" s="377"/>
      <c r="F61" s="377"/>
      <c r="G61" s="377"/>
      <c r="H61" s="377"/>
    </row>
    <row r="62" spans="1:8" ht="15.75">
      <c r="A62" s="377" t="s">
        <v>507</v>
      </c>
      <c r="B62" s="377"/>
      <c r="C62" s="377"/>
      <c r="D62" s="377"/>
      <c r="E62" s="377"/>
      <c r="F62" s="377"/>
      <c r="G62" s="377"/>
      <c r="H62" s="377"/>
    </row>
    <row r="63" spans="1:8" ht="15.75">
      <c r="A63" s="377" t="s">
        <v>508</v>
      </c>
      <c r="B63" s="377"/>
      <c r="C63" s="377"/>
      <c r="D63" s="377"/>
      <c r="E63" s="377"/>
      <c r="F63" s="377"/>
      <c r="G63" s="377"/>
      <c r="H63" s="377"/>
    </row>
    <row r="64" spans="1:8" ht="15.75">
      <c r="A64" s="377" t="s">
        <v>509</v>
      </c>
      <c r="B64" s="377"/>
      <c r="C64" s="377"/>
      <c r="D64" s="377"/>
      <c r="E64" s="377"/>
      <c r="F64" s="377"/>
      <c r="G64" s="377"/>
      <c r="H64" s="377"/>
    </row>
    <row r="65" spans="1:8" ht="15.75">
      <c r="A65" s="377" t="s">
        <v>510</v>
      </c>
      <c r="B65" s="377"/>
      <c r="C65" s="377"/>
      <c r="D65" s="377"/>
      <c r="E65" s="377"/>
      <c r="F65" s="377"/>
      <c r="G65" s="377"/>
      <c r="H65" s="377"/>
    </row>
    <row r="66" spans="1:8" ht="15.75">
      <c r="A66" s="377"/>
      <c r="B66" s="377"/>
      <c r="C66" s="377"/>
      <c r="D66" s="377"/>
      <c r="E66" s="377"/>
      <c r="F66" s="377"/>
      <c r="G66" s="377"/>
      <c r="H66" s="377"/>
    </row>
    <row r="67" spans="1:8" ht="15.75">
      <c r="A67" s="377" t="s">
        <v>511</v>
      </c>
      <c r="B67" s="377"/>
      <c r="C67" s="377"/>
      <c r="D67" s="377"/>
      <c r="E67" s="377"/>
      <c r="F67" s="377"/>
      <c r="G67" s="377"/>
      <c r="H67" s="377"/>
    </row>
    <row r="68" spans="1:8" ht="15.75">
      <c r="A68" s="377" t="s">
        <v>512</v>
      </c>
      <c r="B68" s="377"/>
      <c r="C68" s="377"/>
      <c r="D68" s="377"/>
      <c r="E68" s="377"/>
      <c r="F68" s="377"/>
      <c r="G68" s="377"/>
      <c r="H68" s="377"/>
    </row>
    <row r="69" spans="1:8" ht="15.75">
      <c r="A69" s="377" t="s">
        <v>513</v>
      </c>
      <c r="B69" s="377"/>
      <c r="C69" s="377"/>
      <c r="D69" s="377"/>
      <c r="E69" s="377"/>
      <c r="F69" s="377"/>
      <c r="G69" s="377"/>
      <c r="H69" s="377"/>
    </row>
    <row r="70" spans="1:8" ht="15.75">
      <c r="A70" s="377" t="s">
        <v>514</v>
      </c>
      <c r="B70" s="377"/>
      <c r="C70" s="377"/>
      <c r="D70" s="377"/>
      <c r="E70" s="377"/>
      <c r="F70" s="377"/>
      <c r="G70" s="377"/>
      <c r="H70" s="377"/>
    </row>
    <row r="71" spans="1:8" ht="15.75">
      <c r="A71" s="377" t="s">
        <v>515</v>
      </c>
      <c r="B71" s="377"/>
      <c r="C71" s="377"/>
      <c r="D71" s="377"/>
      <c r="E71" s="377"/>
      <c r="F71" s="377"/>
      <c r="G71" s="377"/>
      <c r="H71" s="377"/>
    </row>
    <row r="72" spans="1:8" ht="15.75">
      <c r="A72" s="377" t="s">
        <v>516</v>
      </c>
      <c r="B72" s="377"/>
      <c r="C72" s="377"/>
      <c r="D72" s="377"/>
      <c r="E72" s="377"/>
      <c r="F72" s="377"/>
      <c r="G72" s="377"/>
      <c r="H72" s="377"/>
    </row>
    <row r="73" spans="1:8" ht="15.75">
      <c r="A73" s="377" t="s">
        <v>517</v>
      </c>
      <c r="B73" s="377"/>
      <c r="C73" s="377"/>
      <c r="D73" s="377"/>
      <c r="E73" s="377"/>
      <c r="F73" s="377"/>
      <c r="G73" s="377"/>
      <c r="H73" s="377"/>
    </row>
    <row r="74" spans="1:8" ht="15.75">
      <c r="A74" s="377"/>
      <c r="B74" s="377"/>
      <c r="C74" s="377"/>
      <c r="D74" s="377"/>
      <c r="E74" s="377"/>
      <c r="F74" s="377"/>
      <c r="G74" s="377"/>
      <c r="H74" s="377"/>
    </row>
    <row r="75" spans="1:8" ht="15.75">
      <c r="A75" s="377" t="s">
        <v>518</v>
      </c>
      <c r="B75" s="377"/>
      <c r="C75" s="377"/>
      <c r="D75" s="377"/>
      <c r="E75" s="377"/>
      <c r="F75" s="377"/>
      <c r="G75" s="377"/>
      <c r="H75" s="377"/>
    </row>
    <row r="76" spans="1:8" ht="15.75">
      <c r="A76" s="377" t="s">
        <v>519</v>
      </c>
      <c r="B76" s="377"/>
      <c r="C76" s="377"/>
      <c r="D76" s="377"/>
      <c r="E76" s="377"/>
      <c r="F76" s="377"/>
      <c r="G76" s="377"/>
      <c r="H76" s="377"/>
    </row>
    <row r="77" spans="1:8" ht="15.75">
      <c r="A77" s="377" t="s">
        <v>520</v>
      </c>
      <c r="B77" s="377"/>
      <c r="C77" s="377"/>
      <c r="D77" s="377"/>
      <c r="E77" s="377"/>
      <c r="F77" s="377"/>
      <c r="G77" s="377"/>
      <c r="H77" s="377"/>
    </row>
    <row r="78" spans="1:8" ht="15.75">
      <c r="A78" s="377"/>
      <c r="B78" s="377"/>
      <c r="C78" s="377"/>
      <c r="D78" s="377"/>
      <c r="E78" s="377"/>
      <c r="F78" s="377"/>
      <c r="G78" s="377"/>
      <c r="H78" s="377"/>
    </row>
    <row r="79" ht="15.75">
      <c r="A79" s="377" t="s">
        <v>465</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521</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410</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522</v>
      </c>
      <c r="I7" s="376"/>
      <c r="J7" s="376"/>
      <c r="K7" s="376"/>
      <c r="L7" s="376"/>
    </row>
    <row r="8" spans="1:12" ht="15.75">
      <c r="A8" s="377"/>
      <c r="I8" s="376"/>
      <c r="J8" s="376"/>
      <c r="K8" s="376"/>
      <c r="L8" s="376"/>
    </row>
    <row r="9" spans="1:12" ht="15.75">
      <c r="A9" s="377" t="s">
        <v>523</v>
      </c>
      <c r="I9" s="376"/>
      <c r="J9" s="376"/>
      <c r="K9" s="376"/>
      <c r="L9" s="376"/>
    </row>
    <row r="10" spans="1:12" ht="15.75">
      <c r="A10" s="377" t="s">
        <v>524</v>
      </c>
      <c r="I10" s="376"/>
      <c r="J10" s="376"/>
      <c r="K10" s="376"/>
      <c r="L10" s="376"/>
    </row>
    <row r="11" spans="1:12" ht="15.75">
      <c r="A11" s="377" t="s">
        <v>525</v>
      </c>
      <c r="I11" s="376"/>
      <c r="J11" s="376"/>
      <c r="K11" s="376"/>
      <c r="L11" s="376"/>
    </row>
    <row r="12" spans="1:12" ht="15.75">
      <c r="A12" s="377" t="s">
        <v>526</v>
      </c>
      <c r="I12" s="376"/>
      <c r="J12" s="376"/>
      <c r="K12" s="376"/>
      <c r="L12" s="376"/>
    </row>
    <row r="13" spans="1:12" ht="15.75">
      <c r="A13" s="377" t="s">
        <v>527</v>
      </c>
      <c r="I13" s="376"/>
      <c r="J13" s="376"/>
      <c r="K13" s="376"/>
      <c r="L13" s="376"/>
    </row>
    <row r="14" spans="1:12" ht="15.75">
      <c r="A14" s="376"/>
      <c r="B14" s="376"/>
      <c r="C14" s="376"/>
      <c r="D14" s="376"/>
      <c r="E14" s="376"/>
      <c r="F14" s="376"/>
      <c r="G14" s="376"/>
      <c r="H14" s="376"/>
      <c r="I14" s="376"/>
      <c r="J14" s="376"/>
      <c r="K14" s="376"/>
      <c r="L14" s="376"/>
    </row>
    <row r="15" ht="15.75">
      <c r="A15" s="378" t="s">
        <v>528</v>
      </c>
    </row>
    <row r="16" ht="15.75">
      <c r="A16" s="378" t="s">
        <v>529</v>
      </c>
    </row>
    <row r="17" ht="15.75">
      <c r="A17" s="378"/>
    </row>
    <row r="18" spans="1:7" ht="15.75">
      <c r="A18" s="377" t="s">
        <v>530</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531</v>
      </c>
      <c r="B20" s="377"/>
      <c r="C20" s="377"/>
      <c r="D20" s="377"/>
      <c r="E20" s="377"/>
      <c r="F20" s="377"/>
      <c r="G20" s="377"/>
    </row>
    <row r="21" spans="1:7" ht="15.75">
      <c r="A21" s="377" t="s">
        <v>532</v>
      </c>
      <c r="B21" s="377"/>
      <c r="C21" s="377"/>
      <c r="D21" s="377"/>
      <c r="E21" s="377"/>
      <c r="F21" s="377"/>
      <c r="G21" s="377"/>
    </row>
    <row r="22" ht="15.75">
      <c r="A22" s="377"/>
    </row>
    <row r="23" ht="15.75">
      <c r="A23" s="378" t="s">
        <v>533</v>
      </c>
    </row>
    <row r="24" ht="15.75">
      <c r="A24" s="378"/>
    </row>
    <row r="25" ht="15.75">
      <c r="A25" s="377" t="s">
        <v>534</v>
      </c>
    </row>
    <row r="26" spans="1:6" ht="15.75">
      <c r="A26" s="377" t="s">
        <v>535</v>
      </c>
      <c r="B26" s="377"/>
      <c r="C26" s="377"/>
      <c r="D26" s="377"/>
      <c r="E26" s="377"/>
      <c r="F26" s="377"/>
    </row>
    <row r="27" spans="1:6" ht="15.75">
      <c r="A27" s="377" t="s">
        <v>536</v>
      </c>
      <c r="B27" s="377"/>
      <c r="C27" s="377"/>
      <c r="D27" s="377"/>
      <c r="E27" s="377"/>
      <c r="F27" s="377"/>
    </row>
    <row r="28" spans="1:6" ht="15.75">
      <c r="A28" s="377" t="s">
        <v>537</v>
      </c>
      <c r="B28" s="377"/>
      <c r="C28" s="377"/>
      <c r="D28" s="377"/>
      <c r="E28" s="377"/>
      <c r="F28" s="377"/>
    </row>
    <row r="29" spans="1:6" ht="15.75">
      <c r="A29" s="377"/>
      <c r="B29" s="377"/>
      <c r="C29" s="377"/>
      <c r="D29" s="377"/>
      <c r="E29" s="377"/>
      <c r="F29" s="377"/>
    </row>
    <row r="30" spans="1:7" ht="15.75">
      <c r="A30" s="378" t="s">
        <v>538</v>
      </c>
      <c r="B30" s="378"/>
      <c r="C30" s="378"/>
      <c r="D30" s="378"/>
      <c r="E30" s="378"/>
      <c r="F30" s="378"/>
      <c r="G30" s="378"/>
    </row>
    <row r="31" spans="1:7" ht="15.75">
      <c r="A31" s="378" t="s">
        <v>539</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540</v>
      </c>
      <c r="B34" s="377"/>
      <c r="C34" s="377"/>
      <c r="D34" s="377"/>
      <c r="E34" s="377"/>
      <c r="F34" s="377"/>
    </row>
    <row r="35" spans="1:6" ht="15.75">
      <c r="A35" s="381" t="s">
        <v>424</v>
      </c>
      <c r="B35" s="377"/>
      <c r="C35" s="377"/>
      <c r="D35" s="377"/>
      <c r="E35" s="377"/>
      <c r="F35" s="377"/>
    </row>
    <row r="36" spans="1:6" ht="15.75">
      <c r="A36" s="381" t="s">
        <v>425</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426</v>
      </c>
      <c r="B39" s="377"/>
      <c r="C39" s="377"/>
      <c r="D39" s="377"/>
      <c r="E39" s="377"/>
      <c r="F39" s="377"/>
    </row>
    <row r="40" spans="1:6" ht="15.75">
      <c r="A40" s="381" t="s">
        <v>427</v>
      </c>
      <c r="B40" s="377"/>
      <c r="C40" s="377"/>
      <c r="D40" s="377"/>
      <c r="E40" s="377"/>
      <c r="F40" s="377"/>
    </row>
    <row r="41" spans="1:6" ht="15.75">
      <c r="A41" s="381"/>
      <c r="B41" s="377"/>
      <c r="C41" s="377"/>
      <c r="D41" s="377"/>
      <c r="E41" s="377"/>
      <c r="F41" s="377"/>
    </row>
    <row r="42" spans="1:6" ht="15.75">
      <c r="A42" s="381" t="s">
        <v>428</v>
      </c>
      <c r="B42" s="377"/>
      <c r="C42" s="377"/>
      <c r="D42" s="377"/>
      <c r="E42" s="377"/>
      <c r="F42" s="377"/>
    </row>
    <row r="43" spans="1:6" ht="15.75">
      <c r="A43" s="381" t="s">
        <v>429</v>
      </c>
      <c r="B43" s="377"/>
      <c r="C43" s="377"/>
      <c r="D43" s="377"/>
      <c r="E43" s="377"/>
      <c r="F43" s="377"/>
    </row>
    <row r="44" spans="1:6" ht="15.75">
      <c r="A44" s="381" t="s">
        <v>430</v>
      </c>
      <c r="B44" s="377"/>
      <c r="C44" s="377"/>
      <c r="D44" s="377"/>
      <c r="E44" s="377"/>
      <c r="F44" s="377"/>
    </row>
    <row r="45" spans="1:6" ht="15.75">
      <c r="A45" s="381" t="s">
        <v>541</v>
      </c>
      <c r="B45" s="377"/>
      <c r="C45" s="377"/>
      <c r="D45" s="377"/>
      <c r="E45" s="377"/>
      <c r="F45" s="377"/>
    </row>
    <row r="46" spans="1:6" ht="15.75">
      <c r="A46" s="381" t="s">
        <v>432</v>
      </c>
      <c r="B46" s="377"/>
      <c r="C46" s="377"/>
      <c r="D46" s="377"/>
      <c r="E46" s="377"/>
      <c r="F46" s="377"/>
    </row>
    <row r="47" spans="1:6" ht="15.75">
      <c r="A47" s="381" t="s">
        <v>542</v>
      </c>
      <c r="B47" s="377"/>
      <c r="C47" s="377"/>
      <c r="D47" s="377"/>
      <c r="E47" s="377"/>
      <c r="F47" s="377"/>
    </row>
    <row r="48" spans="1:6" ht="15.75">
      <c r="A48" s="381" t="s">
        <v>543</v>
      </c>
      <c r="B48" s="377"/>
      <c r="C48" s="377"/>
      <c r="D48" s="377"/>
      <c r="E48" s="377"/>
      <c r="F48" s="377"/>
    </row>
    <row r="49" spans="1:6" ht="15.75">
      <c r="A49" s="381" t="s">
        <v>435</v>
      </c>
      <c r="B49" s="377"/>
      <c r="C49" s="377"/>
      <c r="D49" s="377"/>
      <c r="E49" s="377"/>
      <c r="F49" s="377"/>
    </row>
    <row r="50" spans="1:6" ht="15.75">
      <c r="A50" s="381"/>
      <c r="B50" s="377"/>
      <c r="C50" s="377"/>
      <c r="D50" s="377"/>
      <c r="E50" s="377"/>
      <c r="F50" s="377"/>
    </row>
    <row r="51" spans="1:6" ht="15.75">
      <c r="A51" s="381" t="s">
        <v>436</v>
      </c>
      <c r="B51" s="377"/>
      <c r="C51" s="377"/>
      <c r="D51" s="377"/>
      <c r="E51" s="377"/>
      <c r="F51" s="377"/>
    </row>
    <row r="52" spans="1:6" ht="15.75">
      <c r="A52" s="381" t="s">
        <v>437</v>
      </c>
      <c r="B52" s="377"/>
      <c r="C52" s="377"/>
      <c r="D52" s="377"/>
      <c r="E52" s="377"/>
      <c r="F52" s="377"/>
    </row>
    <row r="53" spans="1:6" ht="15.75">
      <c r="A53" s="381" t="s">
        <v>438</v>
      </c>
      <c r="B53" s="377"/>
      <c r="C53" s="377"/>
      <c r="D53" s="377"/>
      <c r="E53" s="377"/>
      <c r="F53" s="377"/>
    </row>
    <row r="54" spans="1:6" ht="15.75">
      <c r="A54" s="381"/>
      <c r="B54" s="377"/>
      <c r="C54" s="377"/>
      <c r="D54" s="377"/>
      <c r="E54" s="377"/>
      <c r="F54" s="377"/>
    </row>
    <row r="55" spans="1:6" ht="15.75">
      <c r="A55" s="381" t="s">
        <v>544</v>
      </c>
      <c r="B55" s="377"/>
      <c r="C55" s="377"/>
      <c r="D55" s="377"/>
      <c r="E55" s="377"/>
      <c r="F55" s="377"/>
    </row>
    <row r="56" spans="1:6" ht="15.75">
      <c r="A56" s="381" t="s">
        <v>545</v>
      </c>
      <c r="B56" s="377"/>
      <c r="C56" s="377"/>
      <c r="D56" s="377"/>
      <c r="E56" s="377"/>
      <c r="F56" s="377"/>
    </row>
    <row r="57" spans="1:6" ht="15.75">
      <c r="A57" s="381" t="s">
        <v>546</v>
      </c>
      <c r="B57" s="377"/>
      <c r="C57" s="377"/>
      <c r="D57" s="377"/>
      <c r="E57" s="377"/>
      <c r="F57" s="377"/>
    </row>
    <row r="58" spans="1:6" ht="15.75">
      <c r="A58" s="381" t="s">
        <v>547</v>
      </c>
      <c r="B58" s="377"/>
      <c r="C58" s="377"/>
      <c r="D58" s="377"/>
      <c r="E58" s="377"/>
      <c r="F58" s="377"/>
    </row>
    <row r="59" spans="1:6" ht="15.75">
      <c r="A59" s="381" t="s">
        <v>548</v>
      </c>
      <c r="B59" s="377"/>
      <c r="C59" s="377"/>
      <c r="D59" s="377"/>
      <c r="E59" s="377"/>
      <c r="F59" s="377"/>
    </row>
    <row r="60" spans="1:6" ht="15.75">
      <c r="A60" s="381"/>
      <c r="B60" s="377"/>
      <c r="C60" s="377"/>
      <c r="D60" s="377"/>
      <c r="E60" s="377"/>
      <c r="F60" s="377"/>
    </row>
    <row r="61" spans="1:6" ht="15.75">
      <c r="A61" s="382" t="s">
        <v>549</v>
      </c>
      <c r="B61" s="377"/>
      <c r="C61" s="377"/>
      <c r="D61" s="377"/>
      <c r="E61" s="377"/>
      <c r="F61" s="377"/>
    </row>
    <row r="62" spans="1:6" ht="15.75">
      <c r="A62" s="382" t="s">
        <v>550</v>
      </c>
      <c r="B62" s="377"/>
      <c r="C62" s="377"/>
      <c r="D62" s="377"/>
      <c r="E62" s="377"/>
      <c r="F62" s="377"/>
    </row>
    <row r="63" spans="1:6" ht="15.75">
      <c r="A63" s="382" t="s">
        <v>551</v>
      </c>
      <c r="B63" s="377"/>
      <c r="C63" s="377"/>
      <c r="D63" s="377"/>
      <c r="E63" s="377"/>
      <c r="F63" s="377"/>
    </row>
    <row r="64" ht="15.75">
      <c r="A64" s="382" t="s">
        <v>552</v>
      </c>
    </row>
    <row r="65" ht="15.75">
      <c r="A65" s="382" t="s">
        <v>553</v>
      </c>
    </row>
    <row r="66" ht="15.75">
      <c r="A66" s="382" t="s">
        <v>554</v>
      </c>
    </row>
    <row r="68" ht="15.75">
      <c r="A68" s="377" t="s">
        <v>555</v>
      </c>
    </row>
    <row r="69" ht="15.75">
      <c r="A69" s="377" t="s">
        <v>556</v>
      </c>
    </row>
    <row r="70" ht="15.75">
      <c r="A70" s="377" t="s">
        <v>557</v>
      </c>
    </row>
    <row r="71" ht="15.75">
      <c r="A71" s="377" t="s">
        <v>558</v>
      </c>
    </row>
    <row r="72" ht="15.75">
      <c r="A72" s="377" t="s">
        <v>559</v>
      </c>
    </row>
    <row r="73" ht="15.75">
      <c r="A73" s="377" t="s">
        <v>560</v>
      </c>
    </row>
    <row r="75" ht="15.75">
      <c r="A75" s="377" t="s">
        <v>465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561</v>
      </c>
      <c r="B3" s="376"/>
      <c r="C3" s="376"/>
      <c r="D3" s="376"/>
      <c r="E3" s="376"/>
      <c r="F3" s="376"/>
      <c r="G3" s="376"/>
    </row>
    <row r="4" spans="1:7" ht="15.75">
      <c r="A4" s="376"/>
      <c r="B4" s="376"/>
      <c r="C4" s="376"/>
      <c r="D4" s="376"/>
      <c r="E4" s="376"/>
      <c r="F4" s="376"/>
      <c r="G4" s="376"/>
    </row>
    <row r="5" ht="15.75">
      <c r="A5" s="377" t="s">
        <v>467</v>
      </c>
    </row>
    <row r="6" ht="15.75">
      <c r="A6" s="377" t="str">
        <f>CONCATENATE(inputPrYr!D9," estimated expenditures show that at the end of this year")</f>
        <v>2014 estimated expenditures show that at the end of this year</v>
      </c>
    </row>
    <row r="7" ht="15.75">
      <c r="A7" s="377" t="s">
        <v>562</v>
      </c>
    </row>
    <row r="8" ht="15.75">
      <c r="A8" s="377" t="s">
        <v>563</v>
      </c>
    </row>
    <row r="10" ht="15.75">
      <c r="A10" t="s">
        <v>469</v>
      </c>
    </row>
    <row r="11" ht="15.75">
      <c r="A11" t="s">
        <v>470</v>
      </c>
    </row>
    <row r="12" ht="15.75">
      <c r="A12" t="s">
        <v>471</v>
      </c>
    </row>
    <row r="13" spans="1:7" ht="15.75">
      <c r="A13" s="376"/>
      <c r="B13" s="376"/>
      <c r="C13" s="376"/>
      <c r="D13" s="376"/>
      <c r="E13" s="376"/>
      <c r="F13" s="376"/>
      <c r="G13" s="376"/>
    </row>
    <row r="14" ht="15.75">
      <c r="A14" s="378" t="s">
        <v>564</v>
      </c>
    </row>
    <row r="15" ht="15.75">
      <c r="A15" s="377"/>
    </row>
    <row r="16" ht="15.75">
      <c r="A16" s="377" t="s">
        <v>565</v>
      </c>
    </row>
    <row r="17" ht="15.75">
      <c r="A17" s="377" t="s">
        <v>566</v>
      </c>
    </row>
    <row r="18" ht="15.75">
      <c r="A18" s="377" t="s">
        <v>567</v>
      </c>
    </row>
    <row r="19" ht="15.75">
      <c r="A19" s="377"/>
    </row>
    <row r="20" ht="15.75">
      <c r="A20" s="377" t="s">
        <v>568</v>
      </c>
    </row>
    <row r="21" ht="15.75">
      <c r="A21" s="377" t="s">
        <v>569</v>
      </c>
    </row>
    <row r="22" ht="15.75">
      <c r="A22" s="377" t="s">
        <v>570</v>
      </c>
    </row>
    <row r="23" ht="15.75">
      <c r="A23" s="377" t="s">
        <v>571</v>
      </c>
    </row>
    <row r="24" ht="15.75">
      <c r="A24" s="377"/>
    </row>
    <row r="25" ht="15.75">
      <c r="A25" s="378" t="s">
        <v>533</v>
      </c>
    </row>
    <row r="26" ht="15.75">
      <c r="A26" s="378"/>
    </row>
    <row r="27" ht="15.75">
      <c r="A27" s="377" t="s">
        <v>534</v>
      </c>
    </row>
    <row r="28" spans="1:6" ht="15.75">
      <c r="A28" s="377" t="s">
        <v>535</v>
      </c>
      <c r="B28" s="377"/>
      <c r="C28" s="377"/>
      <c r="D28" s="377"/>
      <c r="E28" s="377"/>
      <c r="F28" s="377"/>
    </row>
    <row r="29" spans="1:6" ht="15.75">
      <c r="A29" s="377" t="s">
        <v>536</v>
      </c>
      <c r="B29" s="377"/>
      <c r="C29" s="377"/>
      <c r="D29" s="377"/>
      <c r="E29" s="377"/>
      <c r="F29" s="377"/>
    </row>
    <row r="30" spans="1:6" ht="15.75">
      <c r="A30" s="377" t="s">
        <v>537</v>
      </c>
      <c r="B30" s="377"/>
      <c r="C30" s="377"/>
      <c r="D30" s="377"/>
      <c r="E30" s="377"/>
      <c r="F30" s="377"/>
    </row>
    <row r="31" ht="15.75">
      <c r="A31" s="377"/>
    </row>
    <row r="32" spans="1:7" ht="15.75">
      <c r="A32" s="378" t="s">
        <v>538</v>
      </c>
      <c r="B32" s="378"/>
      <c r="C32" s="378"/>
      <c r="D32" s="378"/>
      <c r="E32" s="378"/>
      <c r="F32" s="378"/>
      <c r="G32" s="378"/>
    </row>
    <row r="33" spans="1:7" ht="15.75">
      <c r="A33" s="378" t="s">
        <v>539</v>
      </c>
      <c r="B33" s="378"/>
      <c r="C33" s="378"/>
      <c r="D33" s="378"/>
      <c r="E33" s="378"/>
      <c r="F33" s="378"/>
      <c r="G33" s="378"/>
    </row>
    <row r="34" spans="1:7" ht="15.75">
      <c r="A34" s="378"/>
      <c r="B34" s="378"/>
      <c r="C34" s="378"/>
      <c r="D34" s="378"/>
      <c r="E34" s="378"/>
      <c r="F34" s="378"/>
      <c r="G34" s="378"/>
    </row>
    <row r="35" spans="1:7" ht="15.75">
      <c r="A35" s="377" t="s">
        <v>572</v>
      </c>
      <c r="B35" s="377"/>
      <c r="C35" s="377"/>
      <c r="D35" s="377"/>
      <c r="E35" s="377"/>
      <c r="F35" s="377"/>
      <c r="G35" s="377"/>
    </row>
    <row r="36" spans="1:7" ht="15.75">
      <c r="A36" s="377" t="s">
        <v>573</v>
      </c>
      <c r="B36" s="377"/>
      <c r="C36" s="377"/>
      <c r="D36" s="377"/>
      <c r="E36" s="377"/>
      <c r="F36" s="377"/>
      <c r="G36" s="377"/>
    </row>
    <row r="37" spans="1:7" ht="15.75">
      <c r="A37" s="377" t="s">
        <v>574</v>
      </c>
      <c r="B37" s="377"/>
      <c r="C37" s="377"/>
      <c r="D37" s="377"/>
      <c r="E37" s="377"/>
      <c r="F37" s="377"/>
      <c r="G37" s="377"/>
    </row>
    <row r="38" spans="1:7" ht="15.75">
      <c r="A38" s="377" t="s">
        <v>575</v>
      </c>
      <c r="B38" s="377"/>
      <c r="C38" s="377"/>
      <c r="D38" s="377"/>
      <c r="E38" s="377"/>
      <c r="F38" s="377"/>
      <c r="G38" s="377"/>
    </row>
    <row r="39" spans="1:7" ht="15.75">
      <c r="A39" s="377" t="s">
        <v>576</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540</v>
      </c>
      <c r="B42" s="377"/>
      <c r="C42" s="377"/>
      <c r="D42" s="377"/>
      <c r="E42" s="377"/>
      <c r="F42" s="377"/>
    </row>
    <row r="43" spans="1:6" ht="15.75">
      <c r="A43" s="381" t="s">
        <v>424</v>
      </c>
      <c r="B43" s="377"/>
      <c r="C43" s="377"/>
      <c r="D43" s="377"/>
      <c r="E43" s="377"/>
      <c r="F43" s="377"/>
    </row>
    <row r="44" spans="1:6" ht="15.75">
      <c r="A44" s="381" t="s">
        <v>425</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426</v>
      </c>
      <c r="B47" s="377"/>
      <c r="C47" s="377"/>
      <c r="D47" s="377"/>
      <c r="E47" s="377"/>
      <c r="F47" s="377"/>
    </row>
    <row r="48" spans="1:6" ht="15.75">
      <c r="A48" s="381" t="s">
        <v>427</v>
      </c>
      <c r="B48" s="377"/>
      <c r="C48" s="377"/>
      <c r="D48" s="377"/>
      <c r="E48" s="377"/>
      <c r="F48" s="377"/>
    </row>
    <row r="49" spans="1:7" ht="15.75">
      <c r="A49" s="377"/>
      <c r="B49" s="377"/>
      <c r="C49" s="377"/>
      <c r="D49" s="377"/>
      <c r="E49" s="377"/>
      <c r="F49" s="377"/>
      <c r="G49" s="377"/>
    </row>
    <row r="50" spans="1:7" ht="15.75">
      <c r="A50" s="377" t="s">
        <v>494</v>
      </c>
      <c r="B50" s="377"/>
      <c r="C50" s="377"/>
      <c r="D50" s="377"/>
      <c r="E50" s="377"/>
      <c r="F50" s="377"/>
      <c r="G50" s="377"/>
    </row>
    <row r="51" spans="1:7" ht="15.75">
      <c r="A51" s="377" t="s">
        <v>495</v>
      </c>
      <c r="B51" s="377"/>
      <c r="C51" s="377"/>
      <c r="D51" s="377"/>
      <c r="E51" s="377"/>
      <c r="F51" s="377"/>
      <c r="G51" s="377"/>
    </row>
    <row r="52" spans="1:7" ht="15.75">
      <c r="A52" s="377" t="s">
        <v>496</v>
      </c>
      <c r="B52" s="377"/>
      <c r="C52" s="377"/>
      <c r="D52" s="377"/>
      <c r="E52" s="377"/>
      <c r="F52" s="377"/>
      <c r="G52" s="377"/>
    </row>
    <row r="53" spans="1:7" ht="15.75">
      <c r="A53" s="377" t="s">
        <v>497</v>
      </c>
      <c r="B53" s="377"/>
      <c r="C53" s="377"/>
      <c r="D53" s="377"/>
      <c r="E53" s="377"/>
      <c r="F53" s="377"/>
      <c r="G53" s="377"/>
    </row>
    <row r="54" spans="1:7" ht="15.75">
      <c r="A54" s="377" t="s">
        <v>498</v>
      </c>
      <c r="B54" s="377"/>
      <c r="C54" s="377"/>
      <c r="D54" s="377"/>
      <c r="E54" s="377"/>
      <c r="F54" s="377"/>
      <c r="G54" s="377"/>
    </row>
    <row r="55" spans="1:7" ht="15.75">
      <c r="A55" s="377"/>
      <c r="B55" s="377"/>
      <c r="C55" s="377"/>
      <c r="D55" s="377"/>
      <c r="E55" s="377"/>
      <c r="F55" s="377"/>
      <c r="G55" s="377"/>
    </row>
    <row r="56" spans="1:6" ht="15.75">
      <c r="A56" s="381" t="s">
        <v>436</v>
      </c>
      <c r="B56" s="377"/>
      <c r="C56" s="377"/>
      <c r="D56" s="377"/>
      <c r="E56" s="377"/>
      <c r="F56" s="377"/>
    </row>
    <row r="57" spans="1:6" ht="15.75">
      <c r="A57" s="381" t="s">
        <v>437</v>
      </c>
      <c r="B57" s="377"/>
      <c r="C57" s="377"/>
      <c r="D57" s="377"/>
      <c r="E57" s="377"/>
      <c r="F57" s="377"/>
    </row>
    <row r="58" spans="1:6" ht="15.75">
      <c r="A58" s="381" t="s">
        <v>438</v>
      </c>
      <c r="B58" s="377"/>
      <c r="C58" s="377"/>
      <c r="D58" s="377"/>
      <c r="E58" s="377"/>
      <c r="F58" s="377"/>
    </row>
    <row r="59" spans="1:6" ht="15.75">
      <c r="A59" s="381"/>
      <c r="B59" s="377"/>
      <c r="C59" s="377"/>
      <c r="D59" s="377"/>
      <c r="E59" s="377"/>
      <c r="F59" s="377"/>
    </row>
    <row r="60" spans="1:7" ht="15.75">
      <c r="A60" s="377" t="s">
        <v>577</v>
      </c>
      <c r="B60" s="377"/>
      <c r="C60" s="377"/>
      <c r="D60" s="377"/>
      <c r="E60" s="377"/>
      <c r="F60" s="377"/>
      <c r="G60" s="377"/>
    </row>
    <row r="61" spans="1:7" ht="15.75">
      <c r="A61" s="377" t="s">
        <v>578</v>
      </c>
      <c r="B61" s="377"/>
      <c r="C61" s="377"/>
      <c r="D61" s="377"/>
      <c r="E61" s="377"/>
      <c r="F61" s="377"/>
      <c r="G61" s="377"/>
    </row>
    <row r="62" spans="1:7" ht="15.75">
      <c r="A62" s="377" t="s">
        <v>579</v>
      </c>
      <c r="B62" s="377"/>
      <c r="C62" s="377"/>
      <c r="D62" s="377"/>
      <c r="E62" s="377"/>
      <c r="F62" s="377"/>
      <c r="G62" s="377"/>
    </row>
    <row r="63" spans="1:7" ht="15.75">
      <c r="A63" s="377" t="s">
        <v>580</v>
      </c>
      <c r="B63" s="377"/>
      <c r="C63" s="377"/>
      <c r="D63" s="377"/>
      <c r="E63" s="377"/>
      <c r="F63" s="377"/>
      <c r="G63" s="377"/>
    </row>
    <row r="64" spans="1:7" ht="15.75">
      <c r="A64" s="377" t="s">
        <v>581</v>
      </c>
      <c r="B64" s="377"/>
      <c r="C64" s="377"/>
      <c r="D64" s="377"/>
      <c r="E64" s="377"/>
      <c r="F64" s="377"/>
      <c r="G64" s="377"/>
    </row>
    <row r="66" spans="1:6" ht="15.75">
      <c r="A66" s="381" t="s">
        <v>544</v>
      </c>
      <c r="B66" s="377"/>
      <c r="C66" s="377"/>
      <c r="D66" s="377"/>
      <c r="E66" s="377"/>
      <c r="F66" s="377"/>
    </row>
    <row r="67" spans="1:6" ht="15.75">
      <c r="A67" s="381" t="s">
        <v>545</v>
      </c>
      <c r="B67" s="377"/>
      <c r="C67" s="377"/>
      <c r="D67" s="377"/>
      <c r="E67" s="377"/>
      <c r="F67" s="377"/>
    </row>
    <row r="68" spans="1:6" ht="15.75">
      <c r="A68" s="381" t="s">
        <v>546</v>
      </c>
      <c r="B68" s="377"/>
      <c r="C68" s="377"/>
      <c r="D68" s="377"/>
      <c r="E68" s="377"/>
      <c r="F68" s="377"/>
    </row>
    <row r="69" spans="1:6" ht="15.75">
      <c r="A69" s="381" t="s">
        <v>547</v>
      </c>
      <c r="B69" s="377"/>
      <c r="C69" s="377"/>
      <c r="D69" s="377"/>
      <c r="E69" s="377"/>
      <c r="F69" s="377"/>
    </row>
    <row r="70" spans="1:6" ht="15.75">
      <c r="A70" s="381" t="s">
        <v>548</v>
      </c>
      <c r="B70" s="377"/>
      <c r="C70" s="377"/>
      <c r="D70" s="377"/>
      <c r="E70" s="377"/>
      <c r="F70" s="377"/>
    </row>
    <row r="71" ht="15.75">
      <c r="A71" s="377"/>
    </row>
    <row r="72" ht="15.75">
      <c r="A72" s="377" t="s">
        <v>465</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60" zoomScaleNormal="60" zoomScalePageLayoutView="0" workbookViewId="0" topLeftCell="A1">
      <selection activeCell="E10" sqref="E10"/>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952</v>
      </c>
      <c r="E3" s="70"/>
    </row>
    <row r="4" spans="1:5" ht="15.75">
      <c r="A4" s="155" t="s">
        <v>224</v>
      </c>
      <c r="B4" s="65"/>
      <c r="C4" s="65"/>
      <c r="D4" s="156" t="s">
        <v>951</v>
      </c>
      <c r="E4" s="70"/>
    </row>
    <row r="5" spans="1:5" ht="15.75">
      <c r="A5" s="65"/>
      <c r="B5" s="65"/>
      <c r="C5" s="65"/>
      <c r="D5" s="65"/>
      <c r="E5" s="65"/>
    </row>
    <row r="6" spans="1:5" ht="15.75">
      <c r="A6" s="157" t="s">
        <v>146</v>
      </c>
      <c r="B6" s="65"/>
      <c r="C6" s="65"/>
      <c r="D6" s="365" t="s">
        <v>953</v>
      </c>
      <c r="E6" s="65"/>
    </row>
    <row r="7" spans="1:5" ht="15.75">
      <c r="A7" s="157" t="s">
        <v>147</v>
      </c>
      <c r="B7" s="65"/>
      <c r="C7" s="65"/>
      <c r="D7" s="109"/>
      <c r="E7" s="65"/>
    </row>
    <row r="8" spans="1:5" ht="15.75">
      <c r="A8" s="65"/>
      <c r="B8" s="65"/>
      <c r="C8" s="65"/>
      <c r="D8" s="65"/>
      <c r="E8" s="65"/>
    </row>
    <row r="9" spans="1:5" ht="15.75">
      <c r="A9" s="157" t="s">
        <v>94</v>
      </c>
      <c r="B9" s="65"/>
      <c r="C9" s="65"/>
      <c r="D9" s="158">
        <v>2014</v>
      </c>
      <c r="E9" s="65"/>
    </row>
    <row r="10" spans="1:5" ht="15.75">
      <c r="A10" s="65"/>
      <c r="B10" s="65"/>
      <c r="C10" s="65"/>
      <c r="D10" s="65"/>
      <c r="E10" s="65"/>
    </row>
    <row r="11" spans="1:8" ht="15.75">
      <c r="A11" s="159" t="s">
        <v>96</v>
      </c>
      <c r="B11" s="160"/>
      <c r="C11" s="160"/>
      <c r="D11" s="160"/>
      <c r="E11" s="160"/>
      <c r="F11" s="65"/>
      <c r="G11" s="747" t="s">
        <v>801</v>
      </c>
      <c r="H11" s="748"/>
    </row>
    <row r="12" spans="1:8" ht="15.75">
      <c r="A12" s="159" t="s">
        <v>163</v>
      </c>
      <c r="B12" s="160"/>
      <c r="C12" s="160"/>
      <c r="D12" s="160"/>
      <c r="E12" s="160"/>
      <c r="F12" s="65"/>
      <c r="G12" s="749"/>
      <c r="H12" s="748"/>
    </row>
    <row r="13" spans="1:8" ht="15.75">
      <c r="A13" s="65"/>
      <c r="B13" s="65"/>
      <c r="C13" s="65"/>
      <c r="D13" s="65"/>
      <c r="E13" s="65"/>
      <c r="F13" s="65"/>
      <c r="G13" s="749"/>
      <c r="H13" s="748"/>
    </row>
    <row r="14" spans="1:8" ht="15.75">
      <c r="A14" s="745" t="s">
        <v>106</v>
      </c>
      <c r="B14" s="746"/>
      <c r="C14" s="746"/>
      <c r="D14" s="746"/>
      <c r="E14" s="746"/>
      <c r="F14" s="65"/>
      <c r="G14" s="749"/>
      <c r="H14" s="748"/>
    </row>
    <row r="15" spans="1:8" ht="15.75">
      <c r="A15" s="155"/>
      <c r="B15" s="65"/>
      <c r="C15" s="65"/>
      <c r="D15" s="65"/>
      <c r="E15" s="65"/>
      <c r="F15" s="65"/>
      <c r="G15" s="749"/>
      <c r="H15" s="748"/>
    </row>
    <row r="16" spans="1:8" ht="15.75">
      <c r="A16" s="161" t="s">
        <v>95</v>
      </c>
      <c r="B16" s="162"/>
      <c r="C16" s="65"/>
      <c r="D16" s="68"/>
      <c r="E16" s="163"/>
      <c r="F16" s="65"/>
      <c r="G16" s="749"/>
      <c r="H16" s="748"/>
    </row>
    <row r="17" spans="1:8" ht="15.75">
      <c r="A17" s="164" t="str">
        <f>CONCATENATE("the ",D9-1," Budget, Certificate Page:")</f>
        <v>the 2013 Budget, Certificate Page:</v>
      </c>
      <c r="B17" s="165"/>
      <c r="C17" s="68"/>
      <c r="D17" s="65"/>
      <c r="E17" s="65"/>
      <c r="F17" s="65"/>
      <c r="G17" s="70"/>
      <c r="H17" s="585"/>
    </row>
    <row r="18" spans="1:8" ht="15.75">
      <c r="A18" s="164" t="s">
        <v>321</v>
      </c>
      <c r="B18" s="165"/>
      <c r="C18" s="68"/>
      <c r="D18" s="166">
        <f>D9-1</f>
        <v>2013</v>
      </c>
      <c r="E18" s="166">
        <f>D9-2</f>
        <v>2012</v>
      </c>
      <c r="G18" s="227" t="s">
        <v>802</v>
      </c>
      <c r="H18" s="87" t="s">
        <v>289</v>
      </c>
    </row>
    <row r="19" spans="1:8" ht="15.75">
      <c r="A19" s="71" t="s">
        <v>237</v>
      </c>
      <c r="B19" s="65"/>
      <c r="C19" s="167" t="s">
        <v>236</v>
      </c>
      <c r="D19" s="168" t="s">
        <v>352</v>
      </c>
      <c r="E19" s="168" t="s">
        <v>276</v>
      </c>
      <c r="G19" s="229" t="str">
        <f>CONCATENATE("",E18," Ad Valorem Tax")</f>
        <v>2012 Ad Valorem Tax</v>
      </c>
      <c r="H19" s="586">
        <v>0</v>
      </c>
    </row>
    <row r="20" spans="1:7" ht="15.75">
      <c r="A20" s="65"/>
      <c r="B20" s="103" t="s">
        <v>238</v>
      </c>
      <c r="C20" s="82" t="s">
        <v>239</v>
      </c>
      <c r="D20" s="169">
        <v>8159</v>
      </c>
      <c r="E20" s="169">
        <v>3574</v>
      </c>
      <c r="G20" s="259">
        <f>IF(H19&gt;0,ROUND(E20-(E20*H19),0),0)</f>
        <v>0</v>
      </c>
    </row>
    <row r="21" spans="1:7" ht="15.75">
      <c r="A21" s="65"/>
      <c r="B21" s="103" t="s">
        <v>310</v>
      </c>
      <c r="C21" s="82" t="s">
        <v>101</v>
      </c>
      <c r="D21" s="169"/>
      <c r="E21" s="169"/>
      <c r="G21" s="259">
        <f>IF(H19&gt;0,ROUND(E21-(E21*H19),0),0)</f>
        <v>0</v>
      </c>
    </row>
    <row r="22" spans="1:7" ht="15.75">
      <c r="A22" s="65"/>
      <c r="B22" s="103" t="s">
        <v>774</v>
      </c>
      <c r="C22" s="82" t="s">
        <v>775</v>
      </c>
      <c r="D22" s="169"/>
      <c r="E22" s="169"/>
      <c r="G22" s="259">
        <f>IF(H19&gt;0,ROUND(E22-(E22*H19),0),0)</f>
        <v>0</v>
      </c>
    </row>
    <row r="23" spans="1:7" ht="15.75">
      <c r="A23" s="65"/>
      <c r="B23" s="103" t="s">
        <v>240</v>
      </c>
      <c r="C23" s="170" t="s">
        <v>226</v>
      </c>
      <c r="D23" s="169"/>
      <c r="E23" s="169"/>
      <c r="G23" s="259">
        <f>IF(H19&gt;0,ROUND(E23-(E23*H19),0),0)</f>
        <v>0</v>
      </c>
    </row>
    <row r="24" spans="1:7" ht="15.75">
      <c r="A24" s="65"/>
      <c r="B24" s="103" t="s">
        <v>319</v>
      </c>
      <c r="C24" s="87" t="s">
        <v>320</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380</v>
      </c>
      <c r="C26" s="87" t="s">
        <v>381</v>
      </c>
      <c r="D26" s="169"/>
      <c r="E26" s="169"/>
      <c r="G26" s="259">
        <f>IF(H19&gt;0,ROUND(E26-(E26*H19),0),0)</f>
        <v>0</v>
      </c>
    </row>
    <row r="27" spans="1:7" ht="15.75">
      <c r="A27" s="65"/>
      <c r="B27" s="171" t="s">
        <v>941</v>
      </c>
      <c r="C27" s="485" t="s">
        <v>775</v>
      </c>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7"/>
    </row>
    <row r="31" spans="1:8" ht="15.75">
      <c r="A31" s="65"/>
      <c r="B31" s="171"/>
      <c r="C31" s="485"/>
      <c r="D31" s="169"/>
      <c r="E31" s="169"/>
      <c r="G31" s="259">
        <f>IF(H19&gt;0,ROUND(E31-(E31*H19),0),0)</f>
        <v>0</v>
      </c>
      <c r="H31" s="587"/>
    </row>
    <row r="32" spans="1:5" ht="15.75">
      <c r="A32" s="172" t="str">
        <f>CONCATENATE("Total Ad Valorem Tax for ",D9-1,"")</f>
        <v>Total Ad Valorem Tax for 2013</v>
      </c>
      <c r="B32" s="77"/>
      <c r="C32" s="173"/>
      <c r="D32" s="174"/>
      <c r="E32" s="175">
        <f>SUM(E20:E31)</f>
        <v>3574</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8159</v>
      </c>
      <c r="E39" s="65"/>
    </row>
    <row r="40" spans="1:5" ht="15.75">
      <c r="A40" s="106" t="s">
        <v>347</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3" t="str">
        <f>CONCATENATE("",D9-3," Tax Rate         (",D9-2," Column)")</f>
        <v>2011 Tax Rate         (2012 Column)</v>
      </c>
      <c r="E47" s="65"/>
    </row>
    <row r="48" spans="1:5" ht="15.75">
      <c r="A48" s="164" t="str">
        <f>CONCATENATE("the ",D9-1," Budget, Budget Summary Page:")</f>
        <v>the 2013 Budget, Budget Summary Page:</v>
      </c>
      <c r="B48" s="181"/>
      <c r="C48" s="65"/>
      <c r="D48" s="744"/>
      <c r="E48" s="65"/>
    </row>
    <row r="49" spans="1:5" ht="15.75">
      <c r="A49" s="65"/>
      <c r="B49" s="89" t="str">
        <f>B20</f>
        <v>General</v>
      </c>
      <c r="C49" s="65"/>
      <c r="D49" s="182">
        <v>0.207</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t="str">
        <f t="shared" si="0"/>
        <v>Cemetery</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0.207</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3549</v>
      </c>
    </row>
    <row r="64" spans="1:5" ht="15.75">
      <c r="A64" s="186" t="str">
        <f>CONCATENATE("Assessed Valuation (",D9-2," budget column):")</f>
        <v>Assessed Valuation (2012 budget column):</v>
      </c>
      <c r="B64" s="162"/>
      <c r="C64" s="65"/>
      <c r="D64" s="65"/>
      <c r="E64" s="187">
        <v>17114213</v>
      </c>
    </row>
    <row r="65" spans="1:5" ht="15.75">
      <c r="A65" s="65"/>
      <c r="B65" s="65"/>
      <c r="C65" s="65"/>
      <c r="D65" s="65"/>
      <c r="E65" s="188"/>
    </row>
    <row r="66" spans="1:5" ht="15.75">
      <c r="A66" s="189" t="s">
        <v>164</v>
      </c>
      <c r="B66" s="189"/>
      <c r="C66" s="190"/>
      <c r="D66" s="191">
        <f>D9-3</f>
        <v>2011</v>
      </c>
      <c r="E66" s="191">
        <f>D9-2</f>
        <v>2012</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582</v>
      </c>
      <c r="B3" s="376"/>
      <c r="C3" s="376"/>
      <c r="D3" s="376"/>
      <c r="E3" s="376"/>
      <c r="F3" s="376"/>
      <c r="G3" s="376"/>
    </row>
    <row r="4" spans="1:7" ht="15.75">
      <c r="A4" s="376" t="s">
        <v>583</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410</v>
      </c>
    </row>
    <row r="8" ht="15.75">
      <c r="A8" s="377" t="str">
        <f>CONCATENATE("estimated ",inputPrYr!D9," 'total expenditures' exceed your ",inputPrYr!D9,"")</f>
        <v>estimated 2014 'total expenditures' exceed your 2014</v>
      </c>
    </row>
    <row r="9" ht="15.75">
      <c r="A9" s="380" t="s">
        <v>584</v>
      </c>
    </row>
    <row r="10" ht="15.75">
      <c r="A10" s="377"/>
    </row>
    <row r="11" ht="15.75">
      <c r="A11" s="377" t="s">
        <v>585</v>
      </c>
    </row>
    <row r="12" ht="15.75">
      <c r="A12" s="377" t="s">
        <v>586</v>
      </c>
    </row>
    <row r="13" ht="15.75">
      <c r="A13" s="377" t="s">
        <v>587</v>
      </c>
    </row>
    <row r="14" ht="15.75">
      <c r="A14" s="377"/>
    </row>
    <row r="15" ht="15.75">
      <c r="A15" s="378" t="s">
        <v>588</v>
      </c>
    </row>
    <row r="16" spans="1:7" ht="15.75">
      <c r="A16" s="376"/>
      <c r="B16" s="376"/>
      <c r="C16" s="376"/>
      <c r="D16" s="376"/>
      <c r="E16" s="376"/>
      <c r="F16" s="376"/>
      <c r="G16" s="376"/>
    </row>
    <row r="17" spans="1:8" ht="15.75">
      <c r="A17" s="383" t="s">
        <v>589</v>
      </c>
      <c r="B17" s="375"/>
      <c r="C17" s="375"/>
      <c r="D17" s="375"/>
      <c r="E17" s="375"/>
      <c r="F17" s="375"/>
      <c r="G17" s="375"/>
      <c r="H17" s="375"/>
    </row>
    <row r="18" spans="1:7" ht="15.75">
      <c r="A18" s="377" t="s">
        <v>590</v>
      </c>
      <c r="B18" s="384"/>
      <c r="C18" s="384"/>
      <c r="D18" s="384"/>
      <c r="E18" s="384"/>
      <c r="F18" s="384"/>
      <c r="G18" s="384"/>
    </row>
    <row r="19" ht="15.75">
      <c r="A19" s="377" t="s">
        <v>591</v>
      </c>
    </row>
    <row r="20" ht="15.75">
      <c r="A20" s="377" t="s">
        <v>592</v>
      </c>
    </row>
    <row r="22" ht="15.75">
      <c r="A22" s="378" t="s">
        <v>593</v>
      </c>
    </row>
    <row r="24" ht="15.75">
      <c r="A24" s="377" t="s">
        <v>594</v>
      </c>
    </row>
    <row r="25" ht="15.75">
      <c r="A25" s="377" t="s">
        <v>595</v>
      </c>
    </row>
    <row r="26" ht="15.75">
      <c r="A26" s="377" t="s">
        <v>596</v>
      </c>
    </row>
    <row r="28" ht="15.75">
      <c r="A28" s="378" t="s">
        <v>597</v>
      </c>
    </row>
    <row r="30" ht="15.75">
      <c r="A30" t="s">
        <v>598</v>
      </c>
    </row>
    <row r="31" ht="15.75">
      <c r="A31" t="s">
        <v>599</v>
      </c>
    </row>
    <row r="32" ht="15.75">
      <c r="A32" t="s">
        <v>600</v>
      </c>
    </row>
    <row r="33" ht="15.75">
      <c r="A33" s="377" t="s">
        <v>601</v>
      </c>
    </row>
    <row r="35" ht="15.75">
      <c r="A35" t="s">
        <v>602</v>
      </c>
    </row>
    <row r="36" ht="15.75">
      <c r="A36" t="s">
        <v>603</v>
      </c>
    </row>
    <row r="37" ht="15.75">
      <c r="A37" t="s">
        <v>604</v>
      </c>
    </row>
    <row r="38" ht="15.75">
      <c r="A38" t="s">
        <v>605</v>
      </c>
    </row>
    <row r="40" ht="15.75">
      <c r="A40" t="s">
        <v>606</v>
      </c>
    </row>
    <row r="41" ht="15.75">
      <c r="A41" t="s">
        <v>607</v>
      </c>
    </row>
    <row r="42" ht="15.75">
      <c r="A42" t="s">
        <v>608</v>
      </c>
    </row>
    <row r="43" ht="15.75">
      <c r="A43" t="s">
        <v>609</v>
      </c>
    </row>
    <row r="44" ht="15.75">
      <c r="A44" t="s">
        <v>610</v>
      </c>
    </row>
    <row r="45" ht="15.75">
      <c r="A45" t="s">
        <v>611</v>
      </c>
    </row>
    <row r="47" ht="15.75">
      <c r="A47" t="s">
        <v>612</v>
      </c>
    </row>
    <row r="48" ht="15.75">
      <c r="A48" t="s">
        <v>613</v>
      </c>
    </row>
    <row r="49" ht="15.75">
      <c r="A49" s="377" t="s">
        <v>614</v>
      </c>
    </row>
    <row r="50" ht="15.75">
      <c r="A50" s="377" t="s">
        <v>615</v>
      </c>
    </row>
    <row r="52" ht="15.75">
      <c r="A52" t="s">
        <v>465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45" t="s">
        <v>657</v>
      </c>
      <c r="C6" s="856"/>
      <c r="D6" s="856"/>
      <c r="E6" s="856"/>
      <c r="F6" s="856"/>
      <c r="G6" s="856"/>
      <c r="H6" s="856"/>
      <c r="I6" s="856"/>
      <c r="J6" s="856"/>
      <c r="K6" s="856"/>
      <c r="L6" s="399"/>
    </row>
    <row r="7" spans="1:12" ht="40.5" customHeight="1">
      <c r="A7" s="397"/>
      <c r="B7" s="865" t="s">
        <v>658</v>
      </c>
      <c r="C7" s="866"/>
      <c r="D7" s="866"/>
      <c r="E7" s="866"/>
      <c r="F7" s="866"/>
      <c r="G7" s="866"/>
      <c r="H7" s="866"/>
      <c r="I7" s="866"/>
      <c r="J7" s="866"/>
      <c r="K7" s="866"/>
      <c r="L7" s="397"/>
    </row>
    <row r="8" spans="1:12" ht="14.25">
      <c r="A8" s="397"/>
      <c r="B8" s="858" t="s">
        <v>659</v>
      </c>
      <c r="C8" s="858"/>
      <c r="D8" s="858"/>
      <c r="E8" s="858"/>
      <c r="F8" s="858"/>
      <c r="G8" s="858"/>
      <c r="H8" s="858"/>
      <c r="I8" s="858"/>
      <c r="J8" s="858"/>
      <c r="K8" s="858"/>
      <c r="L8" s="397"/>
    </row>
    <row r="9" spans="1:12" ht="14.25">
      <c r="A9" s="397"/>
      <c r="L9" s="397"/>
    </row>
    <row r="10" spans="1:12" ht="14.25">
      <c r="A10" s="397"/>
      <c r="B10" s="858" t="s">
        <v>660</v>
      </c>
      <c r="C10" s="858"/>
      <c r="D10" s="858"/>
      <c r="E10" s="858"/>
      <c r="F10" s="858"/>
      <c r="G10" s="858"/>
      <c r="H10" s="858"/>
      <c r="I10" s="858"/>
      <c r="J10" s="858"/>
      <c r="K10" s="858"/>
      <c r="L10" s="397"/>
    </row>
    <row r="11" spans="1:12" ht="14.25">
      <c r="A11" s="397"/>
      <c r="B11" s="400"/>
      <c r="C11" s="400"/>
      <c r="D11" s="400"/>
      <c r="E11" s="400"/>
      <c r="F11" s="400"/>
      <c r="G11" s="400"/>
      <c r="H11" s="400"/>
      <c r="I11" s="400"/>
      <c r="J11" s="400"/>
      <c r="K11" s="400"/>
      <c r="L11" s="397"/>
    </row>
    <row r="12" spans="1:12" ht="32.25" customHeight="1">
      <c r="A12" s="397"/>
      <c r="B12" s="846" t="s">
        <v>661</v>
      </c>
      <c r="C12" s="846"/>
      <c r="D12" s="846"/>
      <c r="E12" s="846"/>
      <c r="F12" s="846"/>
      <c r="G12" s="846"/>
      <c r="H12" s="846"/>
      <c r="I12" s="846"/>
      <c r="J12" s="846"/>
      <c r="K12" s="846"/>
      <c r="L12" s="397"/>
    </row>
    <row r="13" spans="1:12" ht="14.25">
      <c r="A13" s="397"/>
      <c r="L13" s="397"/>
    </row>
    <row r="14" spans="1:12" ht="14.25">
      <c r="A14" s="397"/>
      <c r="B14" s="401" t="s">
        <v>662</v>
      </c>
      <c r="L14" s="397"/>
    </row>
    <row r="15" spans="1:12" ht="14.25">
      <c r="A15" s="397"/>
      <c r="L15" s="397"/>
    </row>
    <row r="16" spans="1:12" ht="14.25">
      <c r="A16" s="397"/>
      <c r="B16" s="398" t="s">
        <v>663</v>
      </c>
      <c r="L16" s="397"/>
    </row>
    <row r="17" spans="1:12" ht="14.25">
      <c r="A17" s="397"/>
      <c r="B17" s="398" t="s">
        <v>664</v>
      </c>
      <c r="L17" s="397"/>
    </row>
    <row r="18" spans="1:12" ht="14.25">
      <c r="A18" s="397"/>
      <c r="L18" s="397"/>
    </row>
    <row r="19" spans="1:12" ht="14.25">
      <c r="A19" s="397"/>
      <c r="B19" s="401" t="s">
        <v>665</v>
      </c>
      <c r="L19" s="397"/>
    </row>
    <row r="20" spans="1:12" ht="14.25">
      <c r="A20" s="397"/>
      <c r="B20" s="401"/>
      <c r="L20" s="397"/>
    </row>
    <row r="21" spans="1:12" ht="14.25">
      <c r="A21" s="397"/>
      <c r="B21" s="398" t="s">
        <v>666</v>
      </c>
      <c r="L21" s="397"/>
    </row>
    <row r="22" spans="1:12" ht="14.25">
      <c r="A22" s="397"/>
      <c r="L22" s="397"/>
    </row>
    <row r="23" spans="1:12" ht="14.25">
      <c r="A23" s="397"/>
      <c r="B23" s="398" t="s">
        <v>667</v>
      </c>
      <c r="E23" s="398" t="s">
        <v>668</v>
      </c>
      <c r="F23" s="848">
        <v>133685008</v>
      </c>
      <c r="G23" s="848"/>
      <c r="L23" s="397"/>
    </row>
    <row r="24" spans="1:12" ht="14.25">
      <c r="A24" s="397"/>
      <c r="L24" s="397"/>
    </row>
    <row r="25" spans="1:12" ht="14.25">
      <c r="A25" s="397"/>
      <c r="C25" s="859">
        <f>F23</f>
        <v>133685008</v>
      </c>
      <c r="D25" s="859"/>
      <c r="E25" s="398" t="s">
        <v>669</v>
      </c>
      <c r="F25" s="402">
        <v>1000</v>
      </c>
      <c r="G25" s="402" t="s">
        <v>668</v>
      </c>
      <c r="H25" s="403">
        <f>F23/F25</f>
        <v>133685.008</v>
      </c>
      <c r="L25" s="397"/>
    </row>
    <row r="26" spans="1:12" ht="15" thickBot="1">
      <c r="A26" s="397"/>
      <c r="L26" s="397"/>
    </row>
    <row r="27" spans="1:12" ht="14.25">
      <c r="A27" s="397"/>
      <c r="B27" s="404" t="s">
        <v>662</v>
      </c>
      <c r="C27" s="405"/>
      <c r="D27" s="405"/>
      <c r="E27" s="405"/>
      <c r="F27" s="405"/>
      <c r="G27" s="405"/>
      <c r="H27" s="405"/>
      <c r="I27" s="405"/>
      <c r="J27" s="405"/>
      <c r="K27" s="406"/>
      <c r="L27" s="397"/>
    </row>
    <row r="28" spans="1:12" ht="14.25">
      <c r="A28" s="397"/>
      <c r="B28" s="407">
        <f>F23</f>
        <v>133685008</v>
      </c>
      <c r="C28" s="408" t="s">
        <v>670</v>
      </c>
      <c r="D28" s="408"/>
      <c r="E28" s="408" t="s">
        <v>669</v>
      </c>
      <c r="F28" s="409">
        <v>1000</v>
      </c>
      <c r="G28" s="409" t="s">
        <v>668</v>
      </c>
      <c r="H28" s="410">
        <f>B28/F28</f>
        <v>133685.008</v>
      </c>
      <c r="I28" s="408" t="s">
        <v>671</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53" t="s">
        <v>658</v>
      </c>
      <c r="C30" s="853"/>
      <c r="D30" s="853"/>
      <c r="E30" s="853"/>
      <c r="F30" s="853"/>
      <c r="G30" s="853"/>
      <c r="H30" s="853"/>
      <c r="I30" s="853"/>
      <c r="J30" s="853"/>
      <c r="K30" s="853"/>
      <c r="L30" s="397"/>
    </row>
    <row r="31" spans="1:12" ht="14.25">
      <c r="A31" s="397"/>
      <c r="B31" s="858" t="s">
        <v>672</v>
      </c>
      <c r="C31" s="858"/>
      <c r="D31" s="858"/>
      <c r="E31" s="858"/>
      <c r="F31" s="858"/>
      <c r="G31" s="858"/>
      <c r="H31" s="858"/>
      <c r="I31" s="858"/>
      <c r="J31" s="858"/>
      <c r="K31" s="858"/>
      <c r="L31" s="397"/>
    </row>
    <row r="32" spans="1:12" ht="14.25">
      <c r="A32" s="397"/>
      <c r="L32" s="397"/>
    </row>
    <row r="33" spans="1:12" ht="14.25">
      <c r="A33" s="397"/>
      <c r="B33" s="858" t="s">
        <v>673</v>
      </c>
      <c r="C33" s="858"/>
      <c r="D33" s="858"/>
      <c r="E33" s="858"/>
      <c r="F33" s="858"/>
      <c r="G33" s="858"/>
      <c r="H33" s="858"/>
      <c r="I33" s="858"/>
      <c r="J33" s="858"/>
      <c r="K33" s="858"/>
      <c r="L33" s="397"/>
    </row>
    <row r="34" spans="1:12" ht="14.25">
      <c r="A34" s="397"/>
      <c r="L34" s="397"/>
    </row>
    <row r="35" spans="1:12" ht="89.25" customHeight="1">
      <c r="A35" s="397"/>
      <c r="B35" s="846" t="s">
        <v>674</v>
      </c>
      <c r="C35" s="851"/>
      <c r="D35" s="851"/>
      <c r="E35" s="851"/>
      <c r="F35" s="851"/>
      <c r="G35" s="851"/>
      <c r="H35" s="851"/>
      <c r="I35" s="851"/>
      <c r="J35" s="851"/>
      <c r="K35" s="851"/>
      <c r="L35" s="397"/>
    </row>
    <row r="36" spans="1:12" ht="14.25">
      <c r="A36" s="397"/>
      <c r="L36" s="397"/>
    </row>
    <row r="37" spans="1:12" ht="14.25">
      <c r="A37" s="397"/>
      <c r="B37" s="401" t="s">
        <v>675</v>
      </c>
      <c r="L37" s="397"/>
    </row>
    <row r="38" spans="1:12" ht="14.25">
      <c r="A38" s="397"/>
      <c r="L38" s="397"/>
    </row>
    <row r="39" spans="1:12" ht="14.25">
      <c r="A39" s="397"/>
      <c r="B39" s="398" t="s">
        <v>676</v>
      </c>
      <c r="L39" s="397"/>
    </row>
    <row r="40" spans="1:12" ht="14.25">
      <c r="A40" s="397"/>
      <c r="L40" s="397"/>
    </row>
    <row r="41" spans="1:12" ht="14.25">
      <c r="A41" s="397"/>
      <c r="C41" s="860">
        <v>3120000</v>
      </c>
      <c r="D41" s="860"/>
      <c r="E41" s="398" t="s">
        <v>669</v>
      </c>
      <c r="F41" s="402">
        <v>1000</v>
      </c>
      <c r="G41" s="402" t="s">
        <v>668</v>
      </c>
      <c r="H41" s="415">
        <f>C41/F41</f>
        <v>3120</v>
      </c>
      <c r="L41" s="397"/>
    </row>
    <row r="42" spans="1:12" ht="14.25">
      <c r="A42" s="397"/>
      <c r="L42" s="397"/>
    </row>
    <row r="43" spans="1:12" ht="14.25">
      <c r="A43" s="397"/>
      <c r="B43" s="398" t="s">
        <v>677</v>
      </c>
      <c r="L43" s="397"/>
    </row>
    <row r="44" spans="1:12" ht="14.25">
      <c r="A44" s="397"/>
      <c r="L44" s="397"/>
    </row>
    <row r="45" spans="1:12" ht="14.25">
      <c r="A45" s="397"/>
      <c r="B45" s="398" t="s">
        <v>678</v>
      </c>
      <c r="L45" s="397"/>
    </row>
    <row r="46" spans="1:12" ht="15" thickBot="1">
      <c r="A46" s="397"/>
      <c r="L46" s="397"/>
    </row>
    <row r="47" spans="1:12" ht="14.25">
      <c r="A47" s="397"/>
      <c r="B47" s="416" t="s">
        <v>662</v>
      </c>
      <c r="C47" s="405"/>
      <c r="D47" s="405"/>
      <c r="E47" s="405"/>
      <c r="F47" s="405"/>
      <c r="G47" s="405"/>
      <c r="H47" s="405"/>
      <c r="I47" s="405"/>
      <c r="J47" s="405"/>
      <c r="K47" s="406"/>
      <c r="L47" s="397"/>
    </row>
    <row r="48" spans="1:12" ht="14.25">
      <c r="A48" s="397"/>
      <c r="B48" s="848">
        <v>133685008</v>
      </c>
      <c r="C48" s="848"/>
      <c r="D48" s="408" t="s">
        <v>679</v>
      </c>
      <c r="E48" s="408" t="s">
        <v>669</v>
      </c>
      <c r="F48" s="409">
        <v>1000</v>
      </c>
      <c r="G48" s="409" t="s">
        <v>668</v>
      </c>
      <c r="H48" s="410">
        <f>B48/F48</f>
        <v>133685.008</v>
      </c>
      <c r="I48" s="408" t="s">
        <v>680</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681</v>
      </c>
      <c r="D50" s="408"/>
      <c r="E50" s="408" t="s">
        <v>669</v>
      </c>
      <c r="F50" s="410">
        <f>H48</f>
        <v>133685.008</v>
      </c>
      <c r="G50" s="861" t="s">
        <v>682</v>
      </c>
      <c r="H50" s="862"/>
      <c r="I50" s="409" t="s">
        <v>668</v>
      </c>
      <c r="J50" s="419">
        <f>B50/F50</f>
        <v>52.8690023342034</v>
      </c>
      <c r="K50" s="411"/>
      <c r="L50" s="397"/>
    </row>
    <row r="51" spans="1:15" ht="15" thickBot="1">
      <c r="A51" s="397"/>
      <c r="B51" s="412"/>
      <c r="C51" s="413"/>
      <c r="D51" s="413"/>
      <c r="E51" s="413"/>
      <c r="F51" s="413"/>
      <c r="G51" s="413"/>
      <c r="H51" s="413"/>
      <c r="I51" s="863" t="s">
        <v>683</v>
      </c>
      <c r="J51" s="863"/>
      <c r="K51" s="864"/>
      <c r="L51" s="397"/>
      <c r="O51" s="420"/>
    </row>
    <row r="52" spans="1:12" ht="40.5" customHeight="1">
      <c r="A52" s="397"/>
      <c r="B52" s="853" t="s">
        <v>658</v>
      </c>
      <c r="C52" s="853"/>
      <c r="D52" s="853"/>
      <c r="E52" s="853"/>
      <c r="F52" s="853"/>
      <c r="G52" s="853"/>
      <c r="H52" s="853"/>
      <c r="I52" s="853"/>
      <c r="J52" s="853"/>
      <c r="K52" s="853"/>
      <c r="L52" s="397"/>
    </row>
    <row r="53" spans="1:12" ht="14.25">
      <c r="A53" s="397"/>
      <c r="B53" s="858" t="s">
        <v>684</v>
      </c>
      <c r="C53" s="858"/>
      <c r="D53" s="858"/>
      <c r="E53" s="858"/>
      <c r="F53" s="858"/>
      <c r="G53" s="858"/>
      <c r="H53" s="858"/>
      <c r="I53" s="858"/>
      <c r="J53" s="858"/>
      <c r="K53" s="858"/>
      <c r="L53" s="397"/>
    </row>
    <row r="54" spans="1:12" ht="14.25">
      <c r="A54" s="397"/>
      <c r="B54" s="400"/>
      <c r="C54" s="400"/>
      <c r="D54" s="400"/>
      <c r="E54" s="400"/>
      <c r="F54" s="400"/>
      <c r="G54" s="400"/>
      <c r="H54" s="400"/>
      <c r="I54" s="400"/>
      <c r="J54" s="400"/>
      <c r="K54" s="400"/>
      <c r="L54" s="397"/>
    </row>
    <row r="55" spans="1:12" ht="14.25">
      <c r="A55" s="397"/>
      <c r="B55" s="845" t="s">
        <v>685</v>
      </c>
      <c r="C55" s="845"/>
      <c r="D55" s="845"/>
      <c r="E55" s="845"/>
      <c r="F55" s="845"/>
      <c r="G55" s="845"/>
      <c r="H55" s="845"/>
      <c r="I55" s="845"/>
      <c r="J55" s="845"/>
      <c r="K55" s="845"/>
      <c r="L55" s="397"/>
    </row>
    <row r="56" spans="1:12" ht="15" customHeight="1">
      <c r="A56" s="397"/>
      <c r="L56" s="397"/>
    </row>
    <row r="57" spans="1:24" ht="74.25" customHeight="1">
      <c r="A57" s="397"/>
      <c r="B57" s="846" t="s">
        <v>686</v>
      </c>
      <c r="C57" s="851"/>
      <c r="D57" s="851"/>
      <c r="E57" s="851"/>
      <c r="F57" s="851"/>
      <c r="G57" s="851"/>
      <c r="H57" s="851"/>
      <c r="I57" s="851"/>
      <c r="J57" s="851"/>
      <c r="K57" s="851"/>
      <c r="L57" s="397"/>
      <c r="M57" s="421"/>
      <c r="N57" s="422"/>
      <c r="O57" s="422"/>
      <c r="P57" s="422"/>
      <c r="Q57" s="422"/>
      <c r="R57" s="422"/>
      <c r="S57" s="422"/>
      <c r="T57" s="422"/>
      <c r="U57" s="422"/>
      <c r="V57" s="422"/>
      <c r="W57" s="422"/>
      <c r="X57" s="422"/>
    </row>
    <row r="58" spans="1:24" ht="15" customHeight="1">
      <c r="A58" s="397"/>
      <c r="B58" s="846"/>
      <c r="C58" s="851"/>
      <c r="D58" s="851"/>
      <c r="E58" s="851"/>
      <c r="F58" s="851"/>
      <c r="G58" s="851"/>
      <c r="H58" s="851"/>
      <c r="I58" s="851"/>
      <c r="J58" s="851"/>
      <c r="K58" s="851"/>
      <c r="L58" s="397"/>
      <c r="M58" s="421"/>
      <c r="N58" s="422"/>
      <c r="O58" s="422"/>
      <c r="P58" s="422"/>
      <c r="Q58" s="422"/>
      <c r="R58" s="422"/>
      <c r="S58" s="422"/>
      <c r="T58" s="422"/>
      <c r="U58" s="422"/>
      <c r="V58" s="422"/>
      <c r="W58" s="422"/>
      <c r="X58" s="422"/>
    </row>
    <row r="59" spans="1:24" ht="14.25">
      <c r="A59" s="397"/>
      <c r="B59" s="401" t="s">
        <v>675</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687</v>
      </c>
      <c r="L61" s="397"/>
      <c r="M61" s="422"/>
      <c r="N61" s="422"/>
      <c r="O61" s="422"/>
      <c r="P61" s="422"/>
      <c r="Q61" s="422"/>
      <c r="R61" s="422"/>
      <c r="S61" s="422"/>
      <c r="T61" s="422"/>
      <c r="U61" s="422"/>
      <c r="V61" s="422"/>
      <c r="W61" s="422"/>
      <c r="X61" s="422"/>
    </row>
    <row r="62" spans="1:24" ht="14.25">
      <c r="A62" s="397"/>
      <c r="B62" s="398" t="s">
        <v>688</v>
      </c>
      <c r="L62" s="397"/>
      <c r="M62" s="422"/>
      <c r="N62" s="422"/>
      <c r="O62" s="422"/>
      <c r="P62" s="422"/>
      <c r="Q62" s="422"/>
      <c r="R62" s="422"/>
      <c r="S62" s="422"/>
      <c r="T62" s="422"/>
      <c r="U62" s="422"/>
      <c r="V62" s="422"/>
      <c r="W62" s="422"/>
      <c r="X62" s="422"/>
    </row>
    <row r="63" spans="1:24" ht="14.25">
      <c r="A63" s="397"/>
      <c r="B63" s="398" t="s">
        <v>689</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690</v>
      </c>
      <c r="L65" s="397"/>
      <c r="M65" s="422"/>
      <c r="N65" s="422"/>
      <c r="O65" s="422"/>
      <c r="P65" s="422"/>
      <c r="Q65" s="422"/>
      <c r="R65" s="422"/>
      <c r="S65" s="422"/>
      <c r="T65" s="422"/>
      <c r="U65" s="422"/>
      <c r="V65" s="422"/>
      <c r="W65" s="422"/>
      <c r="X65" s="422"/>
    </row>
    <row r="66" spans="1:24" ht="14.25">
      <c r="A66" s="397"/>
      <c r="B66" s="398" t="s">
        <v>691</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692</v>
      </c>
      <c r="L68" s="397"/>
      <c r="M68" s="423"/>
      <c r="N68" s="424"/>
      <c r="O68" s="424"/>
      <c r="P68" s="424"/>
      <c r="Q68" s="424"/>
      <c r="R68" s="424"/>
      <c r="S68" s="424"/>
      <c r="T68" s="424"/>
      <c r="U68" s="424"/>
      <c r="V68" s="424"/>
      <c r="W68" s="424"/>
      <c r="X68" s="422"/>
    </row>
    <row r="69" spans="1:24" ht="14.25">
      <c r="A69" s="397"/>
      <c r="B69" s="398" t="s">
        <v>693</v>
      </c>
      <c r="L69" s="397"/>
      <c r="M69" s="422"/>
      <c r="N69" s="422"/>
      <c r="O69" s="422"/>
      <c r="P69" s="422"/>
      <c r="Q69" s="422"/>
      <c r="R69" s="422"/>
      <c r="S69" s="422"/>
      <c r="T69" s="422"/>
      <c r="U69" s="422"/>
      <c r="V69" s="422"/>
      <c r="W69" s="422"/>
      <c r="X69" s="422"/>
    </row>
    <row r="70" spans="1:24" ht="14.25">
      <c r="A70" s="397"/>
      <c r="B70" s="398" t="s">
        <v>694</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662</v>
      </c>
      <c r="C72" s="405"/>
      <c r="D72" s="405"/>
      <c r="E72" s="405"/>
      <c r="F72" s="405"/>
      <c r="G72" s="405"/>
      <c r="H72" s="405"/>
      <c r="I72" s="405"/>
      <c r="J72" s="405"/>
      <c r="K72" s="406"/>
      <c r="L72" s="425"/>
    </row>
    <row r="73" spans="1:12" ht="14.25">
      <c r="A73" s="397"/>
      <c r="B73" s="417"/>
      <c r="C73" s="408" t="s">
        <v>670</v>
      </c>
      <c r="D73" s="408"/>
      <c r="E73" s="408"/>
      <c r="F73" s="408"/>
      <c r="G73" s="408"/>
      <c r="H73" s="408"/>
      <c r="I73" s="408"/>
      <c r="J73" s="408"/>
      <c r="K73" s="411"/>
      <c r="L73" s="425"/>
    </row>
    <row r="74" spans="1:12" ht="14.25">
      <c r="A74" s="397"/>
      <c r="B74" s="417" t="s">
        <v>695</v>
      </c>
      <c r="C74" s="848">
        <v>133685008</v>
      </c>
      <c r="D74" s="848"/>
      <c r="E74" s="409" t="s">
        <v>669</v>
      </c>
      <c r="F74" s="409">
        <v>1000</v>
      </c>
      <c r="G74" s="409" t="s">
        <v>668</v>
      </c>
      <c r="H74" s="426">
        <f>C74/F74</f>
        <v>133685.008</v>
      </c>
      <c r="I74" s="408" t="s">
        <v>696</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697</v>
      </c>
      <c r="D76" s="408"/>
      <c r="E76" s="409"/>
      <c r="F76" s="408" t="s">
        <v>696</v>
      </c>
      <c r="G76" s="408"/>
      <c r="H76" s="408"/>
      <c r="I76" s="408"/>
      <c r="J76" s="408"/>
      <c r="K76" s="411"/>
      <c r="L76" s="425"/>
    </row>
    <row r="77" spans="1:12" ht="14.25">
      <c r="A77" s="397"/>
      <c r="B77" s="417" t="s">
        <v>698</v>
      </c>
      <c r="C77" s="848">
        <v>5000</v>
      </c>
      <c r="D77" s="848"/>
      <c r="E77" s="409" t="s">
        <v>669</v>
      </c>
      <c r="F77" s="426">
        <f>H74</f>
        <v>133685.008</v>
      </c>
      <c r="G77" s="409" t="s">
        <v>668</v>
      </c>
      <c r="H77" s="419">
        <f>C77/F77</f>
        <v>0.03740135169083432</v>
      </c>
      <c r="I77" s="408" t="s">
        <v>699</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700</v>
      </c>
      <c r="D79" s="428"/>
      <c r="E79" s="429"/>
      <c r="F79" s="428"/>
      <c r="G79" s="428"/>
      <c r="H79" s="428"/>
      <c r="I79" s="428"/>
      <c r="J79" s="428"/>
      <c r="K79" s="430"/>
      <c r="L79" s="425"/>
    </row>
    <row r="80" spans="1:12" ht="14.25">
      <c r="A80" s="397"/>
      <c r="B80" s="417" t="s">
        <v>701</v>
      </c>
      <c r="C80" s="848">
        <v>100000</v>
      </c>
      <c r="D80" s="848"/>
      <c r="E80" s="409" t="s">
        <v>255</v>
      </c>
      <c r="F80" s="409">
        <v>0.115</v>
      </c>
      <c r="G80" s="409" t="s">
        <v>668</v>
      </c>
      <c r="H80" s="426">
        <f>C80*F80</f>
        <v>11500</v>
      </c>
      <c r="I80" s="408" t="s">
        <v>702</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703</v>
      </c>
      <c r="D82" s="428"/>
      <c r="E82" s="429"/>
      <c r="F82" s="428" t="s">
        <v>699</v>
      </c>
      <c r="G82" s="428"/>
      <c r="H82" s="428"/>
      <c r="I82" s="428"/>
      <c r="J82" s="428" t="s">
        <v>704</v>
      </c>
      <c r="K82" s="430"/>
      <c r="L82" s="425"/>
    </row>
    <row r="83" spans="1:12" ht="14.25">
      <c r="A83" s="397"/>
      <c r="B83" s="417" t="s">
        <v>705</v>
      </c>
      <c r="C83" s="852">
        <f>H80</f>
        <v>11500</v>
      </c>
      <c r="D83" s="852"/>
      <c r="E83" s="409" t="s">
        <v>255</v>
      </c>
      <c r="F83" s="419">
        <f>H77</f>
        <v>0.03740135169083432</v>
      </c>
      <c r="G83" s="409" t="s">
        <v>669</v>
      </c>
      <c r="H83" s="409">
        <v>1000</v>
      </c>
      <c r="I83" s="409" t="s">
        <v>668</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53" t="s">
        <v>658</v>
      </c>
      <c r="C85" s="853"/>
      <c r="D85" s="853"/>
      <c r="E85" s="853"/>
      <c r="F85" s="853"/>
      <c r="G85" s="853"/>
      <c r="H85" s="853"/>
      <c r="I85" s="853"/>
      <c r="J85" s="853"/>
      <c r="K85" s="853"/>
      <c r="L85" s="397"/>
    </row>
    <row r="86" spans="1:12" ht="14.25">
      <c r="A86" s="397"/>
      <c r="B86" s="845" t="s">
        <v>706</v>
      </c>
      <c r="C86" s="845"/>
      <c r="D86" s="845"/>
      <c r="E86" s="845"/>
      <c r="F86" s="845"/>
      <c r="G86" s="845"/>
      <c r="H86" s="845"/>
      <c r="I86" s="845"/>
      <c r="J86" s="845"/>
      <c r="K86" s="845"/>
      <c r="L86" s="397"/>
    </row>
    <row r="87" spans="1:12" ht="14.25">
      <c r="A87" s="397"/>
      <c r="B87" s="436"/>
      <c r="C87" s="436"/>
      <c r="D87" s="436"/>
      <c r="E87" s="436"/>
      <c r="F87" s="436"/>
      <c r="G87" s="436"/>
      <c r="H87" s="436"/>
      <c r="I87" s="436"/>
      <c r="J87" s="436"/>
      <c r="K87" s="436"/>
      <c r="L87" s="397"/>
    </row>
    <row r="88" spans="1:12" ht="14.25">
      <c r="A88" s="397"/>
      <c r="B88" s="845" t="s">
        <v>707</v>
      </c>
      <c r="C88" s="845"/>
      <c r="D88" s="845"/>
      <c r="E88" s="845"/>
      <c r="F88" s="845"/>
      <c r="G88" s="845"/>
      <c r="H88" s="845"/>
      <c r="I88" s="845"/>
      <c r="J88" s="845"/>
      <c r="K88" s="845"/>
      <c r="L88" s="397"/>
    </row>
    <row r="89" spans="1:12" ht="14.25">
      <c r="A89" s="397"/>
      <c r="B89" s="437"/>
      <c r="C89" s="437"/>
      <c r="D89" s="437"/>
      <c r="E89" s="437"/>
      <c r="F89" s="437"/>
      <c r="G89" s="437"/>
      <c r="H89" s="437"/>
      <c r="I89" s="437"/>
      <c r="J89" s="437"/>
      <c r="K89" s="437"/>
      <c r="L89" s="397"/>
    </row>
    <row r="90" spans="1:12" ht="45" customHeight="1">
      <c r="A90" s="397"/>
      <c r="B90" s="846" t="s">
        <v>708</v>
      </c>
      <c r="C90" s="846"/>
      <c r="D90" s="846"/>
      <c r="E90" s="846"/>
      <c r="F90" s="846"/>
      <c r="G90" s="846"/>
      <c r="H90" s="846"/>
      <c r="I90" s="846"/>
      <c r="J90" s="846"/>
      <c r="K90" s="846"/>
      <c r="L90" s="397"/>
    </row>
    <row r="91" spans="1:12" ht="15" customHeight="1" thickBot="1">
      <c r="A91" s="397"/>
      <c r="L91" s="397"/>
    </row>
    <row r="92" spans="1:12" ht="15" customHeight="1">
      <c r="A92" s="397"/>
      <c r="B92" s="438" t="s">
        <v>662</v>
      </c>
      <c r="C92" s="439"/>
      <c r="D92" s="439"/>
      <c r="E92" s="439"/>
      <c r="F92" s="439"/>
      <c r="G92" s="439"/>
      <c r="H92" s="439"/>
      <c r="I92" s="439"/>
      <c r="J92" s="439"/>
      <c r="K92" s="440"/>
      <c r="L92" s="397"/>
    </row>
    <row r="93" spans="1:12" ht="15" customHeight="1">
      <c r="A93" s="397"/>
      <c r="B93" s="441"/>
      <c r="C93" s="442" t="s">
        <v>670</v>
      </c>
      <c r="D93" s="442"/>
      <c r="E93" s="442"/>
      <c r="F93" s="442"/>
      <c r="G93" s="442"/>
      <c r="H93" s="442"/>
      <c r="I93" s="442"/>
      <c r="J93" s="442"/>
      <c r="K93" s="443"/>
      <c r="L93" s="397"/>
    </row>
    <row r="94" spans="1:12" ht="15" customHeight="1">
      <c r="A94" s="397"/>
      <c r="B94" s="441" t="s">
        <v>695</v>
      </c>
      <c r="C94" s="848">
        <v>133685008</v>
      </c>
      <c r="D94" s="848"/>
      <c r="E94" s="409" t="s">
        <v>669</v>
      </c>
      <c r="F94" s="409">
        <v>1000</v>
      </c>
      <c r="G94" s="409" t="s">
        <v>668</v>
      </c>
      <c r="H94" s="426">
        <f>C94/F94</f>
        <v>133685.008</v>
      </c>
      <c r="I94" s="442" t="s">
        <v>696</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697</v>
      </c>
      <c r="D96" s="442"/>
      <c r="E96" s="409"/>
      <c r="F96" s="442" t="s">
        <v>696</v>
      </c>
      <c r="G96" s="442"/>
      <c r="H96" s="442"/>
      <c r="I96" s="442"/>
      <c r="J96" s="442"/>
      <c r="K96" s="443"/>
      <c r="L96" s="397"/>
    </row>
    <row r="97" spans="1:12" ht="15" customHeight="1">
      <c r="A97" s="397"/>
      <c r="B97" s="441" t="s">
        <v>698</v>
      </c>
      <c r="C97" s="848">
        <v>50000</v>
      </c>
      <c r="D97" s="848"/>
      <c r="E97" s="409" t="s">
        <v>669</v>
      </c>
      <c r="F97" s="426">
        <f>H94</f>
        <v>133685.008</v>
      </c>
      <c r="G97" s="409" t="s">
        <v>668</v>
      </c>
      <c r="H97" s="419">
        <f>C97/F97</f>
        <v>0.3740135169083432</v>
      </c>
      <c r="I97" s="442" t="s">
        <v>699</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709</v>
      </c>
      <c r="D99" s="445"/>
      <c r="E99" s="429"/>
      <c r="F99" s="445"/>
      <c r="G99" s="445"/>
      <c r="H99" s="445"/>
      <c r="I99" s="445"/>
      <c r="J99" s="445"/>
      <c r="K99" s="446"/>
      <c r="L99" s="397"/>
    </row>
    <row r="100" spans="1:12" ht="15" customHeight="1">
      <c r="A100" s="397"/>
      <c r="B100" s="441" t="s">
        <v>701</v>
      </c>
      <c r="C100" s="848">
        <v>2500000</v>
      </c>
      <c r="D100" s="848"/>
      <c r="E100" s="409" t="s">
        <v>255</v>
      </c>
      <c r="F100" s="447">
        <v>0.3</v>
      </c>
      <c r="G100" s="409" t="s">
        <v>668</v>
      </c>
      <c r="H100" s="426">
        <f>C100*F100</f>
        <v>750000</v>
      </c>
      <c r="I100" s="442" t="s">
        <v>702</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703</v>
      </c>
      <c r="D102" s="445"/>
      <c r="E102" s="429"/>
      <c r="F102" s="445" t="s">
        <v>699</v>
      </c>
      <c r="G102" s="445"/>
      <c r="H102" s="445"/>
      <c r="I102" s="445"/>
      <c r="J102" s="445" t="s">
        <v>704</v>
      </c>
      <c r="K102" s="446"/>
      <c r="L102" s="397"/>
    </row>
    <row r="103" spans="1:12" ht="15" customHeight="1">
      <c r="A103" s="397"/>
      <c r="B103" s="441" t="s">
        <v>705</v>
      </c>
      <c r="C103" s="852">
        <f>H100</f>
        <v>750000</v>
      </c>
      <c r="D103" s="852"/>
      <c r="E103" s="409" t="s">
        <v>255</v>
      </c>
      <c r="F103" s="419">
        <f>H97</f>
        <v>0.3740135169083432</v>
      </c>
      <c r="G103" s="409" t="s">
        <v>669</v>
      </c>
      <c r="H103" s="409">
        <v>1000</v>
      </c>
      <c r="I103" s="409" t="s">
        <v>668</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53" t="s">
        <v>658</v>
      </c>
      <c r="C105" s="854"/>
      <c r="D105" s="854"/>
      <c r="E105" s="854"/>
      <c r="F105" s="854"/>
      <c r="G105" s="854"/>
      <c r="H105" s="854"/>
      <c r="I105" s="854"/>
      <c r="J105" s="854"/>
      <c r="K105" s="854"/>
      <c r="L105" s="397"/>
    </row>
    <row r="106" spans="1:12" ht="15" customHeight="1">
      <c r="A106" s="397"/>
      <c r="B106" s="855" t="s">
        <v>710</v>
      </c>
      <c r="C106" s="856"/>
      <c r="D106" s="856"/>
      <c r="E106" s="856"/>
      <c r="F106" s="856"/>
      <c r="G106" s="856"/>
      <c r="H106" s="856"/>
      <c r="I106" s="856"/>
      <c r="J106" s="856"/>
      <c r="K106" s="856"/>
      <c r="L106" s="397"/>
    </row>
    <row r="107" spans="1:12" ht="15" customHeight="1">
      <c r="A107" s="397"/>
      <c r="B107" s="442"/>
      <c r="C107" s="450"/>
      <c r="D107" s="450"/>
      <c r="E107" s="409"/>
      <c r="F107" s="419"/>
      <c r="G107" s="409"/>
      <c r="H107" s="409"/>
      <c r="I107" s="409"/>
      <c r="J107" s="431"/>
      <c r="K107" s="442"/>
      <c r="L107" s="397"/>
    </row>
    <row r="108" spans="1:12" ht="15" customHeight="1">
      <c r="A108" s="397"/>
      <c r="B108" s="855" t="s">
        <v>711</v>
      </c>
      <c r="C108" s="857"/>
      <c r="D108" s="857"/>
      <c r="E108" s="857"/>
      <c r="F108" s="857"/>
      <c r="G108" s="857"/>
      <c r="H108" s="857"/>
      <c r="I108" s="857"/>
      <c r="J108" s="857"/>
      <c r="K108" s="857"/>
      <c r="L108" s="397"/>
    </row>
    <row r="109" spans="1:12" ht="15" customHeight="1">
      <c r="A109" s="397"/>
      <c r="B109" s="442"/>
      <c r="C109" s="450"/>
      <c r="D109" s="450"/>
      <c r="E109" s="409"/>
      <c r="F109" s="419"/>
      <c r="G109" s="409"/>
      <c r="H109" s="409"/>
      <c r="I109" s="409"/>
      <c r="J109" s="431"/>
      <c r="K109" s="442"/>
      <c r="L109" s="397"/>
    </row>
    <row r="110" spans="1:12" ht="59.25" customHeight="1">
      <c r="A110" s="397"/>
      <c r="B110" s="850" t="s">
        <v>712</v>
      </c>
      <c r="C110" s="851"/>
      <c r="D110" s="851"/>
      <c r="E110" s="851"/>
      <c r="F110" s="851"/>
      <c r="G110" s="851"/>
      <c r="H110" s="851"/>
      <c r="I110" s="851"/>
      <c r="J110" s="851"/>
      <c r="K110" s="851"/>
      <c r="L110" s="397"/>
    </row>
    <row r="111" spans="1:12" ht="15" thickBot="1">
      <c r="A111" s="397"/>
      <c r="B111" s="400"/>
      <c r="C111" s="400"/>
      <c r="D111" s="400"/>
      <c r="E111" s="400"/>
      <c r="F111" s="400"/>
      <c r="G111" s="400"/>
      <c r="H111" s="400"/>
      <c r="I111" s="400"/>
      <c r="J111" s="400"/>
      <c r="K111" s="400"/>
      <c r="L111" s="451"/>
    </row>
    <row r="112" spans="1:12" ht="14.25">
      <c r="A112" s="397"/>
      <c r="B112" s="404" t="s">
        <v>662</v>
      </c>
      <c r="C112" s="405"/>
      <c r="D112" s="405"/>
      <c r="E112" s="405"/>
      <c r="F112" s="405"/>
      <c r="G112" s="405"/>
      <c r="H112" s="405"/>
      <c r="I112" s="405"/>
      <c r="J112" s="405"/>
      <c r="K112" s="406"/>
      <c r="L112" s="397"/>
    </row>
    <row r="113" spans="1:12" ht="14.25">
      <c r="A113" s="397"/>
      <c r="B113" s="417"/>
      <c r="C113" s="408" t="s">
        <v>670</v>
      </c>
      <c r="D113" s="408"/>
      <c r="E113" s="408"/>
      <c r="F113" s="408"/>
      <c r="G113" s="408"/>
      <c r="H113" s="408"/>
      <c r="I113" s="408"/>
      <c r="J113" s="408"/>
      <c r="K113" s="411"/>
      <c r="L113" s="397"/>
    </row>
    <row r="114" spans="1:12" ht="14.25">
      <c r="A114" s="397"/>
      <c r="B114" s="417" t="s">
        <v>695</v>
      </c>
      <c r="C114" s="848">
        <v>133685008</v>
      </c>
      <c r="D114" s="848"/>
      <c r="E114" s="409" t="s">
        <v>669</v>
      </c>
      <c r="F114" s="409">
        <v>1000</v>
      </c>
      <c r="G114" s="409" t="s">
        <v>668</v>
      </c>
      <c r="H114" s="426">
        <f>C114/F114</f>
        <v>133685.008</v>
      </c>
      <c r="I114" s="408" t="s">
        <v>696</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697</v>
      </c>
      <c r="D116" s="408"/>
      <c r="E116" s="409"/>
      <c r="F116" s="408" t="s">
        <v>696</v>
      </c>
      <c r="G116" s="408"/>
      <c r="H116" s="408"/>
      <c r="I116" s="408"/>
      <c r="J116" s="408"/>
      <c r="K116" s="411"/>
      <c r="L116" s="397"/>
    </row>
    <row r="117" spans="1:12" ht="14.25">
      <c r="A117" s="397"/>
      <c r="B117" s="417" t="s">
        <v>698</v>
      </c>
      <c r="C117" s="848">
        <v>50000</v>
      </c>
      <c r="D117" s="848"/>
      <c r="E117" s="409" t="s">
        <v>669</v>
      </c>
      <c r="F117" s="426">
        <f>H114</f>
        <v>133685.008</v>
      </c>
      <c r="G117" s="409" t="s">
        <v>668</v>
      </c>
      <c r="H117" s="419">
        <f>C117/F117</f>
        <v>0.3740135169083432</v>
      </c>
      <c r="I117" s="408" t="s">
        <v>699</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709</v>
      </c>
      <c r="D119" s="428"/>
      <c r="E119" s="429"/>
      <c r="F119" s="428"/>
      <c r="G119" s="428"/>
      <c r="H119" s="428"/>
      <c r="I119" s="428"/>
      <c r="J119" s="428"/>
      <c r="K119" s="430"/>
      <c r="L119" s="397"/>
    </row>
    <row r="120" spans="1:12" ht="14.25">
      <c r="A120" s="397"/>
      <c r="B120" s="417" t="s">
        <v>701</v>
      </c>
      <c r="C120" s="848">
        <v>2500000</v>
      </c>
      <c r="D120" s="848"/>
      <c r="E120" s="409" t="s">
        <v>255</v>
      </c>
      <c r="F120" s="447">
        <v>0.25</v>
      </c>
      <c r="G120" s="409" t="s">
        <v>668</v>
      </c>
      <c r="H120" s="426">
        <f>C120*F120</f>
        <v>625000</v>
      </c>
      <c r="I120" s="408" t="s">
        <v>702</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703</v>
      </c>
      <c r="D122" s="428"/>
      <c r="E122" s="429"/>
      <c r="F122" s="428" t="s">
        <v>699</v>
      </c>
      <c r="G122" s="428"/>
      <c r="H122" s="428"/>
      <c r="I122" s="428"/>
      <c r="J122" s="428" t="s">
        <v>704</v>
      </c>
      <c r="K122" s="430"/>
      <c r="L122" s="397"/>
    </row>
    <row r="123" spans="1:12" ht="14.25">
      <c r="A123" s="397"/>
      <c r="B123" s="417" t="s">
        <v>705</v>
      </c>
      <c r="C123" s="852">
        <f>H120</f>
        <v>625000</v>
      </c>
      <c r="D123" s="852"/>
      <c r="E123" s="409" t="s">
        <v>255</v>
      </c>
      <c r="F123" s="419">
        <f>H117</f>
        <v>0.3740135169083432</v>
      </c>
      <c r="G123" s="409" t="s">
        <v>669</v>
      </c>
      <c r="H123" s="409">
        <v>1000</v>
      </c>
      <c r="I123" s="409" t="s">
        <v>668</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53" t="s">
        <v>658</v>
      </c>
      <c r="C125" s="853"/>
      <c r="D125" s="853"/>
      <c r="E125" s="853"/>
      <c r="F125" s="853"/>
      <c r="G125" s="853"/>
      <c r="H125" s="853"/>
      <c r="I125" s="853"/>
      <c r="J125" s="853"/>
      <c r="K125" s="853"/>
      <c r="L125" s="451"/>
    </row>
    <row r="126" spans="1:12" ht="14.25">
      <c r="A126" s="397"/>
      <c r="B126" s="845" t="s">
        <v>713</v>
      </c>
      <c r="C126" s="845"/>
      <c r="D126" s="845"/>
      <c r="E126" s="845"/>
      <c r="F126" s="845"/>
      <c r="G126" s="845"/>
      <c r="H126" s="845"/>
      <c r="I126" s="845"/>
      <c r="J126" s="845"/>
      <c r="K126" s="845"/>
      <c r="L126" s="451"/>
    </row>
    <row r="127" spans="1:12" ht="14.25">
      <c r="A127" s="397"/>
      <c r="B127" s="400"/>
      <c r="C127" s="400"/>
      <c r="D127" s="400"/>
      <c r="E127" s="400"/>
      <c r="F127" s="400"/>
      <c r="G127" s="400"/>
      <c r="H127" s="400"/>
      <c r="I127" s="400"/>
      <c r="J127" s="400"/>
      <c r="K127" s="400"/>
      <c r="L127" s="451"/>
    </row>
    <row r="128" spans="1:12" ht="14.25">
      <c r="A128" s="397"/>
      <c r="B128" s="845" t="s">
        <v>714</v>
      </c>
      <c r="C128" s="845"/>
      <c r="D128" s="845"/>
      <c r="E128" s="845"/>
      <c r="F128" s="845"/>
      <c r="G128" s="845"/>
      <c r="H128" s="845"/>
      <c r="I128" s="845"/>
      <c r="J128" s="845"/>
      <c r="K128" s="845"/>
      <c r="L128" s="451"/>
    </row>
    <row r="129" spans="1:12" ht="14.25">
      <c r="A129" s="397"/>
      <c r="B129" s="437"/>
      <c r="C129" s="437"/>
      <c r="D129" s="437"/>
      <c r="E129" s="437"/>
      <c r="F129" s="437"/>
      <c r="G129" s="437"/>
      <c r="H129" s="437"/>
      <c r="I129" s="437"/>
      <c r="J129" s="437"/>
      <c r="K129" s="437"/>
      <c r="L129" s="451"/>
    </row>
    <row r="130" spans="1:12" ht="74.25" customHeight="1">
      <c r="A130" s="397"/>
      <c r="B130" s="846" t="s">
        <v>715</v>
      </c>
      <c r="C130" s="846"/>
      <c r="D130" s="846"/>
      <c r="E130" s="846"/>
      <c r="F130" s="846"/>
      <c r="G130" s="846"/>
      <c r="H130" s="846"/>
      <c r="I130" s="846"/>
      <c r="J130" s="846"/>
      <c r="K130" s="846"/>
      <c r="L130" s="451"/>
    </row>
    <row r="131" spans="1:12" ht="15" thickBot="1">
      <c r="A131" s="397"/>
      <c r="L131" s="397"/>
    </row>
    <row r="132" spans="1:12" ht="14.25">
      <c r="A132" s="397"/>
      <c r="B132" s="404" t="s">
        <v>662</v>
      </c>
      <c r="C132" s="405"/>
      <c r="D132" s="405"/>
      <c r="E132" s="405"/>
      <c r="F132" s="405"/>
      <c r="G132" s="405"/>
      <c r="H132" s="405"/>
      <c r="I132" s="405"/>
      <c r="J132" s="405"/>
      <c r="K132" s="406"/>
      <c r="L132" s="397"/>
    </row>
    <row r="133" spans="1:12" ht="14.25">
      <c r="A133" s="397"/>
      <c r="B133" s="417"/>
      <c r="C133" s="847" t="s">
        <v>716</v>
      </c>
      <c r="D133" s="847"/>
      <c r="E133" s="408"/>
      <c r="F133" s="409" t="s">
        <v>717</v>
      </c>
      <c r="G133" s="408"/>
      <c r="H133" s="847" t="s">
        <v>702</v>
      </c>
      <c r="I133" s="847"/>
      <c r="J133" s="408"/>
      <c r="K133" s="411"/>
      <c r="L133" s="397"/>
    </row>
    <row r="134" spans="1:12" ht="14.25">
      <c r="A134" s="397"/>
      <c r="B134" s="417" t="s">
        <v>695</v>
      </c>
      <c r="C134" s="848">
        <v>100000</v>
      </c>
      <c r="D134" s="848"/>
      <c r="E134" s="409" t="s">
        <v>255</v>
      </c>
      <c r="F134" s="409">
        <v>0.115</v>
      </c>
      <c r="G134" s="409" t="s">
        <v>668</v>
      </c>
      <c r="H134" s="840">
        <f>C134*F134</f>
        <v>11500</v>
      </c>
      <c r="I134" s="840"/>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49" t="s">
        <v>702</v>
      </c>
      <c r="D136" s="849"/>
      <c r="E136" s="428"/>
      <c r="F136" s="429" t="s">
        <v>718</v>
      </c>
      <c r="G136" s="429"/>
      <c r="H136" s="428"/>
      <c r="I136" s="428"/>
      <c r="J136" s="428" t="s">
        <v>719</v>
      </c>
      <c r="K136" s="430"/>
      <c r="L136" s="397"/>
    </row>
    <row r="137" spans="1:12" ht="14.25">
      <c r="A137" s="397"/>
      <c r="B137" s="417" t="s">
        <v>698</v>
      </c>
      <c r="C137" s="840">
        <f>H134</f>
        <v>11500</v>
      </c>
      <c r="D137" s="840"/>
      <c r="E137" s="409" t="s">
        <v>255</v>
      </c>
      <c r="F137" s="452">
        <v>52.869</v>
      </c>
      <c r="G137" s="409" t="s">
        <v>669</v>
      </c>
      <c r="H137" s="409">
        <v>1000</v>
      </c>
      <c r="I137" s="409" t="s">
        <v>668</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658</v>
      </c>
      <c r="C139" s="458"/>
      <c r="D139" s="458"/>
      <c r="E139" s="459"/>
      <c r="F139" s="460"/>
      <c r="G139" s="459"/>
      <c r="H139" s="459"/>
      <c r="I139" s="459"/>
      <c r="J139" s="461"/>
      <c r="K139" s="462"/>
      <c r="L139" s="397"/>
    </row>
    <row r="140" spans="1:12" ht="14.25">
      <c r="A140" s="397"/>
      <c r="B140" s="463" t="s">
        <v>720</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721</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37" t="s">
        <v>722</v>
      </c>
      <c r="C144" s="838"/>
      <c r="D144" s="838"/>
      <c r="E144" s="838"/>
      <c r="F144" s="838"/>
      <c r="G144" s="838"/>
      <c r="H144" s="838"/>
      <c r="I144" s="838"/>
      <c r="J144" s="838"/>
      <c r="K144" s="839"/>
      <c r="L144" s="397"/>
    </row>
    <row r="145" spans="1:12" ht="15" thickBot="1">
      <c r="A145" s="397"/>
      <c r="B145" s="417"/>
      <c r="C145" s="426"/>
      <c r="D145" s="426"/>
      <c r="E145" s="409"/>
      <c r="F145" s="469"/>
      <c r="G145" s="409"/>
      <c r="H145" s="409"/>
      <c r="I145" s="409"/>
      <c r="J145" s="453"/>
      <c r="K145" s="411"/>
      <c r="L145" s="397"/>
    </row>
    <row r="146" spans="1:12" ht="14.25">
      <c r="A146" s="397"/>
      <c r="B146" s="404" t="s">
        <v>662</v>
      </c>
      <c r="C146" s="470"/>
      <c r="D146" s="470"/>
      <c r="E146" s="471"/>
      <c r="F146" s="472"/>
      <c r="G146" s="471"/>
      <c r="H146" s="471"/>
      <c r="I146" s="471"/>
      <c r="J146" s="473"/>
      <c r="K146" s="406"/>
      <c r="L146" s="397"/>
    </row>
    <row r="147" spans="1:12" ht="14.25">
      <c r="A147" s="397"/>
      <c r="B147" s="417"/>
      <c r="C147" s="840" t="s">
        <v>723</v>
      </c>
      <c r="D147" s="840"/>
      <c r="E147" s="409"/>
      <c r="F147" s="469" t="s">
        <v>724</v>
      </c>
      <c r="G147" s="409"/>
      <c r="H147" s="409"/>
      <c r="I147" s="409"/>
      <c r="J147" s="841" t="s">
        <v>725</v>
      </c>
      <c r="K147" s="842"/>
      <c r="L147" s="397"/>
    </row>
    <row r="148" spans="1:12" ht="14.25">
      <c r="A148" s="397"/>
      <c r="B148" s="417"/>
      <c r="C148" s="843">
        <v>52.869</v>
      </c>
      <c r="D148" s="843"/>
      <c r="E148" s="409" t="s">
        <v>255</v>
      </c>
      <c r="F148" s="474">
        <v>133685008</v>
      </c>
      <c r="G148" s="475" t="s">
        <v>669</v>
      </c>
      <c r="H148" s="409">
        <v>1000</v>
      </c>
      <c r="I148" s="409" t="s">
        <v>668</v>
      </c>
      <c r="J148" s="840">
        <f>C148*(F148/1000)</f>
        <v>7067792.687952</v>
      </c>
      <c r="K148" s="844"/>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86"/>
  <sheetViews>
    <sheetView zoomScalePageLayoutView="0" workbookViewId="0" topLeftCell="A63">
      <selection activeCell="C73" sqref="C73"/>
    </sheetView>
  </sheetViews>
  <sheetFormatPr defaultColWidth="8.796875" defaultRowHeight="15.75"/>
  <cols>
    <col min="1" max="1" width="2.19921875" style="615" customWidth="1"/>
    <col min="2" max="2" width="28.59765625" style="615" customWidth="1"/>
    <col min="3" max="4" width="14.19921875" style="615" customWidth="1"/>
    <col min="5" max="5" width="14.59765625" style="615" customWidth="1"/>
    <col min="6" max="6" width="7.296875" style="615" customWidth="1"/>
    <col min="7" max="7" width="9.19921875" style="615" customWidth="1"/>
    <col min="8" max="8" width="8.796875" style="615" customWidth="1"/>
    <col min="9" max="9" width="4.5" style="615" customWidth="1"/>
    <col min="10" max="10" width="9" style="615" customWidth="1"/>
    <col min="11" max="16384" width="8.796875" style="615" customWidth="1"/>
  </cols>
  <sheetData>
    <row r="1" spans="2:5" ht="15.75">
      <c r="B1" s="612" t="str">
        <f>inputPrYr!D3</f>
        <v>Center Township</v>
      </c>
      <c r="C1" s="612"/>
      <c r="D1" s="613"/>
      <c r="E1" s="614">
        <f>inputPrYr!D9</f>
        <v>2014</v>
      </c>
    </row>
    <row r="2" spans="2:5" ht="15.75">
      <c r="B2" s="613"/>
      <c r="C2" s="613"/>
      <c r="D2" s="613"/>
      <c r="E2" s="616"/>
    </row>
    <row r="3" spans="2:5" ht="15.75">
      <c r="B3" s="617" t="s">
        <v>763</v>
      </c>
      <c r="C3" s="617"/>
      <c r="D3" s="618"/>
      <c r="E3" s="619"/>
    </row>
    <row r="4" spans="2:5" ht="15.75">
      <c r="B4" s="620" t="s">
        <v>270</v>
      </c>
      <c r="C4" s="621" t="s">
        <v>855</v>
      </c>
      <c r="D4" s="622" t="s">
        <v>856</v>
      </c>
      <c r="E4" s="623" t="s">
        <v>857</v>
      </c>
    </row>
    <row r="5" spans="2:5" ht="15.75">
      <c r="B5" s="624" t="str">
        <f>inputPrYr!B21</f>
        <v>Debt Service</v>
      </c>
      <c r="C5" s="625" t="str">
        <f>CONCATENATE("Actual for ",$E$1-2,"")</f>
        <v>Actual for 2012</v>
      </c>
      <c r="D5" s="626" t="str">
        <f>CONCATENATE("Estimate for ",$E$1-1,"")</f>
        <v>Estimate for 2013</v>
      </c>
      <c r="E5" s="627" t="str">
        <f>CONCATENATE("Year for ",$E$1,"")</f>
        <v>Year for 2014</v>
      </c>
    </row>
    <row r="6" spans="2:5" ht="15.75">
      <c r="B6" s="628" t="s">
        <v>92</v>
      </c>
      <c r="C6" s="629"/>
      <c r="D6" s="630">
        <f>C27</f>
        <v>0</v>
      </c>
      <c r="E6" s="631">
        <f>D27</f>
        <v>0</v>
      </c>
    </row>
    <row r="7" spans="2:5" ht="15.75">
      <c r="B7" s="628" t="s">
        <v>69</v>
      </c>
      <c r="C7" s="632"/>
      <c r="D7" s="630"/>
      <c r="E7" s="631"/>
    </row>
    <row r="8" spans="2:5" ht="15.75">
      <c r="B8" s="628" t="s">
        <v>276</v>
      </c>
      <c r="C8" s="633"/>
      <c r="D8" s="630">
        <f>IF(inputPrYr!H19&gt;0,inputPrYr!G21,inputPrYr!E21)</f>
        <v>0</v>
      </c>
      <c r="E8" s="634" t="s">
        <v>255</v>
      </c>
    </row>
    <row r="9" spans="2:5" ht="15.75">
      <c r="B9" s="628" t="s">
        <v>277</v>
      </c>
      <c r="C9" s="633"/>
      <c r="D9" s="635"/>
      <c r="E9" s="636"/>
    </row>
    <row r="10" spans="2:5" ht="15.75">
      <c r="B10" s="628" t="s">
        <v>278</v>
      </c>
      <c r="C10" s="633"/>
      <c r="D10" s="635"/>
      <c r="E10" s="631">
        <f>mvalloc!G12</f>
        <v>0</v>
      </c>
    </row>
    <row r="11" spans="2:5" ht="15.75">
      <c r="B11" s="628" t="s">
        <v>279</v>
      </c>
      <c r="C11" s="633"/>
      <c r="D11" s="635"/>
      <c r="E11" s="631">
        <f>mvalloc!I12</f>
        <v>0</v>
      </c>
    </row>
    <row r="12" spans="2:5" ht="15.75">
      <c r="B12" s="637" t="s">
        <v>48</v>
      </c>
      <c r="C12" s="633"/>
      <c r="D12" s="635"/>
      <c r="E12" s="631">
        <f>mvalloc!J12</f>
        <v>0</v>
      </c>
    </row>
    <row r="13" spans="2:5" ht="15.75">
      <c r="B13" s="638"/>
      <c r="C13" s="633"/>
      <c r="D13" s="635"/>
      <c r="E13" s="639"/>
    </row>
    <row r="14" spans="2:5" ht="15.75">
      <c r="B14" s="638"/>
      <c r="C14" s="633"/>
      <c r="D14" s="635"/>
      <c r="E14" s="636"/>
    </row>
    <row r="15" spans="2:5" ht="15.75">
      <c r="B15" s="640" t="s">
        <v>282</v>
      </c>
      <c r="C15" s="633"/>
      <c r="D15" s="635"/>
      <c r="E15" s="636"/>
    </row>
    <row r="16" spans="2:5" ht="15.75">
      <c r="B16" s="628" t="s">
        <v>228</v>
      </c>
      <c r="C16" s="641"/>
      <c r="D16" s="635"/>
      <c r="E16" s="636"/>
    </row>
    <row r="17" spans="2:5" ht="15.75">
      <c r="B17" s="628" t="s">
        <v>858</v>
      </c>
      <c r="C17" s="642">
        <f>IF(C18*0.1&lt;C16,"Exceed 10% Rule","")</f>
      </c>
      <c r="D17" s="642">
        <f>IF(D18*0.1&lt;D16,"Exceeds 10% Rule","")</f>
      </c>
      <c r="E17" s="643">
        <f>IF(E18*0.1&lt;E16,"Exceed 10% Rule","")</f>
      </c>
    </row>
    <row r="18" spans="2:5" ht="15.75">
      <c r="B18" s="644" t="s">
        <v>283</v>
      </c>
      <c r="C18" s="645">
        <f>SUM(C8:C16)</f>
        <v>0</v>
      </c>
      <c r="D18" s="645">
        <f>SUM(D8:D16)</f>
        <v>0</v>
      </c>
      <c r="E18" s="646">
        <f>SUM(E9:E16)</f>
        <v>0</v>
      </c>
    </row>
    <row r="19" spans="2:5" ht="15.75">
      <c r="B19" s="644" t="s">
        <v>284</v>
      </c>
      <c r="C19" s="645">
        <f>C6+C18</f>
        <v>0</v>
      </c>
      <c r="D19" s="645">
        <f>D6+D18</f>
        <v>0</v>
      </c>
      <c r="E19" s="646">
        <f>E6+E18</f>
        <v>0</v>
      </c>
    </row>
    <row r="20" spans="2:5" ht="15.75">
      <c r="B20" s="628" t="s">
        <v>285</v>
      </c>
      <c r="C20" s="628"/>
      <c r="D20" s="630"/>
      <c r="E20" s="631"/>
    </row>
    <row r="21" spans="2:5" ht="15.75">
      <c r="B21" s="638"/>
      <c r="C21" s="633"/>
      <c r="D21" s="635"/>
      <c r="E21" s="636"/>
    </row>
    <row r="22" spans="2:10" ht="15.75">
      <c r="B22" s="638"/>
      <c r="C22" s="633"/>
      <c r="D22" s="635"/>
      <c r="E22" s="636"/>
      <c r="G22" s="658" t="s">
        <v>859</v>
      </c>
      <c r="H22" s="659"/>
      <c r="I22" s="659"/>
      <c r="J22" s="660" t="e">
        <f>IF(#REF!&gt;0,#REF!-E30,0)</f>
        <v>#REF!</v>
      </c>
    </row>
    <row r="23" spans="2:5" ht="15.75">
      <c r="B23" s="661" t="s">
        <v>230</v>
      </c>
      <c r="C23" s="633"/>
      <c r="D23" s="635"/>
      <c r="E23" s="631">
        <f>nhood!E7</f>
      </c>
    </row>
    <row r="24" spans="2:10" ht="15.75">
      <c r="B24" s="661" t="s">
        <v>228</v>
      </c>
      <c r="C24" s="641"/>
      <c r="D24" s="635"/>
      <c r="E24" s="636"/>
      <c r="G24" s="867" t="str">
        <f>CONCATENATE("Projected Carryover Into ",E1+1,"")</f>
        <v>Projected Carryover Into 2015</v>
      </c>
      <c r="H24" s="877"/>
      <c r="I24" s="877"/>
      <c r="J24" s="871"/>
    </row>
    <row r="25" spans="2:10" ht="15.75">
      <c r="B25" s="661" t="s">
        <v>730</v>
      </c>
      <c r="C25" s="642">
        <f>IF(C26*0.1&lt;C24,"Exceed 10% Rule","")</f>
      </c>
      <c r="D25" s="642">
        <f>IF(D26*0.1&lt;D24,"Exceed 10% Rule","")</f>
      </c>
      <c r="E25" s="643">
        <f>IF(E26*0.1&lt;E24,"Exceed 10% Rule","")</f>
      </c>
      <c r="G25" s="647"/>
      <c r="H25" s="649"/>
      <c r="I25" s="649"/>
      <c r="J25" s="662"/>
    </row>
    <row r="26" spans="2:10" ht="15.75">
      <c r="B26" s="644" t="s">
        <v>286</v>
      </c>
      <c r="C26" s="663">
        <f>SUM(C21:C24)</f>
        <v>0</v>
      </c>
      <c r="D26" s="663">
        <f>SUM(D21:D24)</f>
        <v>0</v>
      </c>
      <c r="E26" s="664">
        <f>SUM(E21:E24)</f>
        <v>0</v>
      </c>
      <c r="G26" s="665">
        <f>D27</f>
        <v>0</v>
      </c>
      <c r="H26" s="666" t="str">
        <f>CONCATENATE("",E1-1," Ending Cash Balance (est.)")</f>
        <v>2013 Ending Cash Balance (est.)</v>
      </c>
      <c r="I26" s="667"/>
      <c r="J26" s="662"/>
    </row>
    <row r="27" spans="2:10" ht="15.75">
      <c r="B27" s="628" t="s">
        <v>68</v>
      </c>
      <c r="C27" s="668">
        <f>C19-C26</f>
        <v>0</v>
      </c>
      <c r="D27" s="668">
        <f>D19-D26</f>
        <v>0</v>
      </c>
      <c r="E27" s="634" t="s">
        <v>255</v>
      </c>
      <c r="F27" s="669"/>
      <c r="G27" s="665">
        <f>E18</f>
        <v>0</v>
      </c>
      <c r="H27" s="649" t="str">
        <f>CONCATENATE("",E1," Non-AV Receipts (est.)")</f>
        <v>2014 Non-AV Receipts (est.)</v>
      </c>
      <c r="I27" s="667"/>
      <c r="J27" s="662"/>
    </row>
    <row r="28" spans="2:11" ht="15.75">
      <c r="B28" s="670" t="str">
        <f>CONCATENATE("",E1-2,"/",E1-1," Budget Authority Amount:")</f>
        <v>2012/2013 Budget Authority Amount:</v>
      </c>
      <c r="C28" s="671">
        <f>inputOth!B84</f>
        <v>0</v>
      </c>
      <c r="D28" s="672">
        <f>inputPrYr!D21</f>
        <v>0</v>
      </c>
      <c r="E28" s="634" t="s">
        <v>255</v>
      </c>
      <c r="F28" s="673"/>
      <c r="G28" s="674">
        <f>IF(E32&gt;0,E31,E33)</f>
        <v>0</v>
      </c>
      <c r="H28" s="649" t="str">
        <f>CONCATENATE("",E1," Ad Valorem Tax (est.)")</f>
        <v>2014 Ad Valorem Tax (est.)</v>
      </c>
      <c r="I28" s="667"/>
      <c r="J28" s="662"/>
      <c r="K28" s="675">
        <f>IF(G28=E33,"","Note: Does not include Delinquent Taxes")</f>
      </c>
    </row>
    <row r="29" spans="2:10" ht="15.75">
      <c r="B29" s="670"/>
      <c r="C29" s="801" t="s">
        <v>727</v>
      </c>
      <c r="D29" s="802"/>
      <c r="E29" s="636"/>
      <c r="F29" s="676">
        <f>IF(E26/0.95-E26&lt;E29,"Exceeds 5%","")</f>
      </c>
      <c r="G29" s="665">
        <f>SUM(G26:G28)</f>
        <v>0</v>
      </c>
      <c r="H29" s="649" t="str">
        <f>CONCATENATE("Total ",E1," Resources Available")</f>
        <v>Total 2014 Resources Available</v>
      </c>
      <c r="I29" s="667"/>
      <c r="J29" s="662"/>
    </row>
    <row r="30" spans="2:10" ht="15.75">
      <c r="B30" s="677" t="str">
        <f>CONCATENATE(C83,"     ",D83)</f>
        <v>     </v>
      </c>
      <c r="C30" s="803" t="s">
        <v>728</v>
      </c>
      <c r="D30" s="804"/>
      <c r="E30" s="631">
        <f>E26+E29</f>
        <v>0</v>
      </c>
      <c r="F30" s="669"/>
      <c r="G30" s="678"/>
      <c r="H30" s="649"/>
      <c r="I30" s="649"/>
      <c r="J30" s="662"/>
    </row>
    <row r="31" spans="2:10" ht="15.75">
      <c r="B31" s="677" t="str">
        <f>CONCATENATE(C84,"     ",D84)</f>
        <v>     </v>
      </c>
      <c r="C31" s="679"/>
      <c r="D31" s="616" t="s">
        <v>288</v>
      </c>
      <c r="E31" s="680">
        <f>IF(E30-E19&gt;0,E30-E19,0)</f>
        <v>0</v>
      </c>
      <c r="F31" s="669"/>
      <c r="G31" s="674">
        <f>C26</f>
        <v>0</v>
      </c>
      <c r="H31" s="649" t="str">
        <f>CONCATENATE("Less ",E1-2," Expenditures")</f>
        <v>Less 2012 Expenditures</v>
      </c>
      <c r="I31" s="649"/>
      <c r="J31" s="662"/>
    </row>
    <row r="32" spans="2:10" ht="15.75">
      <c r="B32" s="616"/>
      <c r="C32" s="502" t="s">
        <v>729</v>
      </c>
      <c r="D32" s="681">
        <f>inputOth!E77</f>
        <v>0</v>
      </c>
      <c r="E32" s="631">
        <f>ROUND(IF(D32&gt;0,(E31*D32),0),0)</f>
        <v>0</v>
      </c>
      <c r="F32" s="669"/>
      <c r="G32" s="682">
        <f>G29-G31</f>
        <v>0</v>
      </c>
      <c r="H32" s="683" t="str">
        <f>CONCATENATE("Projected ",E1+1," carryover (est.)")</f>
        <v>Projected 2015 carryover (est.)</v>
      </c>
      <c r="I32" s="684"/>
      <c r="J32" s="685"/>
    </row>
    <row r="33" spans="2:6" ht="16.5" thickBot="1">
      <c r="B33" s="613"/>
      <c r="C33" s="872" t="str">
        <f>CONCATENATE("Amount of  ",E1-1," Ad Valorem Tax")</f>
        <v>Amount of  2013 Ad Valorem Tax</v>
      </c>
      <c r="D33" s="873"/>
      <c r="E33" s="687">
        <f>SUM(E31:E32)</f>
        <v>0</v>
      </c>
      <c r="F33" s="669"/>
    </row>
    <row r="34" spans="2:10" ht="16.5" thickTop="1">
      <c r="B34" s="613"/>
      <c r="C34" s="872"/>
      <c r="D34" s="873"/>
      <c r="E34" s="688"/>
      <c r="F34" s="669"/>
      <c r="G34" s="874" t="s">
        <v>860</v>
      </c>
      <c r="H34" s="875"/>
      <c r="I34" s="875"/>
      <c r="J34" s="876"/>
    </row>
    <row r="35" spans="2:10" ht="15.75">
      <c r="B35" s="613"/>
      <c r="C35" s="686"/>
      <c r="D35" s="613"/>
      <c r="E35" s="613"/>
      <c r="F35" s="669"/>
      <c r="G35" s="689"/>
      <c r="H35" s="666"/>
      <c r="I35" s="690"/>
      <c r="J35" s="691"/>
    </row>
    <row r="36" spans="2:10" ht="15.75">
      <c r="B36" s="620"/>
      <c r="C36" s="620"/>
      <c r="D36" s="618"/>
      <c r="E36" s="618"/>
      <c r="F36" s="669"/>
      <c r="G36" s="692" t="e">
        <f>summ!#REF!</f>
        <v>#REF!</v>
      </c>
      <c r="H36" s="666" t="str">
        <f>CONCATENATE("",E1," Fund Mill Rate")</f>
        <v>2014 Fund Mill Rate</v>
      </c>
      <c r="I36" s="690"/>
      <c r="J36" s="691"/>
    </row>
    <row r="37" spans="2:10" ht="15.75">
      <c r="B37" s="620" t="s">
        <v>270</v>
      </c>
      <c r="C37" s="621" t="s">
        <v>855</v>
      </c>
      <c r="D37" s="622" t="s">
        <v>856</v>
      </c>
      <c r="E37" s="623" t="s">
        <v>857</v>
      </c>
      <c r="F37" s="669"/>
      <c r="G37" s="693" t="e">
        <f>summ!#REF!</f>
        <v>#REF!</v>
      </c>
      <c r="H37" s="666" t="str">
        <f>CONCATENATE("",E1-1," Fund Mill Rate")</f>
        <v>2013 Fund Mill Rate</v>
      </c>
      <c r="I37" s="690"/>
      <c r="J37" s="691"/>
    </row>
    <row r="38" spans="2:10" ht="15.75">
      <c r="B38" s="694" t="str">
        <f>inputPrYr!B22</f>
        <v>Library</v>
      </c>
      <c r="C38" s="625" t="str">
        <f>CONCATENATE("Actual for ",$E$1-2,"")</f>
        <v>Actual for 2012</v>
      </c>
      <c r="D38" s="626" t="str">
        <f>CONCATENATE("Estimate for ",$E$1-1,"")</f>
        <v>Estimate for 2013</v>
      </c>
      <c r="E38" s="627" t="str">
        <f>CONCATENATE("Year for ",$E$1,"")</f>
        <v>Year for 2014</v>
      </c>
      <c r="F38" s="669"/>
      <c r="G38" s="695">
        <f>summ!H20</f>
        <v>0.182</v>
      </c>
      <c r="H38" s="666" t="str">
        <f>CONCATENATE("Total ",E1," Mill Rate")</f>
        <v>Total 2014 Mill Rate</v>
      </c>
      <c r="I38" s="690"/>
      <c r="J38" s="691"/>
    </row>
    <row r="39" spans="2:10" ht="15.75">
      <c r="B39" s="628" t="s">
        <v>92</v>
      </c>
      <c r="C39" s="633">
        <v>0</v>
      </c>
      <c r="D39" s="630">
        <f>C64</f>
        <v>0</v>
      </c>
      <c r="E39" s="631">
        <f>D64</f>
        <v>0</v>
      </c>
      <c r="F39" s="669"/>
      <c r="G39" s="693">
        <f>summ!E20</f>
        <v>0.19</v>
      </c>
      <c r="H39" s="696" t="str">
        <f>CONCATENATE("Total ",E1-1," Mill Rate")</f>
        <v>Total 2013 Mill Rate</v>
      </c>
      <c r="I39" s="697"/>
      <c r="J39" s="698"/>
    </row>
    <row r="40" spans="2:6" ht="15.75">
      <c r="B40" s="699" t="s">
        <v>69</v>
      </c>
      <c r="C40" s="628"/>
      <c r="D40" s="630"/>
      <c r="E40" s="631"/>
      <c r="F40" s="669"/>
    </row>
    <row r="41" spans="2:6" ht="15.75">
      <c r="B41" s="628" t="s">
        <v>276</v>
      </c>
      <c r="C41" s="641"/>
      <c r="D41" s="630">
        <f>IF(inputPrYr!H19&gt;0,inputPrYr!G22,inputPrYr!E22)</f>
        <v>0</v>
      </c>
      <c r="E41" s="634" t="s">
        <v>255</v>
      </c>
      <c r="F41" s="669"/>
    </row>
    <row r="42" spans="2:6" ht="15.75">
      <c r="B42" s="628" t="s">
        <v>277</v>
      </c>
      <c r="C42" s="641"/>
      <c r="D42" s="635"/>
      <c r="E42" s="636"/>
      <c r="F42" s="669"/>
    </row>
    <row r="43" spans="2:6" ht="15.75">
      <c r="B43" s="628" t="s">
        <v>278</v>
      </c>
      <c r="C43" s="641"/>
      <c r="D43" s="635"/>
      <c r="E43" s="631">
        <f>mvalloc!G13</f>
        <v>0</v>
      </c>
      <c r="F43" s="669"/>
    </row>
    <row r="44" spans="2:6" ht="15.75">
      <c r="B44" s="628" t="s">
        <v>279</v>
      </c>
      <c r="C44" s="641"/>
      <c r="D44" s="635"/>
      <c r="E44" s="631">
        <f>mvalloc!I13</f>
        <v>0</v>
      </c>
      <c r="F44" s="669"/>
    </row>
    <row r="45" spans="2:5" ht="15.75">
      <c r="B45" s="637" t="s">
        <v>48</v>
      </c>
      <c r="C45" s="641"/>
      <c r="D45" s="635"/>
      <c r="E45" s="631">
        <f>mvalloc!J13</f>
        <v>0</v>
      </c>
    </row>
    <row r="46" spans="2:5" ht="15.75">
      <c r="B46" s="638"/>
      <c r="C46" s="641"/>
      <c r="D46" s="635"/>
      <c r="E46" s="639"/>
    </row>
    <row r="47" spans="2:5" ht="15.75">
      <c r="B47" s="638"/>
      <c r="C47" s="641"/>
      <c r="D47" s="635"/>
      <c r="E47" s="636"/>
    </row>
    <row r="48" spans="2:5" ht="15.75">
      <c r="B48" s="638"/>
      <c r="C48" s="641"/>
      <c r="D48" s="635"/>
      <c r="E48" s="636"/>
    </row>
    <row r="49" spans="2:5" ht="15.75">
      <c r="B49" s="640" t="s">
        <v>282</v>
      </c>
      <c r="C49" s="641"/>
      <c r="D49" s="635"/>
      <c r="E49" s="636"/>
    </row>
    <row r="50" spans="2:5" ht="15.75">
      <c r="B50" s="628" t="s">
        <v>228</v>
      </c>
      <c r="C50" s="641"/>
      <c r="D50" s="641"/>
      <c r="E50" s="700"/>
    </row>
    <row r="51" spans="2:5" ht="15.75">
      <c r="B51" s="628" t="s">
        <v>858</v>
      </c>
      <c r="C51" s="642">
        <f>IF(C52*0.1&lt;C50,"Exceed 10% Rule","")</f>
      </c>
      <c r="D51" s="642">
        <f>IF(D52*0.1&lt;D50,"Exceeds 10% Rule","")</f>
      </c>
      <c r="E51" s="643">
        <f>IF(E52*0.1&lt;E50,"Exceed 10% Rule","")</f>
      </c>
    </row>
    <row r="52" spans="2:5" ht="15.75">
      <c r="B52" s="644" t="s">
        <v>283</v>
      </c>
      <c r="C52" s="663">
        <f>SUM(C41:C50)</f>
        <v>0</v>
      </c>
      <c r="D52" s="663">
        <f>SUM(D41:D50)</f>
        <v>0</v>
      </c>
      <c r="E52" s="664">
        <f>SUM(E42:E50)</f>
        <v>0</v>
      </c>
    </row>
    <row r="53" spans="2:5" ht="15.75">
      <c r="B53" s="644" t="s">
        <v>284</v>
      </c>
      <c r="C53" s="663">
        <f>C39+C52</f>
        <v>0</v>
      </c>
      <c r="D53" s="663">
        <f>D39+D52</f>
        <v>0</v>
      </c>
      <c r="E53" s="664">
        <f>E39+E52</f>
        <v>0</v>
      </c>
    </row>
    <row r="54" spans="2:5" ht="15.75">
      <c r="B54" s="628" t="s">
        <v>285</v>
      </c>
      <c r="C54" s="628"/>
      <c r="D54" s="630"/>
      <c r="E54" s="631"/>
    </row>
    <row r="55" spans="2:5" ht="15.75">
      <c r="B55" s="638"/>
      <c r="C55" s="633"/>
      <c r="D55" s="635"/>
      <c r="E55" s="636"/>
    </row>
    <row r="56" spans="2:10" ht="15.75">
      <c r="B56" s="638"/>
      <c r="C56" s="633"/>
      <c r="D56" s="635"/>
      <c r="E56" s="636"/>
      <c r="G56" s="867" t="str">
        <f>CONCATENATE("Desired Carryover Into ",E1+1,"")</f>
        <v>Desired Carryover Into 2015</v>
      </c>
      <c r="H56" s="868"/>
      <c r="I56" s="868"/>
      <c r="J56" s="869"/>
    </row>
    <row r="57" spans="2:10" ht="15.75">
      <c r="B57" s="638"/>
      <c r="C57" s="633"/>
      <c r="D57" s="635"/>
      <c r="E57" s="636"/>
      <c r="G57" s="647"/>
      <c r="H57" s="648"/>
      <c r="I57" s="649"/>
      <c r="J57" s="650"/>
    </row>
    <row r="58" spans="2:10" ht="15.75">
      <c r="B58" s="638"/>
      <c r="C58" s="633"/>
      <c r="D58" s="635"/>
      <c r="E58" s="636"/>
      <c r="G58" s="654" t="str">
        <f>CONCATENATE("",E1," Tot Exp/Non-Appr Must Be:")</f>
        <v>2014 Tot Exp/Non-Appr Must Be:</v>
      </c>
      <c r="H58" s="655"/>
      <c r="I58" s="656"/>
      <c r="J58" s="657" t="e">
        <f>IF(#REF!&gt;0,IF(E67&lt;E53,IF(#REF!=G69,E67,((#REF!-G69)*(1-D69))+E53),E67+(#REF!-G69)),0)</f>
        <v>#REF!</v>
      </c>
    </row>
    <row r="59" spans="2:10" ht="15.75">
      <c r="B59" s="638"/>
      <c r="C59" s="633"/>
      <c r="D59" s="635"/>
      <c r="E59" s="636"/>
      <c r="G59" s="658" t="s">
        <v>859</v>
      </c>
      <c r="H59" s="659"/>
      <c r="I59" s="659"/>
      <c r="J59" s="660" t="e">
        <f>IF(#REF!&gt;0,J58-E67,0)</f>
        <v>#REF!</v>
      </c>
    </row>
    <row r="60" spans="2:6" ht="15.75">
      <c r="B60" s="637" t="s">
        <v>230</v>
      </c>
      <c r="C60" s="633"/>
      <c r="D60" s="635"/>
      <c r="E60" s="631">
        <f>nhood!E8</f>
      </c>
      <c r="F60" s="669"/>
    </row>
    <row r="61" spans="2:10" ht="15.75">
      <c r="B61" s="637" t="s">
        <v>228</v>
      </c>
      <c r="C61" s="641"/>
      <c r="D61" s="635"/>
      <c r="E61" s="636"/>
      <c r="F61" s="669"/>
      <c r="G61" s="867" t="str">
        <f>CONCATENATE("Projected Carryover Into ",E1+1,"")</f>
        <v>Projected Carryover Into 2015</v>
      </c>
      <c r="H61" s="870"/>
      <c r="I61" s="870"/>
      <c r="J61" s="871"/>
    </row>
    <row r="62" spans="2:10" ht="15.75">
      <c r="B62" s="637" t="s">
        <v>730</v>
      </c>
      <c r="C62" s="642">
        <f>IF(C63*0.1&lt;C61,"Exceed 10% Rule","")</f>
      </c>
      <c r="D62" s="642">
        <f>IF(D63*0.1&lt;D61,"Exceed 10% Rule","")</f>
      </c>
      <c r="E62" s="643">
        <f>IF(E63*0.1&lt;E61,"Exceed 10% Rule","")</f>
      </c>
      <c r="F62" s="669"/>
      <c r="G62" s="701"/>
      <c r="H62" s="648"/>
      <c r="I62" s="648"/>
      <c r="J62" s="702"/>
    </row>
    <row r="63" spans="2:10" ht="15.75">
      <c r="B63" s="644" t="s">
        <v>286</v>
      </c>
      <c r="C63" s="663">
        <f>SUM(C55:C61)</f>
        <v>0</v>
      </c>
      <c r="D63" s="663">
        <f>SUM(D55:D61)</f>
        <v>0</v>
      </c>
      <c r="E63" s="664">
        <f>SUM(E55:E61)</f>
        <v>0</v>
      </c>
      <c r="F63" s="669"/>
      <c r="G63" s="665">
        <f>D64</f>
        <v>0</v>
      </c>
      <c r="H63" s="666" t="str">
        <f>CONCATENATE("",E1-1," Ending Cash Balance (est.)")</f>
        <v>2013 Ending Cash Balance (est.)</v>
      </c>
      <c r="I63" s="667"/>
      <c r="J63" s="702"/>
    </row>
    <row r="64" spans="2:10" ht="15.75">
      <c r="B64" s="628" t="s">
        <v>68</v>
      </c>
      <c r="C64" s="668">
        <f>C53-C63</f>
        <v>0</v>
      </c>
      <c r="D64" s="668">
        <f>D53-D63</f>
        <v>0</v>
      </c>
      <c r="E64" s="634" t="s">
        <v>255</v>
      </c>
      <c r="F64" s="669"/>
      <c r="G64" s="665">
        <f>E52</f>
        <v>0</v>
      </c>
      <c r="H64" s="649" t="str">
        <f>CONCATENATE("",E1," Non-AV Receipts (est.)")</f>
        <v>2014 Non-AV Receipts (est.)</v>
      </c>
      <c r="I64" s="667"/>
      <c r="J64" s="702"/>
    </row>
    <row r="65" spans="2:11" ht="15.75">
      <c r="B65" s="670" t="str">
        <f>CONCATENATE("",E1-2,"/",E1-1," Budget Authority Amount:")</f>
        <v>2012/2013 Budget Authority Amount:</v>
      </c>
      <c r="C65" s="671">
        <f>inputOth!B85</f>
        <v>0</v>
      </c>
      <c r="D65" s="671">
        <f>inputPrYr!D22</f>
        <v>0</v>
      </c>
      <c r="E65" s="634" t="s">
        <v>255</v>
      </c>
      <c r="F65" s="673"/>
      <c r="G65" s="674">
        <f>IF(E69&gt;0,E68,E70)</f>
        <v>0</v>
      </c>
      <c r="H65" s="649" t="str">
        <f>CONCATENATE("",E1," Ad Valorem Tax (est.)")</f>
        <v>2014 Ad Valorem Tax (est.)</v>
      </c>
      <c r="I65" s="667"/>
      <c r="J65" s="702"/>
      <c r="K65" s="675">
        <f>IF(G65=E70,"","Note: Does not include Delinquent Taxes")</f>
      </c>
    </row>
    <row r="66" spans="2:10" ht="15.75">
      <c r="B66" s="670"/>
      <c r="C66" s="801" t="s">
        <v>727</v>
      </c>
      <c r="D66" s="802"/>
      <c r="E66" s="636"/>
      <c r="F66" s="703">
        <f>IF(E63/0.95-E63&lt;E66,"Exceeds 5%","")</f>
      </c>
      <c r="G66" s="704">
        <f>SUM(G63:G65)</f>
        <v>0</v>
      </c>
      <c r="H66" s="649" t="str">
        <f>CONCATENATE("Total ",E1," Resources Available")</f>
        <v>Total 2014 Resources Available</v>
      </c>
      <c r="I66" s="705"/>
      <c r="J66" s="702"/>
    </row>
    <row r="67" spans="2:10" ht="15.75">
      <c r="B67" s="677" t="str">
        <f>CONCATENATE(C85,"     ",D85)</f>
        <v>     </v>
      </c>
      <c r="C67" s="803" t="s">
        <v>728</v>
      </c>
      <c r="D67" s="804"/>
      <c r="E67" s="631">
        <f>E63+E66</f>
        <v>0</v>
      </c>
      <c r="F67" s="669"/>
      <c r="G67" s="706"/>
      <c r="H67" s="707"/>
      <c r="I67" s="648"/>
      <c r="J67" s="702"/>
    </row>
    <row r="68" spans="2:10" ht="15.75">
      <c r="B68" s="677" t="str">
        <f>CONCATENATE(C86,"     ",D86)</f>
        <v>     </v>
      </c>
      <c r="C68" s="679"/>
      <c r="D68" s="616" t="s">
        <v>288</v>
      </c>
      <c r="E68" s="680">
        <f>IF(E67-E53&gt;0,E67-E53,0)</f>
        <v>0</v>
      </c>
      <c r="F68" s="669"/>
      <c r="G68" s="674">
        <f>ROUND(C63*0.05+C63,0)</f>
        <v>0</v>
      </c>
      <c r="H68" s="649" t="str">
        <f>CONCATENATE("Less ",E1-2," Expenditures + 5%")</f>
        <v>Less 2012 Expenditures + 5%</v>
      </c>
      <c r="I68" s="705"/>
      <c r="J68" s="702"/>
    </row>
    <row r="69" spans="2:10" ht="15.75">
      <c r="B69" s="616"/>
      <c r="C69" s="502" t="s">
        <v>729</v>
      </c>
      <c r="D69" s="681">
        <f>inputOth!E77</f>
        <v>0</v>
      </c>
      <c r="E69" s="631">
        <f>ROUND(IF(E68&gt;0,(E68*D69),0),0)</f>
        <v>0</v>
      </c>
      <c r="F69" s="669"/>
      <c r="G69" s="682">
        <f>G66-G68</f>
        <v>0</v>
      </c>
      <c r="H69" s="683" t="str">
        <f>CONCATENATE("Projected ",E1+1," carryover (est.)")</f>
        <v>Projected 2015 carryover (est.)</v>
      </c>
      <c r="I69" s="708"/>
      <c r="J69" s="709"/>
    </row>
    <row r="70" spans="2:6" ht="16.5" thickBot="1">
      <c r="B70" s="613"/>
      <c r="C70" s="872" t="str">
        <f>CONCATENATE("Amount of  ",E1-1," Ad Valorem Tax")</f>
        <v>Amount of  2013 Ad Valorem Tax</v>
      </c>
      <c r="D70" s="873"/>
      <c r="E70" s="687">
        <f>E68+E69</f>
        <v>0</v>
      </c>
      <c r="F70" s="710" t="str">
        <f>IF('[1]Library Grant'!F33="","",IF('[1]Library Grant'!F33="Qualify","Qualifies for State Library Grant","See 'Library Grant' tab"))</f>
        <v>Qualifies for State Library Grant</v>
      </c>
    </row>
    <row r="71" spans="2:10" ht="16.5" thickTop="1">
      <c r="B71" s="616"/>
      <c r="C71" s="872"/>
      <c r="D71" s="873"/>
      <c r="E71" s="688"/>
      <c r="F71" s="669"/>
      <c r="G71" s="874" t="s">
        <v>860</v>
      </c>
      <c r="H71" s="875"/>
      <c r="I71" s="875"/>
      <c r="J71" s="876"/>
    </row>
    <row r="72" spans="2:10" ht="15.75">
      <c r="B72" s="616"/>
      <c r="C72" s="616"/>
      <c r="D72" s="616"/>
      <c r="E72" s="616"/>
      <c r="G72" s="689"/>
      <c r="H72" s="666"/>
      <c r="I72" s="690"/>
      <c r="J72" s="691"/>
    </row>
    <row r="73" spans="2:10" ht="15.75">
      <c r="B73" s="616" t="s">
        <v>269</v>
      </c>
      <c r="C73" s="711"/>
      <c r="D73" s="616"/>
      <c r="E73" s="616"/>
      <c r="F73" s="669"/>
      <c r="G73" s="692" t="e">
        <f>summ!#REF!</f>
        <v>#REF!</v>
      </c>
      <c r="H73" s="666" t="str">
        <f>CONCATENATE("",E1," Fund Mill Rate")</f>
        <v>2014 Fund Mill Rate</v>
      </c>
      <c r="I73" s="690"/>
      <c r="J73" s="691"/>
    </row>
    <row r="74" spans="7:10" ht="15.75">
      <c r="G74" s="693" t="e">
        <f>summ!#REF!</f>
        <v>#REF!</v>
      </c>
      <c r="H74" s="666" t="str">
        <f>CONCATENATE("",E1-1," Fund Mill Rate")</f>
        <v>2013 Fund Mill Rate</v>
      </c>
      <c r="I74" s="690"/>
      <c r="J74" s="691"/>
    </row>
    <row r="75" spans="7:10" ht="15.75">
      <c r="G75" s="695">
        <f>summ!H20</f>
        <v>0.182</v>
      </c>
      <c r="H75" s="666" t="str">
        <f>CONCATENATE("Total ",E1," Mill Rate")</f>
        <v>Total 2014 Mill Rate</v>
      </c>
      <c r="I75" s="690"/>
      <c r="J75" s="691"/>
    </row>
    <row r="76" spans="7:10" ht="15.75">
      <c r="G76" s="693">
        <f>summ!E20</f>
        <v>0.19</v>
      </c>
      <c r="H76" s="696" t="str">
        <f>CONCATENATE("Total ",E1-1," Mill Rate")</f>
        <v>Total 2013 Mill Rate</v>
      </c>
      <c r="I76" s="697"/>
      <c r="J76" s="698"/>
    </row>
    <row r="77" spans="7:10" ht="15.75">
      <c r="G77" s="712"/>
      <c r="H77" s="712"/>
      <c r="I77" s="712"/>
      <c r="J77" s="712"/>
    </row>
    <row r="78" spans="3:4" ht="15.75">
      <c r="C78" s="713" t="s">
        <v>861</v>
      </c>
      <c r="D78" s="713" t="s">
        <v>861</v>
      </c>
    </row>
    <row r="79" spans="3:4" ht="15.75">
      <c r="C79" s="713" t="s">
        <v>861</v>
      </c>
      <c r="D79" s="713" t="s">
        <v>861</v>
      </c>
    </row>
    <row r="81" spans="3:4" ht="15.75">
      <c r="C81" s="713" t="s">
        <v>861</v>
      </c>
      <c r="D81" s="713" t="s">
        <v>861</v>
      </c>
    </row>
    <row r="82" spans="3:4" ht="15.75">
      <c r="C82" s="713" t="s">
        <v>861</v>
      </c>
      <c r="D82" s="713" t="s">
        <v>861</v>
      </c>
    </row>
    <row r="83" spans="3:4" ht="15.75" hidden="1">
      <c r="C83" s="714">
        <f>IF(C26&gt;C28,"See Tab A","")</f>
      </c>
      <c r="D83" s="714">
        <f>IF(D26&gt;D28,"See Tab C","")</f>
      </c>
    </row>
    <row r="84" spans="3:4" ht="15.75" hidden="1">
      <c r="C84" s="714">
        <f>IF(C27&lt;0,"See Tab B","")</f>
      </c>
      <c r="D84" s="714">
        <f>IF(D27&lt;0,"See Tab D","")</f>
      </c>
    </row>
    <row r="85" spans="3:4" ht="15.75" hidden="1">
      <c r="C85" s="715">
        <f>IF(C63&gt;C65,"See Tab A","")</f>
      </c>
      <c r="D85" s="715">
        <f>IF(D63&gt;D65,"See Tab C","")</f>
      </c>
    </row>
    <row r="86" spans="3:4" ht="15.75" hidden="1">
      <c r="C86" s="715">
        <f>IF(C64&lt;0,"See Tab B","")</f>
      </c>
      <c r="D86" s="715">
        <f>IF(D64&lt;0,"See Tab D","")</f>
      </c>
    </row>
  </sheetData>
  <sheetProtection/>
  <mergeCells count="13">
    <mergeCell ref="G24:J24"/>
    <mergeCell ref="C29:D29"/>
    <mergeCell ref="C30:D30"/>
    <mergeCell ref="C33:D33"/>
    <mergeCell ref="C34:D34"/>
    <mergeCell ref="G34:J34"/>
    <mergeCell ref="G56:J56"/>
    <mergeCell ref="G61:J61"/>
    <mergeCell ref="C66:D66"/>
    <mergeCell ref="C67:D67"/>
    <mergeCell ref="C70:D70"/>
    <mergeCell ref="C71:D71"/>
    <mergeCell ref="G71:J71"/>
  </mergeCells>
  <conditionalFormatting sqref="C63">
    <cfRule type="cellIs" priority="16" dxfId="0" operator="greaterThan" stopIfTrue="1">
      <formula>$C$65</formula>
    </cfRule>
  </conditionalFormatting>
  <conditionalFormatting sqref="C64:D64 C27:D27">
    <cfRule type="cellIs" priority="15" dxfId="0" operator="lessThan" stopIfTrue="1">
      <formula>0</formula>
    </cfRule>
  </conditionalFormatting>
  <conditionalFormatting sqref="D63">
    <cfRule type="cellIs" priority="14" dxfId="0" operator="greaterThan" stopIfTrue="1">
      <formula>$D$65</formula>
    </cfRule>
  </conditionalFormatting>
  <conditionalFormatting sqref="C26">
    <cfRule type="cellIs" priority="13" dxfId="0" operator="greaterThan" stopIfTrue="1">
      <formula>$C$28</formula>
    </cfRule>
  </conditionalFormatting>
  <conditionalFormatting sqref="D26">
    <cfRule type="cellIs" priority="12" dxfId="0" operator="greaterThan" stopIfTrue="1">
      <formula>$D$28</formula>
    </cfRule>
  </conditionalFormatting>
  <conditionalFormatting sqref="C24">
    <cfRule type="cellIs" priority="11" dxfId="0" operator="greaterThan" stopIfTrue="1">
      <formula>$C$26*0.1</formula>
    </cfRule>
  </conditionalFormatting>
  <conditionalFormatting sqref="D24">
    <cfRule type="cellIs" priority="10" dxfId="0" operator="greaterThan" stopIfTrue="1">
      <formula>$D$26*0.1</formula>
    </cfRule>
  </conditionalFormatting>
  <conditionalFormatting sqref="E24">
    <cfRule type="cellIs" priority="9" dxfId="0" operator="greaterThan" stopIfTrue="1">
      <formula>$E$26*0.1</formula>
    </cfRule>
  </conditionalFormatting>
  <conditionalFormatting sqref="C50:E50 C16">
    <cfRule type="cellIs" priority="8" dxfId="0" operator="greaterThan" stopIfTrue="1">
      <formula>$C$18*0.1</formula>
    </cfRule>
  </conditionalFormatting>
  <conditionalFormatting sqref="D16">
    <cfRule type="cellIs" priority="7" dxfId="0" operator="greaterThan" stopIfTrue="1">
      <formula>$D$18*0.1</formula>
    </cfRule>
  </conditionalFormatting>
  <conditionalFormatting sqref="C61">
    <cfRule type="cellIs" priority="5" dxfId="0" operator="greaterThan" stopIfTrue="1">
      <formula>$C$63*0.1</formula>
    </cfRule>
  </conditionalFormatting>
  <conditionalFormatting sqref="D61">
    <cfRule type="cellIs" priority="4" dxfId="0" operator="greaterThan" stopIfTrue="1">
      <formula>$D$63*0.1</formula>
    </cfRule>
  </conditionalFormatting>
  <conditionalFormatting sqref="E61">
    <cfRule type="cellIs" priority="3" dxfId="0" operator="greaterThan" stopIfTrue="1">
      <formula>$E$63*0.1</formula>
    </cfRule>
  </conditionalFormatting>
  <conditionalFormatting sqref="E29">
    <cfRule type="cellIs" priority="2" dxfId="0" operator="greaterThan" stopIfTrue="1">
      <formula>$E$26/0.95-$E$26</formula>
    </cfRule>
  </conditionalFormatting>
  <conditionalFormatting sqref="E66">
    <cfRule type="cellIs" priority="1" dxfId="0" operator="greaterThan" stopIfTrue="1">
      <formula>$E$63/0.98-$E$63</formula>
    </cfRule>
  </conditionalFormatting>
  <conditionalFormatting sqref="E16">
    <cfRule type="cellIs" priority="19" dxfId="0" operator="greaterThan" stopIfTrue="1">
      <formula>$E$18*0.1+$E$33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72"/>
  <sheetViews>
    <sheetView zoomScale="90" zoomScaleNormal="90" zoomScalePageLayoutView="0" workbookViewId="0" topLeftCell="A1">
      <selection activeCell="C73" sqref="C73"/>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Center Township</v>
      </c>
      <c r="C1" s="65"/>
      <c r="D1" s="65"/>
      <c r="E1" s="223">
        <f>inputPrYr!D9</f>
        <v>2014</v>
      </c>
    </row>
    <row r="2" spans="2:5" ht="15.75">
      <c r="B2" s="541" t="s">
        <v>763</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2012</v>
      </c>
      <c r="D5" s="391" t="str">
        <f>gen!D5</f>
        <v>Estimate for 2013</v>
      </c>
      <c r="E5" s="78" t="str">
        <f>gen!E5</f>
        <v>Year for 2014</v>
      </c>
    </row>
    <row r="6" spans="2:5" ht="15.75">
      <c r="B6" s="79" t="s">
        <v>67</v>
      </c>
      <c r="C6" s="311">
        <v>0</v>
      </c>
      <c r="D6" s="392">
        <f>C43</f>
        <v>0</v>
      </c>
      <c r="E6" s="259">
        <f>D43</f>
        <v>0</v>
      </c>
    </row>
    <row r="7" spans="2:5" ht="15.75">
      <c r="B7" s="79" t="s">
        <v>69</v>
      </c>
      <c r="C7" s="392"/>
      <c r="D7" s="392"/>
      <c r="E7" s="313"/>
    </row>
    <row r="8" spans="2:5" ht="15.75">
      <c r="B8" s="79" t="s">
        <v>276</v>
      </c>
      <c r="C8" s="311"/>
      <c r="D8" s="392">
        <f>IF(inputPrYr!H19&gt;0,inputPrYr!G23,inputPrYr!E23)</f>
        <v>0</v>
      </c>
      <c r="E8" s="313" t="s">
        <v>255</v>
      </c>
    </row>
    <row r="9" spans="2:5" ht="15.75">
      <c r="B9" s="79" t="s">
        <v>277</v>
      </c>
      <c r="C9" s="311"/>
      <c r="D9" s="311"/>
      <c r="E9" s="169"/>
    </row>
    <row r="10" spans="2:5" ht="15.75">
      <c r="B10" s="79" t="s">
        <v>278</v>
      </c>
      <c r="C10" s="311"/>
      <c r="D10" s="311"/>
      <c r="E10" s="259">
        <f>mvalloc!G14</f>
        <v>0</v>
      </c>
    </row>
    <row r="11" spans="2:5" ht="15.75">
      <c r="B11" s="79" t="s">
        <v>279</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t="s">
        <v>944</v>
      </c>
      <c r="C14" s="311"/>
      <c r="D14" s="311"/>
      <c r="E14" s="169"/>
    </row>
    <row r="15" spans="2:5" ht="15.75">
      <c r="B15" s="316" t="s">
        <v>945</v>
      </c>
      <c r="C15" s="311"/>
      <c r="D15" s="311"/>
      <c r="E15" s="169"/>
    </row>
    <row r="16" spans="2:5" ht="15.75">
      <c r="B16" s="316" t="s">
        <v>946</v>
      </c>
      <c r="C16" s="311"/>
      <c r="D16" s="311"/>
      <c r="E16" s="169"/>
    </row>
    <row r="17" spans="2:5" ht="15.75">
      <c r="B17" s="316"/>
      <c r="C17" s="311"/>
      <c r="D17" s="311"/>
      <c r="E17" s="169"/>
    </row>
    <row r="18" spans="2:5" ht="15.75">
      <c r="B18" s="316"/>
      <c r="C18" s="311"/>
      <c r="D18" s="311"/>
      <c r="E18" s="169"/>
    </row>
    <row r="19" spans="2:5" ht="15.75">
      <c r="B19" s="316" t="s">
        <v>282</v>
      </c>
      <c r="C19" s="311"/>
      <c r="D19" s="311"/>
      <c r="E19" s="169"/>
    </row>
    <row r="20" spans="2:5" ht="15.75">
      <c r="B20" s="317" t="s">
        <v>228</v>
      </c>
      <c r="C20" s="311"/>
      <c r="D20" s="311"/>
      <c r="E20" s="169"/>
    </row>
    <row r="21" spans="2:5" ht="15.75">
      <c r="B21" s="317" t="s">
        <v>229</v>
      </c>
      <c r="C21" s="394">
        <f>IF(C22*0.1&lt;C20,"Exceed 10% Rule","")</f>
      </c>
      <c r="D21" s="394">
        <f>IF(D22*0.1&lt;D20,"Exceed 10% Rule","")</f>
      </c>
      <c r="E21" s="321">
        <f>IF(E22*0.1+E49&lt;E20,"Exceed 10% Rule","")</f>
      </c>
    </row>
    <row r="22" spans="2:5" ht="15.75">
      <c r="B22" s="319" t="s">
        <v>283</v>
      </c>
      <c r="C22" s="395">
        <f>SUM(C8:C20)</f>
        <v>0</v>
      </c>
      <c r="D22" s="395">
        <f>SUM(D8:D20)</f>
        <v>0</v>
      </c>
      <c r="E22" s="320">
        <f>SUM(E8:E20)</f>
        <v>0</v>
      </c>
    </row>
    <row r="23" spans="2:5" ht="15.75">
      <c r="B23" s="97" t="s">
        <v>284</v>
      </c>
      <c r="C23" s="395">
        <f>C22+C6</f>
        <v>0</v>
      </c>
      <c r="D23" s="395">
        <f>D22+D6</f>
        <v>0</v>
      </c>
      <c r="E23" s="320">
        <f>E22+E6</f>
        <v>0</v>
      </c>
    </row>
    <row r="24" spans="2:5" ht="15.75">
      <c r="B24" s="79" t="s">
        <v>285</v>
      </c>
      <c r="C24" s="392"/>
      <c r="D24" s="392"/>
      <c r="E24" s="259"/>
    </row>
    <row r="25" spans="2:5" ht="15.75">
      <c r="B25" s="316"/>
      <c r="C25" s="311"/>
      <c r="D25" s="311"/>
      <c r="E25" s="169"/>
    </row>
    <row r="26" spans="2:5" ht="15.75">
      <c r="B26" s="316" t="s">
        <v>50</v>
      </c>
      <c r="C26" s="311"/>
      <c r="D26" s="311"/>
      <c r="E26" s="169"/>
    </row>
    <row r="27" spans="2:5" ht="15.75">
      <c r="B27" s="316" t="s">
        <v>74</v>
      </c>
      <c r="C27" s="311"/>
      <c r="D27" s="311"/>
      <c r="E27" s="169"/>
    </row>
    <row r="28" spans="2:5" ht="15.75">
      <c r="B28" s="315" t="s">
        <v>51</v>
      </c>
      <c r="C28" s="311"/>
      <c r="D28" s="311"/>
      <c r="E28" s="169"/>
    </row>
    <row r="29" spans="2:5" ht="15.75">
      <c r="B29" s="316" t="s">
        <v>75</v>
      </c>
      <c r="C29" s="311"/>
      <c r="D29" s="311"/>
      <c r="E29" s="169"/>
    </row>
    <row r="30" spans="2:5" ht="15.75">
      <c r="B30" s="316" t="s">
        <v>54</v>
      </c>
      <c r="C30" s="311"/>
      <c r="D30" s="311"/>
      <c r="E30" s="169"/>
    </row>
    <row r="31" spans="2:5" ht="15.75">
      <c r="B31" s="316" t="s">
        <v>52</v>
      </c>
      <c r="C31" s="311"/>
      <c r="D31" s="311"/>
      <c r="E31" s="169"/>
    </row>
    <row r="32" spans="2:5" ht="15.75">
      <c r="B32" s="316" t="s">
        <v>947</v>
      </c>
      <c r="C32" s="311"/>
      <c r="D32" s="311"/>
      <c r="E32" s="169"/>
    </row>
    <row r="33" spans="2:10" ht="15.75">
      <c r="B33" s="316" t="s">
        <v>948</v>
      </c>
      <c r="C33" s="311"/>
      <c r="D33" s="311"/>
      <c r="E33" s="169"/>
      <c r="G33" s="807" t="str">
        <f>CONCATENATE("Desired Carryover Into ",E1+1,"")</f>
        <v>Desired Carryover Into 2015</v>
      </c>
      <c r="H33" s="808"/>
      <c r="I33" s="808"/>
      <c r="J33" s="809"/>
    </row>
    <row r="34" spans="2:10" ht="15.75">
      <c r="B34" s="316" t="s">
        <v>949</v>
      </c>
      <c r="C34" s="311"/>
      <c r="D34" s="311"/>
      <c r="E34" s="169"/>
      <c r="G34" s="509"/>
      <c r="H34" s="543"/>
      <c r="I34" s="548"/>
      <c r="J34" s="510"/>
    </row>
    <row r="35" spans="2:10" ht="15.75">
      <c r="B35" s="315"/>
      <c r="C35" s="311"/>
      <c r="D35" s="311"/>
      <c r="E35" s="169"/>
      <c r="G35" s="511" t="s">
        <v>732</v>
      </c>
      <c r="H35" s="548"/>
      <c r="I35" s="548"/>
      <c r="J35" s="512">
        <v>0</v>
      </c>
    </row>
    <row r="36" spans="2:10" ht="15.75">
      <c r="B36" s="315"/>
      <c r="C36" s="311"/>
      <c r="D36" s="311"/>
      <c r="E36" s="169"/>
      <c r="G36" s="509" t="s">
        <v>733</v>
      </c>
      <c r="H36" s="543"/>
      <c r="I36" s="543"/>
      <c r="J36" s="719">
        <f>IF(J35=0,"",ROUND((J35+E49-G48)/inputOth!E11*1000,3)-G53)</f>
      </c>
    </row>
    <row r="37" spans="2:10" ht="15.75">
      <c r="B37" s="79" t="s">
        <v>53</v>
      </c>
      <c r="C37" s="311"/>
      <c r="D37" s="311"/>
      <c r="E37" s="169"/>
      <c r="G37" s="720" t="str">
        <f>CONCATENATE("",E1," Tot Exp/Non-Appr Must Be:")</f>
        <v>2014 Tot Exp/Non-Appr Must Be:</v>
      </c>
      <c r="H37" s="538"/>
      <c r="I37" s="716"/>
      <c r="J37" s="721">
        <f>IF(J35&gt;0,IF(E46&lt;E23,IF(J35=G48,E46,((J35-G48)*(1-D48))+E23),E46+(J35-G48)),0)</f>
        <v>0</v>
      </c>
    </row>
    <row r="38" spans="2:10" ht="15.75">
      <c r="B38" s="79" t="s">
        <v>734</v>
      </c>
      <c r="C38" s="394">
        <f>IF(C23*0.25&lt;C37,"Exceeds 25%","")</f>
      </c>
      <c r="D38" s="394">
        <f>IF(D23*0.25&lt;D37,"Exceeds 25%","")</f>
      </c>
      <c r="E38" s="321">
        <f>IF(E23*0.25+E49&lt;E37,"Exceeds 25%","")</f>
      </c>
      <c r="G38" s="722" t="s">
        <v>859</v>
      </c>
      <c r="H38" s="723"/>
      <c r="I38" s="723"/>
      <c r="J38" s="724">
        <f>IF(J35&gt;0,J37-E46,0)</f>
        <v>0</v>
      </c>
    </row>
    <row r="39" spans="2:5" ht="15.75">
      <c r="B39" s="314" t="s">
        <v>230</v>
      </c>
      <c r="C39" s="311"/>
      <c r="D39" s="311"/>
      <c r="E39" s="180">
        <f>nhood!E9</f>
      </c>
    </row>
    <row r="40" spans="2:10" ht="15.75">
      <c r="B40" s="314" t="s">
        <v>228</v>
      </c>
      <c r="C40" s="311"/>
      <c r="D40" s="311"/>
      <c r="E40" s="169"/>
      <c r="G40" s="807" t="str">
        <f>CONCATENATE("Projected Carryover Into ",E1+1,"")</f>
        <v>Projected Carryover Into 2015</v>
      </c>
      <c r="H40" s="808"/>
      <c r="I40" s="808"/>
      <c r="J40" s="809"/>
    </row>
    <row r="41" spans="2:10" ht="15.75">
      <c r="B41" s="314" t="s">
        <v>730</v>
      </c>
      <c r="C41" s="394">
        <f>IF(C42*0.1&lt;C40,"Exceed 10% Rule","")</f>
      </c>
      <c r="D41" s="394">
        <f>IF(D42*0.1&lt;D40,"Exceed 10% Rule","")</f>
      </c>
      <c r="E41" s="321">
        <f>IF(E42*0.1&lt;E40,"Exceed 10% Rule","")</f>
      </c>
      <c r="G41" s="542"/>
      <c r="H41" s="543"/>
      <c r="I41" s="543"/>
      <c r="J41" s="544"/>
    </row>
    <row r="42" spans="2:10" ht="15.75">
      <c r="B42" s="97" t="s">
        <v>286</v>
      </c>
      <c r="C42" s="395">
        <f>SUM(C25:C40)</f>
        <v>0</v>
      </c>
      <c r="D42" s="395">
        <f>SUM(D25:D40)</f>
        <v>0</v>
      </c>
      <c r="E42" s="320">
        <f>SUM(E25:E37,E40)</f>
        <v>0</v>
      </c>
      <c r="G42" s="545">
        <f>D43</f>
        <v>0</v>
      </c>
      <c r="H42" s="546" t="str">
        <f>CONCATENATE("",E1-1," Ending Cash Balance (est.)")</f>
        <v>2013 Ending Cash Balance (est.)</v>
      </c>
      <c r="I42" s="547"/>
      <c r="J42" s="544"/>
    </row>
    <row r="43" spans="2:10" ht="15.75">
      <c r="B43" s="79" t="s">
        <v>68</v>
      </c>
      <c r="C43" s="396">
        <f>C23-C42</f>
        <v>0</v>
      </c>
      <c r="D43" s="396">
        <f>D23-D42</f>
        <v>0</v>
      </c>
      <c r="E43" s="313" t="s">
        <v>255</v>
      </c>
      <c r="G43" s="545">
        <f>E22</f>
        <v>0</v>
      </c>
      <c r="H43" s="548" t="str">
        <f>CONCATENATE("",E1," Non-AV Receipts (est.)")</f>
        <v>2014 Non-AV Receipts (est.)</v>
      </c>
      <c r="I43" s="547"/>
      <c r="J43" s="544"/>
    </row>
    <row r="44" spans="2:11" ht="15.75">
      <c r="B44" s="115" t="str">
        <f>CONCATENATE("",$E$1-2,"/",$E$1-1," Budget Authority Amount:")</f>
        <v>2012/2013 Budget Authority Amount:</v>
      </c>
      <c r="C44" s="336">
        <f>inputOth!B86</f>
        <v>0</v>
      </c>
      <c r="D44" s="82">
        <f>inputPrYr!D23</f>
        <v>0</v>
      </c>
      <c r="E44" s="313" t="s">
        <v>255</v>
      </c>
      <c r="F44" s="322"/>
      <c r="G44" s="549">
        <f>IF(D48&gt;0,E47,E49)</f>
        <v>0</v>
      </c>
      <c r="H44" s="548" t="str">
        <f>CONCATENATE("",E1," Ad Valorem Tax (est.)")</f>
        <v>2014 Ad Valorem Tax (est.)</v>
      </c>
      <c r="I44" s="547"/>
      <c r="J44" s="544"/>
      <c r="K44" s="725">
        <f>IF(G44=E49,"","Note: Does not include Delinquent Taxes")</f>
      </c>
    </row>
    <row r="45" spans="2:10" ht="15.75">
      <c r="B45" s="115"/>
      <c r="C45" s="801" t="s">
        <v>727</v>
      </c>
      <c r="D45" s="802"/>
      <c r="E45" s="169"/>
      <c r="F45" s="734">
        <f>IF(E42/0.95-E42&lt;E45,"Exceeds 5%","")</f>
      </c>
      <c r="G45" s="545">
        <f>SUM(G42:G44)</f>
        <v>0</v>
      </c>
      <c r="H45" s="548" t="str">
        <f>CONCATENATE("Total ",E1," Resources Available")</f>
        <v>Total 2014 Resources Available</v>
      </c>
      <c r="I45" s="547"/>
      <c r="J45" s="544"/>
    </row>
    <row r="46" spans="2:10" ht="15.75">
      <c r="B46" s="501" t="str">
        <f>CONCATENATE(C71,"     ",D71)</f>
        <v>     </v>
      </c>
      <c r="C46" s="803" t="s">
        <v>728</v>
      </c>
      <c r="D46" s="804"/>
      <c r="E46" s="259">
        <f>E42+E45</f>
        <v>0</v>
      </c>
      <c r="G46" s="550"/>
      <c r="H46" s="548"/>
      <c r="I46" s="548"/>
      <c r="J46" s="544"/>
    </row>
    <row r="47" spans="2:10" ht="15.75">
      <c r="B47" s="501" t="str">
        <f>CONCATENATE(C72,"     ",D72)</f>
        <v>     </v>
      </c>
      <c r="C47" s="504"/>
      <c r="D47" s="503" t="s">
        <v>288</v>
      </c>
      <c r="E47" s="180">
        <f>IF(E46-E23&gt;0,E46-E23,0)</f>
        <v>0</v>
      </c>
      <c r="G47" s="549">
        <f>ROUND(C42*0.05+C42,0)</f>
        <v>0</v>
      </c>
      <c r="H47" s="548" t="str">
        <f>CONCATENATE("Less ",E1-2," Expenditures + 5%")</f>
        <v>Less 2012 Expenditures + 5%</v>
      </c>
      <c r="I47" s="547"/>
      <c r="J47" s="544"/>
    </row>
    <row r="48" spans="2:10" ht="15.75">
      <c r="B48" s="208"/>
      <c r="C48" s="502" t="s">
        <v>729</v>
      </c>
      <c r="D48" s="718">
        <f>inputOth!$E$77</f>
        <v>0</v>
      </c>
      <c r="E48" s="259">
        <f>ROUND(IF(D48&gt;0,(E47*D48),0),0)</f>
        <v>0</v>
      </c>
      <c r="G48" s="551">
        <f>G45-G47</f>
        <v>0</v>
      </c>
      <c r="H48" s="552" t="str">
        <f>CONCATENATE("Projected ",E1+1," Carryover (est.)")</f>
        <v>Projected 2015 Carryover (est.)</v>
      </c>
      <c r="I48" s="553"/>
      <c r="J48" s="554"/>
    </row>
    <row r="49" spans="2:5" ht="15.75">
      <c r="B49" s="65"/>
      <c r="C49" s="805" t="str">
        <f>CONCATENATE("Amount of  ",$E$1-1," Ad Valorem Tax")</f>
        <v>Amount of  2013 Ad Valorem Tax</v>
      </c>
      <c r="D49" s="806"/>
      <c r="E49" s="180">
        <f>E47+E48</f>
        <v>0</v>
      </c>
    </row>
    <row r="50" spans="2:10" ht="15.75">
      <c r="B50" s="65"/>
      <c r="C50" s="65"/>
      <c r="D50" s="65"/>
      <c r="E50" s="65"/>
      <c r="G50" s="810" t="s">
        <v>860</v>
      </c>
      <c r="H50" s="811"/>
      <c r="I50" s="811"/>
      <c r="J50" s="812"/>
    </row>
    <row r="51" spans="2:10" ht="15.75">
      <c r="B51" s="65"/>
      <c r="C51" s="65"/>
      <c r="D51" s="65"/>
      <c r="E51" s="65"/>
      <c r="G51" s="726"/>
      <c r="H51" s="546"/>
      <c r="I51" s="717"/>
      <c r="J51" s="727"/>
    </row>
    <row r="52" spans="2:10" ht="15.75">
      <c r="B52" s="155" t="s">
        <v>290</v>
      </c>
      <c r="C52" s="203">
        <f>E1-2</f>
        <v>2012</v>
      </c>
      <c r="D52" s="65"/>
      <c r="E52" s="65"/>
      <c r="G52" s="728" t="e">
        <f>summ!#REF!</f>
        <v>#REF!</v>
      </c>
      <c r="H52" s="546" t="str">
        <f>CONCATENATE("",E1," Fund Mill Rate")</f>
        <v>2014 Fund Mill Rate</v>
      </c>
      <c r="I52" s="717"/>
      <c r="J52" s="727"/>
    </row>
    <row r="53" spans="2:10" ht="15.75">
      <c r="B53" s="76" t="s">
        <v>291</v>
      </c>
      <c r="C53" s="78" t="s">
        <v>292</v>
      </c>
      <c r="D53" s="65"/>
      <c r="E53" s="65"/>
      <c r="G53" s="729" t="e">
        <f>summ!#REF!</f>
        <v>#REF!</v>
      </c>
      <c r="H53" s="546" t="str">
        <f>CONCATENATE("",E1-1," Fund Mill Rate")</f>
        <v>2013 Fund Mill Rate</v>
      </c>
      <c r="I53" s="717"/>
      <c r="J53" s="727"/>
    </row>
    <row r="54" spans="2:10" ht="15.75">
      <c r="B54" s="103" t="s">
        <v>274</v>
      </c>
      <c r="C54" s="500"/>
      <c r="D54" s="65"/>
      <c r="E54" s="65"/>
      <c r="G54" s="730">
        <f>summ!H20</f>
        <v>0.182</v>
      </c>
      <c r="H54" s="546" t="str">
        <f>CONCATENATE("Total ",E1," Mill Rate")</f>
        <v>Total 2014 Mill Rate</v>
      </c>
      <c r="I54" s="717"/>
      <c r="J54" s="727"/>
    </row>
    <row r="55" spans="2:10" ht="15.75">
      <c r="B55" s="103" t="s">
        <v>293</v>
      </c>
      <c r="C55" s="336"/>
      <c r="D55" s="65"/>
      <c r="E55" s="65"/>
      <c r="G55" s="729">
        <f>summ!E20</f>
        <v>0.19</v>
      </c>
      <c r="H55" s="731" t="str">
        <f>CONCATENATE("Total ",E1-1," Mill Rate")</f>
        <v>Total 2013 Mill Rate</v>
      </c>
      <c r="I55" s="732"/>
      <c r="J55" s="733"/>
    </row>
    <row r="56" spans="2:5" ht="15.75">
      <c r="B56" s="103" t="s">
        <v>294</v>
      </c>
      <c r="C56" s="495">
        <f>IF(C37&gt;0,C37,0)</f>
        <v>0</v>
      </c>
      <c r="D56" s="327">
        <f>IF(C37&gt;(C23*0.25),"Exceeds 25% of Resources Available","")</f>
      </c>
      <c r="E56" s="65"/>
    </row>
    <row r="57" spans="2:5" ht="15.75">
      <c r="B57" s="103" t="s">
        <v>192</v>
      </c>
      <c r="C57" s="494">
        <f>IF(gen!C34&gt;0,gen!C34,0)</f>
        <v>0</v>
      </c>
      <c r="D57" s="878">
        <f>IF(AND(gen!C34&gt;0,gen!C36&gt;0),"Not Auth. Two General Transfers - Only One","")</f>
      </c>
      <c r="E57" s="65"/>
    </row>
    <row r="58" spans="2:5" ht="15.75">
      <c r="B58" s="103" t="s">
        <v>193</v>
      </c>
      <c r="C58" s="495">
        <f>IF(gen!C36&gt;0,gen!C36,0)</f>
        <v>0</v>
      </c>
      <c r="D58" s="879"/>
      <c r="E58" s="65"/>
    </row>
    <row r="59" spans="2:5" ht="15.75">
      <c r="B59" s="171"/>
      <c r="C59" s="500"/>
      <c r="D59" s="65"/>
      <c r="E59" s="65"/>
    </row>
    <row r="60" spans="2:5" ht="15.75">
      <c r="B60" s="171" t="s">
        <v>282</v>
      </c>
      <c r="C60" s="500"/>
      <c r="D60" s="65"/>
      <c r="E60" s="65"/>
    </row>
    <row r="61" spans="2:5" ht="15.75">
      <c r="B61" s="171" t="s">
        <v>281</v>
      </c>
      <c r="C61" s="500"/>
      <c r="D61" s="65"/>
      <c r="E61" s="65"/>
    </row>
    <row r="62" spans="2:5" ht="15.75">
      <c r="B62" s="328" t="s">
        <v>284</v>
      </c>
      <c r="C62" s="493">
        <f>SUM(C54,C56:C61)</f>
        <v>0</v>
      </c>
      <c r="D62" s="65"/>
      <c r="E62" s="65"/>
    </row>
    <row r="63" spans="2:5" ht="15.75">
      <c r="B63" s="328" t="s">
        <v>286</v>
      </c>
      <c r="C63" s="500"/>
      <c r="D63" s="65"/>
      <c r="E63" s="65"/>
    </row>
    <row r="64" spans="2:5" ht="15.75">
      <c r="B64" s="328" t="s">
        <v>287</v>
      </c>
      <c r="C64" s="493">
        <f>C62-C63</f>
        <v>0</v>
      </c>
      <c r="D64" s="65"/>
      <c r="E64" s="65"/>
    </row>
    <row r="65" spans="2:5" ht="15.75">
      <c r="B65" s="65"/>
      <c r="C65" s="65"/>
      <c r="D65" s="65"/>
      <c r="E65" s="65"/>
    </row>
    <row r="66" spans="2:5" ht="15.75">
      <c r="B66" s="208" t="s">
        <v>269</v>
      </c>
      <c r="C66" s="330"/>
      <c r="D66" s="65"/>
      <c r="E66" s="65"/>
    </row>
    <row r="68" ht="15.75">
      <c r="B68" s="107"/>
    </row>
    <row r="71" spans="3:4" ht="15.75" hidden="1">
      <c r="C71" s="154">
        <f>IF(C42&gt;C44,"See Tab A","")</f>
      </c>
      <c r="D71" s="154">
        <f>IF(D42&gt;D44,"See Tab C","")</f>
      </c>
    </row>
    <row r="72" spans="3:4" ht="15.75" hidden="1">
      <c r="C72" s="154">
        <f>IF(C43&lt;0,"See Tab B","")</f>
      </c>
      <c r="D72" s="154">
        <f>IF(D43&lt;0,"See Tab D","")</f>
      </c>
    </row>
  </sheetData>
  <sheetProtection/>
  <mergeCells count="7">
    <mergeCell ref="D57:D58"/>
    <mergeCell ref="C45:D45"/>
    <mergeCell ref="C46:D46"/>
    <mergeCell ref="C49:D49"/>
    <mergeCell ref="G33:J33"/>
    <mergeCell ref="G40:J40"/>
    <mergeCell ref="G50:J50"/>
  </mergeCells>
  <conditionalFormatting sqref="C40">
    <cfRule type="cellIs" priority="2" dxfId="173" operator="greaterThan" stopIfTrue="1">
      <formula>$C$42*0.1</formula>
    </cfRule>
  </conditionalFormatting>
  <conditionalFormatting sqref="D40">
    <cfRule type="cellIs" priority="3" dxfId="173" operator="greaterThan" stopIfTrue="1">
      <formula>$D$42*0.1</formula>
    </cfRule>
  </conditionalFormatting>
  <conditionalFormatting sqref="E40">
    <cfRule type="cellIs" priority="4" dxfId="173" operator="greaterThan" stopIfTrue="1">
      <formula>$E$42*0.1</formula>
    </cfRule>
  </conditionalFormatting>
  <conditionalFormatting sqref="C20">
    <cfRule type="cellIs" priority="5" dxfId="173" operator="greaterThan" stopIfTrue="1">
      <formula>$C$22*0.1</formula>
    </cfRule>
  </conditionalFormatting>
  <conditionalFormatting sqref="D20">
    <cfRule type="cellIs" priority="6" dxfId="173" operator="greaterThan" stopIfTrue="1">
      <formula>$D$22*0.1</formula>
    </cfRule>
  </conditionalFormatting>
  <conditionalFormatting sqref="C37">
    <cfRule type="cellIs" priority="7" dxfId="173" operator="greaterThan" stopIfTrue="1">
      <formula>$C$23*0.25</formula>
    </cfRule>
  </conditionalFormatting>
  <conditionalFormatting sqref="E45">
    <cfRule type="cellIs" priority="8" dxfId="173" operator="greaterThan" stopIfTrue="1">
      <formula>$E$42/0.95-$E$42</formula>
    </cfRule>
  </conditionalFormatting>
  <conditionalFormatting sqref="C43">
    <cfRule type="cellIs" priority="9" dxfId="173" operator="lessThan" stopIfTrue="1">
      <formula>0</formula>
    </cfRule>
  </conditionalFormatting>
  <conditionalFormatting sqref="C42">
    <cfRule type="cellIs" priority="10" dxfId="10" operator="greaterThan" stopIfTrue="1">
      <formula>$C$44</formula>
    </cfRule>
  </conditionalFormatting>
  <conditionalFormatting sqref="D42">
    <cfRule type="cellIs" priority="11" dxfId="10" operator="greaterThan" stopIfTrue="1">
      <formula>$D$44</formula>
    </cfRule>
  </conditionalFormatting>
  <conditionalFormatting sqref="D37">
    <cfRule type="cellIs" priority="12" dxfId="173" operator="greaterThan" stopIfTrue="1">
      <formula>$D$23*0.25</formula>
    </cfRule>
  </conditionalFormatting>
  <conditionalFormatting sqref="E37">
    <cfRule type="cellIs" priority="13" dxfId="173" operator="greaterThan" stopIfTrue="1">
      <formula>$E$23*0.25+$E$49</formula>
    </cfRule>
  </conditionalFormatting>
  <conditionalFormatting sqref="E20">
    <cfRule type="cellIs" priority="14" dxfId="173" operator="greaterThan" stopIfTrue="1">
      <formula>$E$22*0.1+$E$49</formula>
    </cfRule>
  </conditionalFormatting>
  <conditionalFormatting sqref="D43">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88"/>
  <sheetViews>
    <sheetView zoomScale="90" zoomScaleNormal="90" zoomScalePageLayoutView="0" workbookViewId="0" topLeftCell="A2">
      <selection activeCell="C73" sqref="C73"/>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Center Township</v>
      </c>
      <c r="C1" s="71" t="s">
        <v>295</v>
      </c>
      <c r="D1" s="65"/>
      <c r="E1" s="223">
        <f>inputPrYr!D9</f>
        <v>2014</v>
      </c>
    </row>
    <row r="2" spans="2:5" ht="15.75">
      <c r="B2" s="541" t="s">
        <v>763</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5"/>
    </row>
    <row r="25" spans="2:11" ht="15.75">
      <c r="B25" s="316"/>
      <c r="C25" s="311"/>
      <c r="D25" s="311"/>
      <c r="E25" s="169"/>
      <c r="G25" s="647"/>
      <c r="H25" s="648"/>
      <c r="I25" s="649"/>
      <c r="J25" s="650"/>
      <c r="K25" s="615"/>
    </row>
    <row r="26" spans="2:11" ht="15.75">
      <c r="B26" s="316"/>
      <c r="C26" s="311"/>
      <c r="D26" s="311"/>
      <c r="E26" s="169"/>
      <c r="G26" s="651" t="s">
        <v>732</v>
      </c>
      <c r="H26" s="649"/>
      <c r="I26" s="649"/>
      <c r="J26" s="652">
        <v>0</v>
      </c>
      <c r="K26" s="615"/>
    </row>
    <row r="27" spans="2:11" ht="15.75">
      <c r="B27" s="316"/>
      <c r="C27" s="311"/>
      <c r="D27" s="311"/>
      <c r="E27" s="169"/>
      <c r="G27" s="647" t="s">
        <v>733</v>
      </c>
      <c r="H27" s="648"/>
      <c r="I27" s="648"/>
      <c r="J27" s="653">
        <f>IF(J26=0,"",ROUND((J26+E40-G39)/inputOth!E11*1000,3)-G44)</f>
      </c>
      <c r="K27" s="615"/>
    </row>
    <row r="28" spans="2:11" ht="15.75">
      <c r="B28" s="316"/>
      <c r="C28" s="311"/>
      <c r="D28" s="311"/>
      <c r="E28" s="169"/>
      <c r="G28" s="654" t="str">
        <f>CONCATENATE("",E1," Tot Exp/Non-Appr Must Be:")</f>
        <v>2014 Tot Exp/Non-Appr Must Be:</v>
      </c>
      <c r="H28" s="655"/>
      <c r="I28" s="656"/>
      <c r="J28" s="657">
        <f>IF(J26&gt;0,IF(E37&lt;E21,IF(J26=G39,E37,((J26-G39)*(1-D39))+E21),E37+(J26-G39)),0)</f>
        <v>0</v>
      </c>
      <c r="K28" s="615"/>
    </row>
    <row r="29" spans="2:11" ht="15.75">
      <c r="B29" s="316"/>
      <c r="C29" s="311"/>
      <c r="D29" s="311"/>
      <c r="E29" s="169"/>
      <c r="G29" s="658" t="s">
        <v>859</v>
      </c>
      <c r="H29" s="659"/>
      <c r="I29" s="659"/>
      <c r="J29" s="660">
        <f>IF(J26&gt;0,J28-E37,0)</f>
        <v>0</v>
      </c>
      <c r="K29" s="615"/>
    </row>
    <row r="30" spans="2:11" ht="15.75">
      <c r="B30" s="314" t="s">
        <v>230</v>
      </c>
      <c r="C30" s="311"/>
      <c r="D30" s="311"/>
      <c r="E30" s="180">
        <f>nhood!E10</f>
      </c>
      <c r="G30" s="615"/>
      <c r="H30" s="615"/>
      <c r="I30" s="615"/>
      <c r="J30" s="615"/>
      <c r="K30" s="615"/>
    </row>
    <row r="31" spans="2:11" ht="15.75">
      <c r="B31" s="314" t="s">
        <v>228</v>
      </c>
      <c r="C31" s="311"/>
      <c r="D31" s="311"/>
      <c r="E31" s="169"/>
      <c r="G31" s="867" t="str">
        <f>CONCATENATE("Projected Carryover Into ",E1+1,"")</f>
        <v>Projected Carryover Into 2015</v>
      </c>
      <c r="H31" s="877"/>
      <c r="I31" s="877"/>
      <c r="J31" s="871"/>
      <c r="K31" s="615"/>
    </row>
    <row r="32" spans="2:11" ht="15.75">
      <c r="B32" s="314" t="s">
        <v>730</v>
      </c>
      <c r="C32" s="394">
        <f>IF(C33*0.1&lt;C31,"Exceed 10% Rule","")</f>
      </c>
      <c r="D32" s="394">
        <f>IF(D33*0.1&lt;D31,"Exceed 10% Rule","")</f>
      </c>
      <c r="E32" s="321">
        <f>IF(E33*0.1&lt;E31,"Exceed 10% Rule","")</f>
      </c>
      <c r="G32" s="647"/>
      <c r="H32" s="649"/>
      <c r="I32" s="649"/>
      <c r="J32" s="662"/>
      <c r="K32" s="615"/>
    </row>
    <row r="33" spans="2:11" ht="15.75">
      <c r="B33" s="97" t="s">
        <v>286</v>
      </c>
      <c r="C33" s="395">
        <f>SUM(C23:C31)</f>
        <v>0</v>
      </c>
      <c r="D33" s="395">
        <f>SUM(D23:D31)</f>
        <v>0</v>
      </c>
      <c r="E33" s="320">
        <f>SUM(E23:E31)</f>
        <v>0</v>
      </c>
      <c r="G33" s="665">
        <f>D34</f>
        <v>0</v>
      </c>
      <c r="H33" s="666" t="str">
        <f>CONCATENATE("",E1-1," Ending Cash Balance (est.)")</f>
        <v>2013 Ending Cash Balance (est.)</v>
      </c>
      <c r="I33" s="667"/>
      <c r="J33" s="662"/>
      <c r="K33" s="615"/>
    </row>
    <row r="34" spans="2:11" ht="15.75">
      <c r="B34" s="79" t="s">
        <v>68</v>
      </c>
      <c r="C34" s="396">
        <f>C21-C33</f>
        <v>0</v>
      </c>
      <c r="D34" s="396">
        <f>D21-D33</f>
        <v>0</v>
      </c>
      <c r="E34" s="313" t="s">
        <v>255</v>
      </c>
      <c r="G34" s="665">
        <f>E20</f>
        <v>0</v>
      </c>
      <c r="H34" s="649" t="str">
        <f>CONCATENATE("",E1," Non-AV Receipts (est.)")</f>
        <v>2014 Non-AV Receipts (est.)</v>
      </c>
      <c r="I34" s="667"/>
      <c r="J34" s="662"/>
      <c r="K34" s="615"/>
    </row>
    <row r="35" spans="2:11" ht="15.75">
      <c r="B35" s="115" t="str">
        <f>CONCATENATE("",$E$1-2,"/",$E$1-1," Budget Authority Amount:")</f>
        <v>2012/2013 Budget Authority Amount:</v>
      </c>
      <c r="C35" s="336">
        <f>inputOth!$B87</f>
        <v>0</v>
      </c>
      <c r="D35" s="82">
        <f>inputPrYr!$D24</f>
        <v>0</v>
      </c>
      <c r="E35" s="313" t="s">
        <v>255</v>
      </c>
      <c r="F35" s="322"/>
      <c r="G35" s="674">
        <f>IF(E39&gt;0,E38,E40)</f>
        <v>0</v>
      </c>
      <c r="H35" s="649" t="str">
        <f>CONCATENATE("",E1," Ad Valorem Tax (est.)")</f>
        <v>2014 Ad Valorem Tax (est.)</v>
      </c>
      <c r="I35" s="667"/>
      <c r="J35" s="662"/>
      <c r="K35" s="675">
        <f>IF(G35=E40,"","Note: Does not include Delinquent Taxes")</f>
      </c>
    </row>
    <row r="36" spans="2:11" ht="15.75">
      <c r="B36" s="115"/>
      <c r="C36" s="801" t="s">
        <v>727</v>
      </c>
      <c r="D36" s="802"/>
      <c r="E36" s="169"/>
      <c r="F36" s="734">
        <f>IF(E33/0.95-E33&lt;E36,"Exceeds 5%","")</f>
      </c>
      <c r="G36" s="665">
        <f>SUM(G33:G35)</f>
        <v>0</v>
      </c>
      <c r="H36" s="649" t="str">
        <f>CONCATENATE("Total ",E1," Resources Available")</f>
        <v>Total 2014 Resources Available</v>
      </c>
      <c r="I36" s="667"/>
      <c r="J36" s="662"/>
      <c r="K36" s="615"/>
    </row>
    <row r="37" spans="2:11" ht="15.75">
      <c r="B37" s="501" t="str">
        <f>CONCATENATE(C83,"     ",D83)</f>
        <v>     </v>
      </c>
      <c r="C37" s="803" t="s">
        <v>728</v>
      </c>
      <c r="D37" s="804"/>
      <c r="E37" s="259">
        <f>E33+E36</f>
        <v>0</v>
      </c>
      <c r="G37" s="678"/>
      <c r="H37" s="649"/>
      <c r="I37" s="649"/>
      <c r="J37" s="662"/>
      <c r="K37" s="615"/>
    </row>
    <row r="38" spans="2:11" ht="15.75">
      <c r="B38" s="501" t="str">
        <f>CONCATENATE(C84,"     ",D84)</f>
        <v>     </v>
      </c>
      <c r="C38" s="504"/>
      <c r="D38" s="503" t="s">
        <v>288</v>
      </c>
      <c r="E38" s="180">
        <f>IF(E37-E21&gt;0,E37-E21,0)</f>
        <v>0</v>
      </c>
      <c r="G38" s="674">
        <f>C33*0.05+C33</f>
        <v>0</v>
      </c>
      <c r="H38" s="649" t="str">
        <f>CONCATENATE("Less ",E1-2," Expenditures + 5%")</f>
        <v>Less 2012 Expenditures + 5%</v>
      </c>
      <c r="I38" s="649"/>
      <c r="J38" s="662"/>
      <c r="K38" s="615"/>
    </row>
    <row r="39" spans="2:11" ht="15.75">
      <c r="B39" s="208"/>
      <c r="C39" s="502" t="s">
        <v>729</v>
      </c>
      <c r="D39" s="718">
        <f>inputOth!$E$77</f>
        <v>0</v>
      </c>
      <c r="E39" s="259">
        <f>ROUND(IF(D39&gt;0,(E38*D39),0),0)</f>
        <v>0</v>
      </c>
      <c r="G39" s="682">
        <f>G36-G38</f>
        <v>0</v>
      </c>
      <c r="H39" s="683" t="str">
        <f>CONCATENATE("Projected ",E1+1," carryover (est.)")</f>
        <v>Projected 2015 carryover (est.)</v>
      </c>
      <c r="I39" s="684"/>
      <c r="J39" s="685"/>
      <c r="K39" s="615"/>
    </row>
    <row r="40" spans="2:11" ht="15.75">
      <c r="B40" s="65"/>
      <c r="C40" s="805" t="str">
        <f>CONCATENATE("Amount of  ",$E$1-1," Ad Valorem Tax")</f>
        <v>Amount of  2013 Ad Valorem Tax</v>
      </c>
      <c r="D40" s="806"/>
      <c r="E40" s="180">
        <f>E38+E39</f>
        <v>0</v>
      </c>
      <c r="G40" s="615"/>
      <c r="H40" s="615"/>
      <c r="I40" s="615"/>
      <c r="J40" s="615"/>
      <c r="K40" s="615"/>
    </row>
    <row r="41" spans="2:11" ht="15.75">
      <c r="B41" s="65"/>
      <c r="C41" s="560"/>
      <c r="D41" s="65"/>
      <c r="E41" s="65"/>
      <c r="G41" s="874" t="s">
        <v>860</v>
      </c>
      <c r="H41" s="875"/>
      <c r="I41" s="875"/>
      <c r="J41" s="876"/>
      <c r="K41" s="615"/>
    </row>
    <row r="42" spans="2:11" ht="15.75">
      <c r="B42" s="65"/>
      <c r="C42" s="560"/>
      <c r="D42" s="65"/>
      <c r="E42" s="65"/>
      <c r="G42" s="689"/>
      <c r="H42" s="666"/>
      <c r="I42" s="690"/>
      <c r="J42" s="691"/>
      <c r="K42" s="615"/>
    </row>
    <row r="43" spans="2:11" ht="15.75">
      <c r="B43" s="71" t="s">
        <v>270</v>
      </c>
      <c r="C43" s="69"/>
      <c r="D43" s="69"/>
      <c r="E43" s="69"/>
      <c r="G43" s="692" t="e">
        <f>summ!#REF!</f>
        <v>#REF!</v>
      </c>
      <c r="H43" s="666" t="str">
        <f>CONCATENATE("",E1," Fund Mill Rate")</f>
        <v>2014 Fund Mill Rate</v>
      </c>
      <c r="I43" s="690"/>
      <c r="J43" s="691"/>
      <c r="K43" s="615"/>
    </row>
    <row r="44" spans="2:11" ht="15.75">
      <c r="B44" s="65"/>
      <c r="C44" s="390" t="s">
        <v>271</v>
      </c>
      <c r="D44" s="393" t="s">
        <v>272</v>
      </c>
      <c r="E44" s="73" t="s">
        <v>273</v>
      </c>
      <c r="G44" s="693" t="e">
        <f>summ!#REF!</f>
        <v>#REF!</v>
      </c>
      <c r="H44" s="666" t="str">
        <f>CONCATENATE("",E1-1," Fund Mill Rate")</f>
        <v>2013 Fund Mill Rate</v>
      </c>
      <c r="I44" s="690"/>
      <c r="J44" s="691"/>
      <c r="K44" s="615"/>
    </row>
    <row r="45" spans="2:11" ht="15.75">
      <c r="B45" s="487" t="str">
        <f>inputPrYr!B25</f>
        <v>Noxious Weed</v>
      </c>
      <c r="C45" s="391" t="str">
        <f>C5</f>
        <v>Actual for 2012</v>
      </c>
      <c r="D45" s="391" t="str">
        <f>D5</f>
        <v>Estimate for 2013</v>
      </c>
      <c r="E45" s="78" t="str">
        <f>E5</f>
        <v>Year for 2014</v>
      </c>
      <c r="G45" s="695">
        <f>summ!H20</f>
        <v>0.182</v>
      </c>
      <c r="H45" s="666" t="str">
        <f>CONCATENATE("Total ",E1," Mill Rate")</f>
        <v>Total 2014 Mill Rate</v>
      </c>
      <c r="I45" s="690"/>
      <c r="J45" s="691"/>
      <c r="K45" s="615"/>
    </row>
    <row r="46" spans="2:11" ht="15.75">
      <c r="B46" s="79" t="s">
        <v>67</v>
      </c>
      <c r="C46" s="311"/>
      <c r="D46" s="392">
        <f>C72</f>
        <v>0</v>
      </c>
      <c r="E46" s="259">
        <f>D72</f>
        <v>0</v>
      </c>
      <c r="G46" s="693">
        <f>summ!E20</f>
        <v>0.19</v>
      </c>
      <c r="H46" s="696" t="str">
        <f>CONCATENATE("Total ",E1-1," Mill Rate")</f>
        <v>Total 2013 Mill Rate</v>
      </c>
      <c r="I46" s="697"/>
      <c r="J46" s="698"/>
      <c r="K46" s="615"/>
    </row>
    <row r="47" spans="2:11" ht="15.75">
      <c r="B47" s="79" t="s">
        <v>69</v>
      </c>
      <c r="C47" s="392"/>
      <c r="D47" s="392"/>
      <c r="E47" s="313"/>
      <c r="G47" s="615"/>
      <c r="H47" s="615"/>
      <c r="I47" s="615"/>
      <c r="J47" s="615"/>
      <c r="K47" s="615"/>
    </row>
    <row r="48" spans="2:11" ht="15.75">
      <c r="B48" s="79" t="s">
        <v>276</v>
      </c>
      <c r="C48" s="311"/>
      <c r="D48" s="392">
        <f>IF(inputPrYr!H19&gt;0,inputPrYr!G25,inputPrYr!E25)</f>
        <v>0</v>
      </c>
      <c r="E48" s="313" t="s">
        <v>255</v>
      </c>
      <c r="G48" s="615"/>
      <c r="H48" s="615"/>
      <c r="I48" s="615"/>
      <c r="J48" s="615"/>
      <c r="K48" s="615"/>
    </row>
    <row r="49" spans="2:11" ht="15.75">
      <c r="B49" s="79" t="s">
        <v>277</v>
      </c>
      <c r="C49" s="311"/>
      <c r="D49" s="311"/>
      <c r="E49" s="169"/>
      <c r="G49" s="615"/>
      <c r="H49" s="615"/>
      <c r="I49" s="615"/>
      <c r="J49" s="615"/>
      <c r="K49" s="615"/>
    </row>
    <row r="50" spans="2:11" ht="15.75">
      <c r="B50" s="79" t="s">
        <v>278</v>
      </c>
      <c r="C50" s="311"/>
      <c r="D50" s="311"/>
      <c r="E50" s="259">
        <f>mvalloc!G16</f>
        <v>0</v>
      </c>
      <c r="G50" s="615"/>
      <c r="H50" s="615"/>
      <c r="I50" s="615"/>
      <c r="J50" s="615"/>
      <c r="K50" s="615"/>
    </row>
    <row r="51" spans="2:11" ht="15.75">
      <c r="B51" s="79" t="s">
        <v>279</v>
      </c>
      <c r="C51" s="311"/>
      <c r="D51" s="311"/>
      <c r="E51" s="259">
        <f>mvalloc!I16</f>
        <v>0</v>
      </c>
      <c r="G51" s="615"/>
      <c r="H51" s="615"/>
      <c r="I51" s="615"/>
      <c r="J51" s="615"/>
      <c r="K51" s="615"/>
    </row>
    <row r="52" spans="2:11" ht="15.75">
      <c r="B52" s="79" t="s">
        <v>48</v>
      </c>
      <c r="C52" s="311"/>
      <c r="D52" s="311"/>
      <c r="E52" s="259">
        <f>mvalloc!J16</f>
        <v>0</v>
      </c>
      <c r="G52" s="615"/>
      <c r="H52" s="615"/>
      <c r="I52" s="615"/>
      <c r="J52" s="615"/>
      <c r="K52" s="615"/>
    </row>
    <row r="53" spans="2:11" ht="15.75">
      <c r="B53" s="315"/>
      <c r="C53" s="311"/>
      <c r="D53" s="311"/>
      <c r="E53" s="169"/>
      <c r="G53" s="615"/>
      <c r="H53" s="615"/>
      <c r="I53" s="615"/>
      <c r="J53" s="615"/>
      <c r="K53" s="615"/>
    </row>
    <row r="54" spans="2:11" ht="15.75">
      <c r="B54" s="316"/>
      <c r="C54" s="311"/>
      <c r="D54" s="311"/>
      <c r="E54" s="169"/>
      <c r="G54" s="615"/>
      <c r="H54" s="615"/>
      <c r="I54" s="615"/>
      <c r="J54" s="615"/>
      <c r="K54" s="615"/>
    </row>
    <row r="55" spans="2:11" ht="15.75">
      <c r="B55" s="316" t="s">
        <v>282</v>
      </c>
      <c r="C55" s="311"/>
      <c r="D55" s="311"/>
      <c r="E55" s="169"/>
      <c r="G55" s="615"/>
      <c r="H55" s="615"/>
      <c r="I55" s="615"/>
      <c r="J55" s="615"/>
      <c r="K55" s="615"/>
    </row>
    <row r="56" spans="2:11" ht="15.75">
      <c r="B56" s="317" t="s">
        <v>228</v>
      </c>
      <c r="C56" s="311"/>
      <c r="D56" s="311"/>
      <c r="E56" s="169"/>
      <c r="G56" s="615"/>
      <c r="H56" s="615"/>
      <c r="I56" s="615"/>
      <c r="J56" s="615"/>
      <c r="K56" s="615"/>
    </row>
    <row r="57" spans="2:11" ht="15.75">
      <c r="B57" s="317" t="s">
        <v>229</v>
      </c>
      <c r="C57" s="394">
        <f>IF(C58*0.1&lt;C56,"Exceed 10% Rule","")</f>
      </c>
      <c r="D57" s="394">
        <f>IF(D58*0.1&lt;D56,"Exceed 10% Rule","")</f>
      </c>
      <c r="E57" s="321">
        <f>IF(E58*0.1+E78&lt;E56,"Exceed 10% Rule","")</f>
      </c>
      <c r="G57" s="615"/>
      <c r="H57" s="615"/>
      <c r="I57" s="615"/>
      <c r="J57" s="615"/>
      <c r="K57" s="615"/>
    </row>
    <row r="58" spans="2:11" ht="15.75">
      <c r="B58" s="319" t="s">
        <v>283</v>
      </c>
      <c r="C58" s="395">
        <f>SUM(C48:C56)</f>
        <v>0</v>
      </c>
      <c r="D58" s="395">
        <f>SUM(D48:D56)</f>
        <v>0</v>
      </c>
      <c r="E58" s="320">
        <f>SUM(E48:E56)</f>
        <v>0</v>
      </c>
      <c r="G58" s="615"/>
      <c r="H58" s="615"/>
      <c r="I58" s="615"/>
      <c r="J58" s="615"/>
      <c r="K58" s="615"/>
    </row>
    <row r="59" spans="2:11" ht="15.75">
      <c r="B59" s="97" t="s">
        <v>284</v>
      </c>
      <c r="C59" s="395">
        <f>C58+C46</f>
        <v>0</v>
      </c>
      <c r="D59" s="395">
        <f>D58+D46</f>
        <v>0</v>
      </c>
      <c r="E59" s="320">
        <f>E58+E46</f>
        <v>0</v>
      </c>
      <c r="G59" s="615"/>
      <c r="H59" s="615"/>
      <c r="I59" s="615"/>
      <c r="J59" s="615"/>
      <c r="K59" s="615"/>
    </row>
    <row r="60" spans="2:11" ht="15.75">
      <c r="B60" s="79" t="s">
        <v>285</v>
      </c>
      <c r="C60" s="392"/>
      <c r="D60" s="392"/>
      <c r="E60" s="259"/>
      <c r="G60" s="615"/>
      <c r="H60" s="615"/>
      <c r="I60" s="615"/>
      <c r="J60" s="615"/>
      <c r="K60" s="615"/>
    </row>
    <row r="61" spans="2:11" ht="15.75">
      <c r="B61" s="316"/>
      <c r="C61" s="311"/>
      <c r="D61" s="311"/>
      <c r="E61" s="169"/>
      <c r="G61" s="615"/>
      <c r="H61" s="615"/>
      <c r="I61" s="615"/>
      <c r="J61" s="615"/>
      <c r="K61" s="615"/>
    </row>
    <row r="62" spans="2:11" ht="15.75">
      <c r="B62" s="316" t="s">
        <v>74</v>
      </c>
      <c r="C62" s="311"/>
      <c r="D62" s="311"/>
      <c r="E62" s="169"/>
      <c r="G62" s="867" t="str">
        <f>CONCATENATE("Desired Carryover Into ",E1+1,"")</f>
        <v>Desired Carryover Into 2015</v>
      </c>
      <c r="H62" s="868"/>
      <c r="I62" s="868"/>
      <c r="J62" s="869"/>
      <c r="K62" s="615"/>
    </row>
    <row r="63" spans="2:11" ht="15.75">
      <c r="B63" s="316" t="s">
        <v>51</v>
      </c>
      <c r="C63" s="311"/>
      <c r="D63" s="311"/>
      <c r="E63" s="169"/>
      <c r="G63" s="647"/>
      <c r="H63" s="648"/>
      <c r="I63" s="649"/>
      <c r="J63" s="650"/>
      <c r="K63" s="615"/>
    </row>
    <row r="64" spans="2:11" ht="15.75">
      <c r="B64" s="316"/>
      <c r="C64" s="311"/>
      <c r="D64" s="311"/>
      <c r="E64" s="169"/>
      <c r="G64" s="651" t="s">
        <v>732</v>
      </c>
      <c r="H64" s="649"/>
      <c r="I64" s="649"/>
      <c r="J64" s="652">
        <v>0</v>
      </c>
      <c r="K64" s="615"/>
    </row>
    <row r="65" spans="2:11" ht="15.75">
      <c r="B65" s="316"/>
      <c r="C65" s="311"/>
      <c r="D65" s="311"/>
      <c r="E65" s="169"/>
      <c r="G65" s="647" t="s">
        <v>733</v>
      </c>
      <c r="H65" s="648"/>
      <c r="I65" s="648"/>
      <c r="J65" s="653">
        <f>IF(J64=0,"",ROUND((J64+E78-G77)/inputOth!E11*1000,3)-G82)</f>
      </c>
      <c r="K65" s="615"/>
    </row>
    <row r="66" spans="2:11" ht="15.75">
      <c r="B66" s="316"/>
      <c r="C66" s="311"/>
      <c r="D66" s="311"/>
      <c r="E66" s="169"/>
      <c r="G66" s="654" t="str">
        <f>CONCATENATE("",E1," Tot Exp/Non-Appr Must Be:")</f>
        <v>2014 Tot Exp/Non-Appr Must Be:</v>
      </c>
      <c r="H66" s="655"/>
      <c r="I66" s="656"/>
      <c r="J66" s="657">
        <f>IF(J64&gt;0,IF(E75&lt;E59,IF(J64=G77,E75,((J64-G77)*(1-D77))+E59),E75+(J64-G77)),0)</f>
        <v>0</v>
      </c>
      <c r="K66" s="615"/>
    </row>
    <row r="67" spans="2:11" ht="15.75">
      <c r="B67" s="316"/>
      <c r="C67" s="311"/>
      <c r="D67" s="311"/>
      <c r="E67" s="169"/>
      <c r="G67" s="658" t="s">
        <v>859</v>
      </c>
      <c r="H67" s="659"/>
      <c r="I67" s="659"/>
      <c r="J67" s="660">
        <f>IF(J64&gt;0,J66-E75,0)</f>
        <v>0</v>
      </c>
      <c r="K67" s="615"/>
    </row>
    <row r="68" spans="2:11" ht="15.75">
      <c r="B68" s="314" t="s">
        <v>230</v>
      </c>
      <c r="C68" s="311"/>
      <c r="D68" s="311"/>
      <c r="E68" s="180">
        <f>nhood!E11</f>
      </c>
      <c r="G68" s="615"/>
      <c r="H68" s="615"/>
      <c r="I68" s="615"/>
      <c r="J68" s="615"/>
      <c r="K68" s="615"/>
    </row>
    <row r="69" spans="2:11" ht="15.75">
      <c r="B69" s="314" t="s">
        <v>228</v>
      </c>
      <c r="C69" s="311"/>
      <c r="D69" s="311"/>
      <c r="E69" s="169"/>
      <c r="G69" s="867" t="str">
        <f>CONCATENATE("Projected Carryover Into ",E1+1,"")</f>
        <v>Projected Carryover Into 2015</v>
      </c>
      <c r="H69" s="870"/>
      <c r="I69" s="870"/>
      <c r="J69" s="871"/>
      <c r="K69" s="615"/>
    </row>
    <row r="70" spans="2:11" ht="15.75">
      <c r="B70" s="314" t="s">
        <v>730</v>
      </c>
      <c r="C70" s="394">
        <f>IF(C71*0.1&lt;C69,"Exceed 10% Rule","")</f>
      </c>
      <c r="D70" s="394">
        <f>IF(D71*0.1&lt;D69,"Exceed 10% Rule","")</f>
      </c>
      <c r="E70" s="321">
        <f>IF(E71*0.1&lt;E69,"Exceed 10% Rule","")</f>
      </c>
      <c r="G70" s="701"/>
      <c r="H70" s="648"/>
      <c r="I70" s="648"/>
      <c r="J70" s="702"/>
      <c r="K70" s="615"/>
    </row>
    <row r="71" spans="2:11" ht="15.75">
      <c r="B71" s="97" t="s">
        <v>286</v>
      </c>
      <c r="C71" s="395">
        <f>SUM(C61:C69)</f>
        <v>0</v>
      </c>
      <c r="D71" s="395">
        <f>SUM(D61:D69)</f>
        <v>0</v>
      </c>
      <c r="E71" s="320">
        <f>SUM(E61:E69)</f>
        <v>0</v>
      </c>
      <c r="G71" s="665">
        <f>D72</f>
        <v>0</v>
      </c>
      <c r="H71" s="666" t="str">
        <f>CONCATENATE("",E1-1," Ending Cash Balance (est.)")</f>
        <v>2013 Ending Cash Balance (est.)</v>
      </c>
      <c r="I71" s="667"/>
      <c r="J71" s="702"/>
      <c r="K71" s="615"/>
    </row>
    <row r="72" spans="2:11" ht="15.75">
      <c r="B72" s="79" t="s">
        <v>68</v>
      </c>
      <c r="C72" s="396">
        <f>C59-C71</f>
        <v>0</v>
      </c>
      <c r="D72" s="396">
        <f>D59-D71</f>
        <v>0</v>
      </c>
      <c r="E72" s="313" t="s">
        <v>255</v>
      </c>
      <c r="G72" s="665">
        <f>E58</f>
        <v>0</v>
      </c>
      <c r="H72" s="649" t="str">
        <f>CONCATENATE("",E1," Non-AV Receipts (est.)")</f>
        <v>2014 Non-AV Receipts (est.)</v>
      </c>
      <c r="I72" s="667"/>
      <c r="J72" s="702"/>
      <c r="K72" s="615"/>
    </row>
    <row r="73" spans="2:11" ht="15.75">
      <c r="B73" s="115" t="str">
        <f>CONCATENATE("",$E$1-2,"/",$E$1-1," Budget Authority Amount:")</f>
        <v>2012/2013 Budget Authority Amount:</v>
      </c>
      <c r="C73" s="336">
        <f>inputOth!$B88</f>
        <v>0</v>
      </c>
      <c r="D73" s="82">
        <f>inputPrYr!$D25</f>
        <v>0</v>
      </c>
      <c r="E73" s="313" t="s">
        <v>255</v>
      </c>
      <c r="F73" s="322"/>
      <c r="G73" s="674">
        <f>IF(E77&gt;0,E76,E78)</f>
        <v>0</v>
      </c>
      <c r="H73" s="649" t="str">
        <f>CONCATENATE("",E1," Ad Valorem Tax (est.)")</f>
        <v>2014 Ad Valorem Tax (est.)</v>
      </c>
      <c r="I73" s="667"/>
      <c r="J73" s="702"/>
      <c r="K73" s="675">
        <f>IF(G73=E78,"","Note: Does not include Delinquent Taxes")</f>
      </c>
    </row>
    <row r="74" spans="2:11" ht="15.75">
      <c r="B74" s="115"/>
      <c r="C74" s="801" t="s">
        <v>727</v>
      </c>
      <c r="D74" s="802"/>
      <c r="E74" s="169"/>
      <c r="F74" s="734">
        <f>IF(E71/0.95-E71&lt;E74,"Exceeds 5%","")</f>
      </c>
      <c r="G74" s="704">
        <f>SUM(G71:G73)</f>
        <v>0</v>
      </c>
      <c r="H74" s="649" t="str">
        <f>CONCATENATE("Total ",E1," Resources Available")</f>
        <v>Total 2014 Resources Available</v>
      </c>
      <c r="I74" s="705"/>
      <c r="J74" s="702"/>
      <c r="K74" s="615"/>
    </row>
    <row r="75" spans="2:11" ht="15.75">
      <c r="B75" s="501" t="str">
        <f>CONCATENATE(C85,"     ",D85)</f>
        <v>     </v>
      </c>
      <c r="C75" s="803" t="s">
        <v>728</v>
      </c>
      <c r="D75" s="804"/>
      <c r="E75" s="259">
        <f>E71+E74</f>
        <v>0</v>
      </c>
      <c r="G75" s="706"/>
      <c r="H75" s="707"/>
      <c r="I75" s="648"/>
      <c r="J75" s="702"/>
      <c r="K75" s="615"/>
    </row>
    <row r="76" spans="2:11" ht="15.75">
      <c r="B76" s="501" t="str">
        <f>CONCATENATE(C86,"     ",D86)</f>
        <v>     </v>
      </c>
      <c r="C76" s="504"/>
      <c r="D76" s="503" t="s">
        <v>288</v>
      </c>
      <c r="E76" s="180">
        <f>IF(E75-E59&gt;0,E75-E59,0)</f>
        <v>0</v>
      </c>
      <c r="G76" s="674">
        <f>ROUND(C71*0.05+C71,0)</f>
        <v>0</v>
      </c>
      <c r="H76" s="649" t="str">
        <f>CONCATENATE("Less ",E1-2," Expenditures + 5%")</f>
        <v>Less 2012 Expenditures + 5%</v>
      </c>
      <c r="I76" s="705"/>
      <c r="J76" s="702"/>
      <c r="K76" s="615"/>
    </row>
    <row r="77" spans="2:11" ht="15.75">
      <c r="B77" s="208"/>
      <c r="C77" s="502" t="s">
        <v>729</v>
      </c>
      <c r="D77" s="718">
        <f>inputOth!$E$77</f>
        <v>0</v>
      </c>
      <c r="E77" s="259">
        <f>ROUND(IF(D77&gt;0,(E76*D77),0),0)</f>
        <v>0</v>
      </c>
      <c r="G77" s="682">
        <f>G74-G76</f>
        <v>0</v>
      </c>
      <c r="H77" s="683" t="str">
        <f>CONCATENATE("Projected ",E1+1," carryover (est.)")</f>
        <v>Projected 2015 carryover (est.)</v>
      </c>
      <c r="I77" s="708"/>
      <c r="J77" s="709"/>
      <c r="K77" s="615"/>
    </row>
    <row r="78" spans="2:11" ht="15.75">
      <c r="B78" s="65"/>
      <c r="C78" s="805" t="str">
        <f>CONCATENATE("Amount of  ",$E$1-1," Ad Valorem Tax")</f>
        <v>Amount of  2013 Ad Valorem Tax</v>
      </c>
      <c r="D78" s="806"/>
      <c r="E78" s="180">
        <f>E76+E77</f>
        <v>0</v>
      </c>
      <c r="G78" s="615"/>
      <c r="H78" s="615"/>
      <c r="I78" s="615"/>
      <c r="J78" s="615"/>
      <c r="K78" s="615"/>
    </row>
    <row r="79" spans="2:11" ht="15.75">
      <c r="B79" s="208" t="s">
        <v>269</v>
      </c>
      <c r="C79" s="326"/>
      <c r="D79" s="65"/>
      <c r="E79" s="65"/>
      <c r="G79" s="874" t="s">
        <v>860</v>
      </c>
      <c r="H79" s="875"/>
      <c r="I79" s="875"/>
      <c r="J79" s="876"/>
      <c r="K79" s="615"/>
    </row>
    <row r="80" spans="2:11" ht="15.75">
      <c r="B80" s="111"/>
      <c r="G80" s="689"/>
      <c r="H80" s="666"/>
      <c r="I80" s="690"/>
      <c r="J80" s="691"/>
      <c r="K80" s="615"/>
    </row>
    <row r="81" spans="7:11" ht="15.75">
      <c r="G81" s="692" t="e">
        <f>summ!#REF!</f>
        <v>#REF!</v>
      </c>
      <c r="H81" s="666" t="str">
        <f>CONCATENATE("",E1," Fund Mill Rate")</f>
        <v>2014 Fund Mill Rate</v>
      </c>
      <c r="I81" s="690"/>
      <c r="J81" s="691"/>
      <c r="K81" s="615"/>
    </row>
    <row r="82" spans="7:11" ht="15.75">
      <c r="G82" s="693" t="e">
        <f>summ!#REF!</f>
        <v>#REF!</v>
      </c>
      <c r="H82" s="666" t="str">
        <f>CONCATENATE("",E1-1," Fund Mill Rate")</f>
        <v>2013 Fund Mill Rate</v>
      </c>
      <c r="I82" s="690"/>
      <c r="J82" s="691"/>
      <c r="K82" s="615"/>
    </row>
    <row r="83" spans="3:11" ht="15.75" hidden="1">
      <c r="C83" s="154">
        <f>IF(C33&gt;C35,"See Tab A","")</f>
      </c>
      <c r="D83" s="154">
        <f>IF(D33&gt;D35,"See Tab C","")</f>
      </c>
      <c r="G83" s="695">
        <f>'[1]summ'!I36</f>
        <v>0</v>
      </c>
      <c r="H83" s="666" t="str">
        <f>CONCATENATE("Total ",E1," Mill Rate")</f>
        <v>Total 2014 Mill Rate</v>
      </c>
      <c r="I83" s="690"/>
      <c r="J83" s="691"/>
      <c r="K83" s="615"/>
    </row>
    <row r="84" spans="3:11" ht="15.75" hidden="1">
      <c r="C84" s="154">
        <f>IF(C34&lt;0,"See Tab B","")</f>
      </c>
      <c r="D84" s="154">
        <f>IF(D34&lt;0,"See Tab D","")</f>
      </c>
      <c r="G84" s="693">
        <f>'[1]summ'!F36</f>
        <v>0</v>
      </c>
      <c r="H84" s="696" t="str">
        <f>CONCATENATE("Total ",E1-1," Mill Rate")</f>
        <v>Total 2013 Mill Rate</v>
      </c>
      <c r="I84" s="697"/>
      <c r="J84" s="698"/>
      <c r="K84" s="615"/>
    </row>
    <row r="85" spans="3:4" ht="15.75" hidden="1">
      <c r="C85" s="154">
        <f>IF(C71&gt;C73,"See Tab A","")</f>
      </c>
      <c r="D85" s="154">
        <f>IF(D71&gt;D73,"See Tab C","")</f>
      </c>
    </row>
    <row r="86" spans="3:4" ht="15.75" hidden="1">
      <c r="C86" s="154">
        <f>IF(C72&lt;0,"See Tab B","")</f>
      </c>
      <c r="D86" s="154">
        <f>IF(D72&lt;0,"See Tab D","")</f>
      </c>
    </row>
    <row r="87" spans="7:10" ht="15.75">
      <c r="G87" s="695">
        <f>summ!H20</f>
        <v>0.182</v>
      </c>
      <c r="H87" s="666" t="str">
        <f>CONCATENATE("Total ",E1," Mill Rate")</f>
        <v>Total 2014 Mill Rate</v>
      </c>
      <c r="I87" s="690"/>
      <c r="J87" s="691"/>
    </row>
    <row r="88" spans="7:10" ht="15.75">
      <c r="G88" s="693">
        <f>summ!E20</f>
        <v>0.19</v>
      </c>
      <c r="H88" s="696" t="str">
        <f>CONCATENATE("Total ",E1-1," Mill Rate")</f>
        <v>Total 2013 Mill Rate</v>
      </c>
      <c r="I88" s="697"/>
      <c r="J88" s="698"/>
    </row>
  </sheetData>
  <sheetProtection/>
  <mergeCells count="12">
    <mergeCell ref="C36:D36"/>
    <mergeCell ref="C37:D37"/>
    <mergeCell ref="C74:D74"/>
    <mergeCell ref="C75:D75"/>
    <mergeCell ref="C78:D78"/>
    <mergeCell ref="C40:D40"/>
    <mergeCell ref="G24:J24"/>
    <mergeCell ref="G31:J31"/>
    <mergeCell ref="G41:J41"/>
    <mergeCell ref="G62:J62"/>
    <mergeCell ref="G69:J69"/>
    <mergeCell ref="G79:J79"/>
  </mergeCells>
  <conditionalFormatting sqref="C69">
    <cfRule type="cellIs" priority="3" dxfId="173" operator="greaterThan" stopIfTrue="1">
      <formula>$C$71*0.1</formula>
    </cfRule>
  </conditionalFormatting>
  <conditionalFormatting sqref="D69">
    <cfRule type="cellIs" priority="4" dxfId="173" operator="greaterThan" stopIfTrue="1">
      <formula>$D$71*0.1</formula>
    </cfRule>
  </conditionalFormatting>
  <conditionalFormatting sqref="C56">
    <cfRule type="cellIs" priority="5" dxfId="173" operator="greaterThan" stopIfTrue="1">
      <formula>$C$58*0.1</formula>
    </cfRule>
  </conditionalFormatting>
  <conditionalFormatting sqref="D56">
    <cfRule type="cellIs" priority="6" dxfId="173" operator="greaterThan" stopIfTrue="1">
      <formula>$D$58*0.1</formula>
    </cfRule>
  </conditionalFormatting>
  <conditionalFormatting sqref="E56">
    <cfRule type="cellIs" priority="7" dxfId="173" operator="greaterThan" stopIfTrue="1">
      <formula>$E$58*0.1</formula>
    </cfRule>
  </conditionalFormatting>
  <conditionalFormatting sqref="E74">
    <cfRule type="cellIs" priority="8" dxfId="173" operator="greaterThan" stopIfTrue="1">
      <formula>$E$71/0.95-$E$71</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2 C34">
    <cfRule type="cellIs" priority="15" dxfId="173" operator="lessThan" stopIfTrue="1">
      <formula>0</formula>
    </cfRule>
  </conditionalFormatting>
  <conditionalFormatting sqref="C71">
    <cfRule type="cellIs" priority="16" dxfId="10" operator="greaterThan" stopIfTrue="1">
      <formula>$C$73</formula>
    </cfRule>
  </conditionalFormatting>
  <conditionalFormatting sqref="D71">
    <cfRule type="cellIs" priority="17" dxfId="10" operator="greaterThan" stopIfTrue="1">
      <formula>$D$73</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69">
    <cfRule type="cellIs" priority="21" dxfId="173" operator="greaterThan" stopIfTrue="1">
      <formula>$E$71*0.1</formula>
    </cfRule>
  </conditionalFormatting>
  <conditionalFormatting sqref="D72 D3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B1">
      <selection activeCell="C73" sqref="C73"/>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Center Township</v>
      </c>
      <c r="C1" s="65"/>
      <c r="D1" s="65"/>
      <c r="E1" s="223">
        <f>inputPrYr!D9</f>
        <v>2014</v>
      </c>
    </row>
    <row r="2" spans="2:5" ht="15.75">
      <c r="B2" s="541" t="s">
        <v>763</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2012</v>
      </c>
      <c r="D5" s="391" t="str">
        <f>gen!D5</f>
        <v>Estimate for 2013</v>
      </c>
      <c r="E5" s="78" t="str">
        <f>gen!E5</f>
        <v>Year for 2014</v>
      </c>
    </row>
    <row r="6" spans="2:5" ht="15.75">
      <c r="B6" s="79" t="s">
        <v>67</v>
      </c>
      <c r="C6" s="311"/>
      <c r="D6" s="392">
        <f>C28</f>
        <v>0</v>
      </c>
      <c r="E6" s="259">
        <f>D28</f>
        <v>0</v>
      </c>
    </row>
    <row r="7" spans="2:5" ht="15.75">
      <c r="B7" s="79" t="s">
        <v>69</v>
      </c>
      <c r="C7" s="392"/>
      <c r="D7" s="392"/>
      <c r="E7" s="313"/>
    </row>
    <row r="8" spans="2:5" ht="15.75">
      <c r="B8" s="79" t="s">
        <v>276</v>
      </c>
      <c r="C8" s="311"/>
      <c r="D8" s="392">
        <f>IF(inputPrYr!H19&gt;0,inputPrYr!G26,inputPrYr!E26)</f>
        <v>0</v>
      </c>
      <c r="E8" s="313" t="s">
        <v>255</v>
      </c>
    </row>
    <row r="9" spans="2:5" ht="15.75">
      <c r="B9" s="79" t="s">
        <v>277</v>
      </c>
      <c r="C9" s="311"/>
      <c r="D9" s="311"/>
      <c r="E9" s="169"/>
    </row>
    <row r="10" spans="2:5" ht="15.75">
      <c r="B10" s="79" t="s">
        <v>278</v>
      </c>
      <c r="C10" s="311"/>
      <c r="D10" s="311"/>
      <c r="E10" s="259">
        <f>mvalloc!G17</f>
        <v>0</v>
      </c>
    </row>
    <row r="11" spans="2:5" ht="15.75">
      <c r="B11" s="79" t="s">
        <v>279</v>
      </c>
      <c r="C11" s="311"/>
      <c r="D11" s="311"/>
      <c r="E11" s="259">
        <f>mvalloc!I17</f>
        <v>0</v>
      </c>
    </row>
    <row r="12" spans="2:5" ht="15.75">
      <c r="B12" s="79" t="s">
        <v>48</v>
      </c>
      <c r="C12" s="311"/>
      <c r="D12" s="311"/>
      <c r="E12" s="259">
        <f>mvalloc!J17</f>
        <v>0</v>
      </c>
    </row>
    <row r="13" spans="2:5" ht="15.75">
      <c r="B13" s="315"/>
      <c r="C13" s="311"/>
      <c r="D13" s="311"/>
      <c r="E13" s="169"/>
    </row>
    <row r="14" spans="2:5" ht="15.75">
      <c r="B14" s="316"/>
      <c r="C14" s="311"/>
      <c r="D14" s="311"/>
      <c r="E14" s="169"/>
    </row>
    <row r="15" spans="2:5" ht="15.75">
      <c r="B15" s="316" t="s">
        <v>282</v>
      </c>
      <c r="C15" s="311"/>
      <c r="D15" s="311"/>
      <c r="E15" s="169"/>
    </row>
    <row r="16" spans="2:5" ht="15.75">
      <c r="B16" s="317" t="s">
        <v>228</v>
      </c>
      <c r="C16" s="311"/>
      <c r="D16" s="311"/>
      <c r="E16" s="169"/>
    </row>
    <row r="17" spans="2:5" ht="15.75">
      <c r="B17" s="317" t="s">
        <v>229</v>
      </c>
      <c r="C17" s="394">
        <f>IF(C18*0.1&lt;C16,"Exceed 10% Rule","")</f>
      </c>
      <c r="D17" s="394">
        <f>IF(D18*0.1&lt;D16,"Exceed 10% Rule","")</f>
      </c>
      <c r="E17" s="321">
        <f>IF(E18*0.1+E34&lt;E16,"Exceed 10% Rule","")</f>
      </c>
    </row>
    <row r="18" spans="2:5" ht="15.75">
      <c r="B18" s="319" t="s">
        <v>283</v>
      </c>
      <c r="C18" s="395">
        <f>SUM(C8:C16)</f>
        <v>0</v>
      </c>
      <c r="D18" s="395">
        <f>SUM(D8:D16)</f>
        <v>0</v>
      </c>
      <c r="E18" s="320">
        <f>SUM(E8:E16)</f>
        <v>0</v>
      </c>
    </row>
    <row r="19" spans="2:5" ht="15.75">
      <c r="B19" s="97" t="s">
        <v>284</v>
      </c>
      <c r="C19" s="395">
        <f>C18+C6</f>
        <v>0</v>
      </c>
      <c r="D19" s="395">
        <f>D18+D6</f>
        <v>0</v>
      </c>
      <c r="E19" s="320">
        <f>E18+E6</f>
        <v>0</v>
      </c>
    </row>
    <row r="20" spans="2:5" ht="15.75">
      <c r="B20" s="79" t="s">
        <v>285</v>
      </c>
      <c r="C20" s="392"/>
      <c r="D20" s="392"/>
      <c r="E20" s="259"/>
    </row>
    <row r="21" spans="2:5" ht="15.75">
      <c r="B21" s="316"/>
      <c r="C21" s="311"/>
      <c r="D21" s="311"/>
      <c r="E21" s="169"/>
    </row>
    <row r="22" spans="2:11" ht="15.75">
      <c r="B22" s="316"/>
      <c r="C22" s="311"/>
      <c r="D22" s="311"/>
      <c r="E22" s="169"/>
      <c r="G22" s="867" t="str">
        <f>CONCATENATE("Desired Carryover Into ",E1+1,"")</f>
        <v>Desired Carryover Into 2015</v>
      </c>
      <c r="H22" s="868"/>
      <c r="I22" s="868"/>
      <c r="J22" s="869"/>
      <c r="K22" s="615"/>
    </row>
    <row r="23" spans="2:11" ht="15.75">
      <c r="B23" s="316"/>
      <c r="C23" s="311"/>
      <c r="D23" s="311"/>
      <c r="E23" s="169"/>
      <c r="G23" s="658" t="s">
        <v>859</v>
      </c>
      <c r="H23" s="659"/>
      <c r="I23" s="659"/>
      <c r="J23" s="660" t="e">
        <f>IF(#REF!&gt;0,#REF!-E31,0)</f>
        <v>#REF!</v>
      </c>
      <c r="K23" s="615"/>
    </row>
    <row r="24" spans="2:11" ht="15.75">
      <c r="B24" s="314" t="s">
        <v>230</v>
      </c>
      <c r="C24" s="311"/>
      <c r="D24" s="311"/>
      <c r="E24" s="180">
        <f>nhood!E12</f>
      </c>
      <c r="G24" s="615"/>
      <c r="H24" s="615"/>
      <c r="I24" s="615"/>
      <c r="J24" s="615"/>
      <c r="K24" s="615"/>
    </row>
    <row r="25" spans="2:11" ht="15.75">
      <c r="B25" s="314" t="s">
        <v>228</v>
      </c>
      <c r="C25" s="311"/>
      <c r="D25" s="311"/>
      <c r="E25" s="169"/>
      <c r="G25" s="867" t="str">
        <f>CONCATENATE("Projected Carryover Into ",E1+1,"")</f>
        <v>Projected Carryover Into 2015</v>
      </c>
      <c r="H25" s="877"/>
      <c r="I25" s="877"/>
      <c r="J25" s="871"/>
      <c r="K25" s="615"/>
    </row>
    <row r="26" spans="2:11" ht="15.75">
      <c r="B26" s="314" t="s">
        <v>730</v>
      </c>
      <c r="C26" s="394">
        <f>IF(C27*0.1&lt;C25,"Exceed 10% Rule","")</f>
      </c>
      <c r="D26" s="394">
        <f>IF(D27*0.1&lt;D25,"Exceed 10% Rule","")</f>
      </c>
      <c r="E26" s="321">
        <f>IF(E27*0.1&lt;E25,"Exceed 10% Rule","")</f>
      </c>
      <c r="G26" s="647"/>
      <c r="H26" s="649"/>
      <c r="I26" s="649"/>
      <c r="J26" s="662"/>
      <c r="K26" s="615"/>
    </row>
    <row r="27" spans="2:11" ht="15.75">
      <c r="B27" s="97" t="s">
        <v>286</v>
      </c>
      <c r="C27" s="395">
        <f>SUM(C21:C25)</f>
        <v>0</v>
      </c>
      <c r="D27" s="395">
        <f>SUM(D21:D25)</f>
        <v>0</v>
      </c>
      <c r="E27" s="320">
        <f>SUM(E21:E25)</f>
        <v>0</v>
      </c>
      <c r="G27" s="665">
        <f>D28</f>
        <v>0</v>
      </c>
      <c r="H27" s="666" t="str">
        <f>CONCATENATE("",E1-1," Ending Cash Balance (est.)")</f>
        <v>2013 Ending Cash Balance (est.)</v>
      </c>
      <c r="I27" s="667"/>
      <c r="J27" s="662"/>
      <c r="K27" s="615"/>
    </row>
    <row r="28" spans="2:11" ht="15.75">
      <c r="B28" s="79" t="s">
        <v>68</v>
      </c>
      <c r="C28" s="396">
        <f>C19-C27</f>
        <v>0</v>
      </c>
      <c r="D28" s="396">
        <f>D19-D27</f>
        <v>0</v>
      </c>
      <c r="E28" s="313" t="s">
        <v>255</v>
      </c>
      <c r="G28" s="665">
        <f>E18</f>
        <v>0</v>
      </c>
      <c r="H28" s="649" t="str">
        <f>CONCATENATE("",E1," Non-AV Receipts (est.)")</f>
        <v>2014 Non-AV Receipts (est.)</v>
      </c>
      <c r="I28" s="667"/>
      <c r="J28" s="662"/>
      <c r="K28" s="615"/>
    </row>
    <row r="29" spans="2:11" ht="15.75">
      <c r="B29" s="115" t="str">
        <f>CONCATENATE("",$E$1-2,"/",$E$1-1," Budget Authority Amount:")</f>
        <v>2012/2013 Budget Authority Amount:</v>
      </c>
      <c r="C29" s="336">
        <f>inputOth!$B89</f>
        <v>0</v>
      </c>
      <c r="D29" s="82">
        <f>inputPrYr!$D26</f>
        <v>0</v>
      </c>
      <c r="E29" s="313" t="s">
        <v>255</v>
      </c>
      <c r="F29" s="322"/>
      <c r="G29" s="674">
        <f>IF(E33&gt;0,E32,E34)</f>
        <v>0</v>
      </c>
      <c r="H29" s="649" t="str">
        <f>CONCATENATE("",E1," Ad Valorem Tax (est.)")</f>
        <v>2014 Ad Valorem Tax (est.)</v>
      </c>
      <c r="I29" s="667"/>
      <c r="J29" s="662"/>
      <c r="K29" s="675">
        <f>IF(G29=E34,"","Note: Does not include Delinquent Taxes")</f>
      </c>
    </row>
    <row r="30" spans="2:11" ht="15.75">
      <c r="B30" s="115"/>
      <c r="C30" s="801" t="s">
        <v>727</v>
      </c>
      <c r="D30" s="802"/>
      <c r="E30" s="169"/>
      <c r="F30" s="734">
        <f>IF(E27/0.95-E27&lt;E30,"Exceeds 5%","")</f>
      </c>
      <c r="G30" s="665">
        <f>SUM(G27:G29)</f>
        <v>0</v>
      </c>
      <c r="H30" s="649" t="str">
        <f>CONCATENATE("Total ",E1," Resources Available")</f>
        <v>Total 2014 Resources Available</v>
      </c>
      <c r="I30" s="667"/>
      <c r="J30" s="662"/>
      <c r="K30" s="615"/>
    </row>
    <row r="31" spans="2:11" ht="15.75">
      <c r="B31" s="501" t="str">
        <f>CONCATENATE(C77,"     ",D77)</f>
        <v>     </v>
      </c>
      <c r="C31" s="803" t="s">
        <v>728</v>
      </c>
      <c r="D31" s="804"/>
      <c r="E31" s="259">
        <f>E27+E30</f>
        <v>0</v>
      </c>
      <c r="G31" s="678"/>
      <c r="H31" s="649"/>
      <c r="I31" s="649"/>
      <c r="J31" s="662"/>
      <c r="K31" s="615"/>
    </row>
    <row r="32" spans="2:11" ht="15.75">
      <c r="B32" s="501" t="str">
        <f>CONCATENATE(C78,"     ",D78)</f>
        <v>     </v>
      </c>
      <c r="C32" s="504"/>
      <c r="D32" s="503" t="s">
        <v>288</v>
      </c>
      <c r="E32" s="180">
        <f>IF(E31-E19&gt;0,E31-E19,0)</f>
        <v>0</v>
      </c>
      <c r="G32" s="674">
        <f>C27*0.05+C27</f>
        <v>0</v>
      </c>
      <c r="H32" s="649" t="str">
        <f>CONCATENATE("Less ",E1-2," Expenditures + 5%")</f>
        <v>Less 2012 Expenditures + 5%</v>
      </c>
      <c r="I32" s="649"/>
      <c r="J32" s="662"/>
      <c r="K32" s="615"/>
    </row>
    <row r="33" spans="2:11" ht="15.75">
      <c r="B33" s="208"/>
      <c r="C33" s="502" t="s">
        <v>729</v>
      </c>
      <c r="D33" s="718">
        <f>inputOth!$E$77</f>
        <v>0</v>
      </c>
      <c r="E33" s="259">
        <f>ROUND(IF(D33&gt;0,(E32*D33),0),0)</f>
        <v>0</v>
      </c>
      <c r="G33" s="682">
        <f>G30-G32</f>
        <v>0</v>
      </c>
      <c r="H33" s="683" t="str">
        <f>CONCATENATE("Projected ",E1+1," carryover (est.)")</f>
        <v>Projected 2015 carryover (est.)</v>
      </c>
      <c r="I33" s="684"/>
      <c r="J33" s="685"/>
      <c r="K33" s="615"/>
    </row>
    <row r="34" spans="2:11" ht="15.75">
      <c r="B34" s="65"/>
      <c r="C34" s="805" t="str">
        <f>CONCATENATE("Amount of  ",$E$1-1," Ad Valorem Tax")</f>
        <v>Amount of  2013 Ad Valorem Tax</v>
      </c>
      <c r="D34" s="806"/>
      <c r="E34" s="180">
        <f>E32+E33</f>
        <v>0</v>
      </c>
      <c r="G34" s="615"/>
      <c r="H34" s="615"/>
      <c r="I34" s="615"/>
      <c r="J34" s="615"/>
      <c r="K34" s="615"/>
    </row>
    <row r="35" spans="2:11" ht="15.75">
      <c r="B35" s="65"/>
      <c r="C35" s="560"/>
      <c r="D35" s="65"/>
      <c r="E35" s="65"/>
      <c r="G35" s="874" t="s">
        <v>860</v>
      </c>
      <c r="H35" s="875"/>
      <c r="I35" s="875"/>
      <c r="J35" s="876"/>
      <c r="K35" s="615"/>
    </row>
    <row r="36" spans="2:11" ht="15.75">
      <c r="B36" s="65"/>
      <c r="C36" s="560"/>
      <c r="D36" s="65"/>
      <c r="E36" s="65"/>
      <c r="G36" s="689"/>
      <c r="H36" s="666"/>
      <c r="I36" s="690"/>
      <c r="J36" s="691"/>
      <c r="K36" s="615"/>
    </row>
    <row r="37" spans="2:11" ht="15.75">
      <c r="B37" s="71" t="s">
        <v>270</v>
      </c>
      <c r="C37" s="69"/>
      <c r="D37" s="69"/>
      <c r="E37" s="69"/>
      <c r="G37" s="692" t="e">
        <f>summ!#REF!</f>
        <v>#REF!</v>
      </c>
      <c r="H37" s="666" t="str">
        <f>CONCATENATE("",E1," Fund Mill Rate")</f>
        <v>2014 Fund Mill Rate</v>
      </c>
      <c r="I37" s="690"/>
      <c r="J37" s="691"/>
      <c r="K37" s="615"/>
    </row>
    <row r="38" spans="2:11" ht="15.75">
      <c r="B38" s="65"/>
      <c r="C38" s="390" t="s">
        <v>271</v>
      </c>
      <c r="D38" s="393" t="s">
        <v>272</v>
      </c>
      <c r="E38" s="73" t="s">
        <v>273</v>
      </c>
      <c r="G38" s="693" t="e">
        <f>summ!#REF!</f>
        <v>#REF!</v>
      </c>
      <c r="H38" s="666" t="str">
        <f>CONCATENATE("",E1-1," Fund Mill Rate")</f>
        <v>2013 Fund Mill Rate</v>
      </c>
      <c r="I38" s="690"/>
      <c r="J38" s="691"/>
      <c r="K38" s="615"/>
    </row>
    <row r="39" spans="2:11" ht="15.75">
      <c r="B39" s="487" t="str">
        <f>inputPrYr!B27</f>
        <v>Cemetery</v>
      </c>
      <c r="C39" s="391" t="str">
        <f>C5</f>
        <v>Actual for 2012</v>
      </c>
      <c r="D39" s="391" t="str">
        <f>D5</f>
        <v>Estimate for 2013</v>
      </c>
      <c r="E39" s="78" t="str">
        <f>E5</f>
        <v>Year for 2014</v>
      </c>
      <c r="G39" s="695">
        <f>summ!H20</f>
        <v>0.182</v>
      </c>
      <c r="H39" s="666" t="str">
        <f>CONCATENATE("Total ",E1," Mill Rate")</f>
        <v>Total 2014 Mill Rate</v>
      </c>
      <c r="I39" s="690"/>
      <c r="J39" s="691"/>
      <c r="K39" s="615"/>
    </row>
    <row r="40" spans="2:11" ht="15.75">
      <c r="B40" s="79" t="s">
        <v>67</v>
      </c>
      <c r="C40" s="311">
        <v>0</v>
      </c>
      <c r="D40" s="392">
        <f>C66</f>
        <v>0</v>
      </c>
      <c r="E40" s="259">
        <f>D66</f>
        <v>0</v>
      </c>
      <c r="G40" s="693">
        <f>summ!E20</f>
        <v>0.19</v>
      </c>
      <c r="H40" s="696" t="str">
        <f>CONCATENATE("Total ",E1-1," Mill Rate")</f>
        <v>Total 2013 Mill Rate</v>
      </c>
      <c r="I40" s="697"/>
      <c r="J40" s="698"/>
      <c r="K40" s="615"/>
    </row>
    <row r="41" spans="2:11" ht="15.75">
      <c r="B41" s="79" t="s">
        <v>69</v>
      </c>
      <c r="C41" s="392"/>
      <c r="D41" s="392"/>
      <c r="E41" s="313"/>
      <c r="G41" s="615"/>
      <c r="H41" s="615"/>
      <c r="I41" s="615"/>
      <c r="J41" s="615"/>
      <c r="K41" s="615"/>
    </row>
    <row r="42" spans="2:11" ht="15.75">
      <c r="B42" s="79" t="s">
        <v>276</v>
      </c>
      <c r="C42" s="311"/>
      <c r="D42" s="392">
        <f>IF(inputPrYr!H19&gt;0,inputPrYr!G27,inputPrYr!E27)</f>
        <v>0</v>
      </c>
      <c r="E42" s="313" t="s">
        <v>255</v>
      </c>
      <c r="G42" s="615"/>
      <c r="H42" s="615"/>
      <c r="I42" s="615"/>
      <c r="J42" s="615"/>
      <c r="K42" s="615"/>
    </row>
    <row r="43" spans="2:11" ht="15.75">
      <c r="B43" s="79" t="s">
        <v>277</v>
      </c>
      <c r="C43" s="311"/>
      <c r="D43" s="311"/>
      <c r="E43" s="169"/>
      <c r="G43" s="615"/>
      <c r="H43" s="615"/>
      <c r="I43" s="615"/>
      <c r="J43" s="615"/>
      <c r="K43" s="615"/>
    </row>
    <row r="44" spans="2:11" ht="15.75">
      <c r="B44" s="79" t="s">
        <v>278</v>
      </c>
      <c r="C44" s="311"/>
      <c r="D44" s="311"/>
      <c r="E44" s="259">
        <f>mvalloc!G18</f>
        <v>0</v>
      </c>
      <c r="G44" s="615"/>
      <c r="H44" s="615"/>
      <c r="I44" s="615"/>
      <c r="J44" s="615"/>
      <c r="K44" s="615"/>
    </row>
    <row r="45" spans="2:11" ht="15.75">
      <c r="B45" s="79" t="s">
        <v>279</v>
      </c>
      <c r="C45" s="311"/>
      <c r="D45" s="311"/>
      <c r="E45" s="259">
        <f>mvalloc!I18</f>
        <v>0</v>
      </c>
      <c r="G45" s="615"/>
      <c r="H45" s="615"/>
      <c r="I45" s="615"/>
      <c r="J45" s="615"/>
      <c r="K45" s="615"/>
    </row>
    <row r="46" spans="2:11" ht="15.75">
      <c r="B46" s="79" t="s">
        <v>48</v>
      </c>
      <c r="C46" s="311"/>
      <c r="D46" s="311"/>
      <c r="E46" s="259">
        <f>mvalloc!J18</f>
        <v>0</v>
      </c>
      <c r="G46" s="615"/>
      <c r="H46" s="615"/>
      <c r="I46" s="615"/>
      <c r="J46" s="615"/>
      <c r="K46" s="615"/>
    </row>
    <row r="47" spans="2:11" ht="15.75">
      <c r="B47" s="316"/>
      <c r="C47" s="311"/>
      <c r="D47" s="311"/>
      <c r="E47" s="169"/>
      <c r="G47" s="615"/>
      <c r="H47" s="615"/>
      <c r="I47" s="615"/>
      <c r="J47" s="615"/>
      <c r="K47" s="615"/>
    </row>
    <row r="48" spans="2:11" ht="15.75">
      <c r="B48" s="316"/>
      <c r="C48" s="311"/>
      <c r="D48" s="311"/>
      <c r="E48" s="169"/>
      <c r="G48" s="615"/>
      <c r="H48" s="615"/>
      <c r="I48" s="615"/>
      <c r="J48" s="615"/>
      <c r="K48" s="615"/>
    </row>
    <row r="49" spans="2:11" ht="15.75">
      <c r="B49" s="316" t="s">
        <v>282</v>
      </c>
      <c r="C49" s="311"/>
      <c r="D49" s="311"/>
      <c r="E49" s="169"/>
      <c r="G49" s="615"/>
      <c r="H49" s="615"/>
      <c r="I49" s="615"/>
      <c r="J49" s="615"/>
      <c r="K49" s="615"/>
    </row>
    <row r="50" spans="2:11" ht="15.75">
      <c r="B50" s="317" t="s">
        <v>228</v>
      </c>
      <c r="C50" s="311"/>
      <c r="D50" s="311"/>
      <c r="E50" s="169"/>
      <c r="G50" s="615"/>
      <c r="H50" s="615"/>
      <c r="I50" s="615"/>
      <c r="J50" s="615"/>
      <c r="K50" s="615"/>
    </row>
    <row r="51" spans="2:11" ht="15.75">
      <c r="B51" s="317" t="s">
        <v>229</v>
      </c>
      <c r="C51" s="394">
        <f>IF(C52*0.1&lt;C50,"Exceed 10% Rule","")</f>
      </c>
      <c r="D51" s="394">
        <f>IF(D52*0.1&lt;D50,"Exceed 10% Rule","")</f>
      </c>
      <c r="E51" s="321">
        <f>IF(E52*0.1+E72&lt;E50,"Exceed 10% Rule","")</f>
      </c>
      <c r="G51" s="615"/>
      <c r="H51" s="615"/>
      <c r="I51" s="615"/>
      <c r="J51" s="615"/>
      <c r="K51" s="615"/>
    </row>
    <row r="52" spans="2:11" ht="15.75">
      <c r="B52" s="319" t="s">
        <v>283</v>
      </c>
      <c r="C52" s="395">
        <f>SUM(C42:C50)</f>
        <v>0</v>
      </c>
      <c r="D52" s="395">
        <f>SUM(D42:D50)</f>
        <v>0</v>
      </c>
      <c r="E52" s="320">
        <f>SUM(E42:E50)</f>
        <v>0</v>
      </c>
      <c r="G52" s="615"/>
      <c r="H52" s="615"/>
      <c r="I52" s="615"/>
      <c r="J52" s="615"/>
      <c r="K52" s="615"/>
    </row>
    <row r="53" spans="2:11" ht="15.75">
      <c r="B53" s="97" t="s">
        <v>284</v>
      </c>
      <c r="C53" s="395">
        <f>C52+C40</f>
        <v>0</v>
      </c>
      <c r="D53" s="395">
        <f>D52+D40</f>
        <v>0</v>
      </c>
      <c r="E53" s="320">
        <f>E52+E40</f>
        <v>0</v>
      </c>
      <c r="G53" s="615"/>
      <c r="H53" s="615"/>
      <c r="I53" s="615"/>
      <c r="J53" s="615"/>
      <c r="K53" s="615"/>
    </row>
    <row r="54" spans="2:11" ht="15.75">
      <c r="B54" s="79" t="s">
        <v>285</v>
      </c>
      <c r="C54" s="392"/>
      <c r="D54" s="392"/>
      <c r="E54" s="259"/>
      <c r="G54" s="615"/>
      <c r="H54" s="615"/>
      <c r="I54" s="615"/>
      <c r="J54" s="615"/>
      <c r="K54" s="615"/>
    </row>
    <row r="55" spans="2:11" ht="15.75">
      <c r="B55" s="316"/>
      <c r="C55" s="311"/>
      <c r="D55" s="311"/>
      <c r="E55" s="169"/>
      <c r="G55" s="615"/>
      <c r="H55" s="615"/>
      <c r="I55" s="615"/>
      <c r="J55" s="615"/>
      <c r="K55" s="615"/>
    </row>
    <row r="56" spans="2:11" ht="15.75">
      <c r="B56" s="316"/>
      <c r="C56" s="311"/>
      <c r="D56" s="311"/>
      <c r="E56" s="169"/>
      <c r="G56" s="867" t="str">
        <f>CONCATENATE("Desired Carryover Into ",E1+1,"")</f>
        <v>Desired Carryover Into 2015</v>
      </c>
      <c r="H56" s="868"/>
      <c r="I56" s="868"/>
      <c r="J56" s="869"/>
      <c r="K56" s="615"/>
    </row>
    <row r="57" spans="2:11" ht="15.75">
      <c r="B57" s="316"/>
      <c r="C57" s="311"/>
      <c r="D57" s="311"/>
      <c r="E57" s="169"/>
      <c r="G57" s="647"/>
      <c r="H57" s="648"/>
      <c r="I57" s="649"/>
      <c r="J57" s="650"/>
      <c r="K57" s="615"/>
    </row>
    <row r="58" spans="2:11" ht="15.75">
      <c r="B58" s="316"/>
      <c r="C58" s="311"/>
      <c r="D58" s="311"/>
      <c r="E58" s="169"/>
      <c r="G58" s="651" t="s">
        <v>732</v>
      </c>
      <c r="H58" s="649"/>
      <c r="I58" s="649"/>
      <c r="J58" s="652">
        <v>0</v>
      </c>
      <c r="K58" s="615"/>
    </row>
    <row r="59" spans="2:11" ht="15.75">
      <c r="B59" s="316"/>
      <c r="C59" s="311"/>
      <c r="D59" s="311"/>
      <c r="E59" s="169"/>
      <c r="G59" s="647" t="s">
        <v>733</v>
      </c>
      <c r="H59" s="648"/>
      <c r="I59" s="648"/>
      <c r="J59" s="653">
        <f>IF(J58=0,"",ROUND((J58+E72-G71)/inputOth!E11*1000,3)-G76)</f>
      </c>
      <c r="K59" s="615"/>
    </row>
    <row r="60" spans="2:11" ht="15.75">
      <c r="B60" s="316"/>
      <c r="C60" s="311"/>
      <c r="D60" s="311"/>
      <c r="E60" s="169"/>
      <c r="G60" s="654" t="str">
        <f>CONCATENATE("",E1," Tot Exp/Non-Appr Must Be:")</f>
        <v>2014 Tot Exp/Non-Appr Must Be:</v>
      </c>
      <c r="H60" s="655"/>
      <c r="I60" s="656"/>
      <c r="J60" s="657">
        <f>IF(J58&gt;0,IF(E69&lt;E53,IF(J58=G71,E69,((J58-G71)*(1-D71))+E53),E69+(J58-G71)),0)</f>
        <v>0</v>
      </c>
      <c r="K60" s="615"/>
    </row>
    <row r="61" spans="2:11" ht="15.75">
      <c r="B61" s="316"/>
      <c r="C61" s="311"/>
      <c r="D61" s="311"/>
      <c r="E61" s="169"/>
      <c r="G61" s="658" t="s">
        <v>859</v>
      </c>
      <c r="H61" s="659"/>
      <c r="I61" s="659"/>
      <c r="J61" s="660">
        <f>IF(J58&gt;0,J60-E69,0)</f>
        <v>0</v>
      </c>
      <c r="K61" s="615"/>
    </row>
    <row r="62" spans="2:11" ht="15.75">
      <c r="B62" s="314" t="s">
        <v>230</v>
      </c>
      <c r="C62" s="311"/>
      <c r="D62" s="311"/>
      <c r="E62" s="180">
        <f>nhood!E13</f>
      </c>
      <c r="G62" s="615"/>
      <c r="H62" s="615"/>
      <c r="I62" s="615"/>
      <c r="J62" s="615"/>
      <c r="K62" s="615"/>
    </row>
    <row r="63" spans="2:11" ht="15.75">
      <c r="B63" s="314" t="s">
        <v>228</v>
      </c>
      <c r="C63" s="311"/>
      <c r="D63" s="311"/>
      <c r="E63" s="169"/>
      <c r="G63" s="867" t="str">
        <f>CONCATENATE("Projected Carryover Into ",E1+1,"")</f>
        <v>Projected Carryover Into 2015</v>
      </c>
      <c r="H63" s="870"/>
      <c r="I63" s="870"/>
      <c r="J63" s="871"/>
      <c r="K63" s="615"/>
    </row>
    <row r="64" spans="2:11" ht="15.75">
      <c r="B64" s="314" t="s">
        <v>730</v>
      </c>
      <c r="C64" s="394">
        <f>IF(C65*0.1&lt;C63,"Exceed 10% Rule","")</f>
      </c>
      <c r="D64" s="394">
        <f>IF(D65*0.1&lt;D63,"Exceed 10% Rule","")</f>
      </c>
      <c r="E64" s="321">
        <f>IF(E65*0.1&lt;E63,"Exceed 10% Rule","")</f>
      </c>
      <c r="G64" s="701"/>
      <c r="H64" s="648"/>
      <c r="I64" s="648"/>
      <c r="J64" s="702"/>
      <c r="K64" s="615"/>
    </row>
    <row r="65" spans="2:11" ht="15.75">
      <c r="B65" s="97" t="s">
        <v>286</v>
      </c>
      <c r="C65" s="395">
        <f>SUM(C55:C63)</f>
        <v>0</v>
      </c>
      <c r="D65" s="395">
        <f>SUM(D55:D63)</f>
        <v>0</v>
      </c>
      <c r="E65" s="320">
        <f>SUM(E55:E63)</f>
        <v>0</v>
      </c>
      <c r="G65" s="665">
        <f>D66</f>
        <v>0</v>
      </c>
      <c r="H65" s="666" t="str">
        <f>CONCATENATE("",E1-1," Ending Cash Balance (est.)")</f>
        <v>2013 Ending Cash Balance (est.)</v>
      </c>
      <c r="I65" s="667"/>
      <c r="J65" s="702"/>
      <c r="K65" s="615"/>
    </row>
    <row r="66" spans="2:11" ht="15.75">
      <c r="B66" s="79" t="s">
        <v>68</v>
      </c>
      <c r="C66" s="396">
        <f>C53-C65</f>
        <v>0</v>
      </c>
      <c r="D66" s="396">
        <f>D53-D65</f>
        <v>0</v>
      </c>
      <c r="E66" s="313" t="s">
        <v>255</v>
      </c>
      <c r="G66" s="665">
        <f>E52</f>
        <v>0</v>
      </c>
      <c r="H66" s="649" t="str">
        <f>CONCATENATE("",E1," Non-AV Receipts (est.)")</f>
        <v>2014 Non-AV Receipts (est.)</v>
      </c>
      <c r="I66" s="667"/>
      <c r="J66" s="702"/>
      <c r="K66" s="615"/>
    </row>
    <row r="67" spans="2:11" ht="15.75">
      <c r="B67" s="115" t="str">
        <f>CONCATENATE("",$E$1-2,"/",$E$1-1," Budget Authority Amount:")</f>
        <v>2012/2013 Budget Authority Amount:</v>
      </c>
      <c r="C67" s="336">
        <f>inputOth!$B90</f>
        <v>0</v>
      </c>
      <c r="D67" s="82">
        <f>inputPrYr!$D27</f>
        <v>0</v>
      </c>
      <c r="E67" s="313" t="s">
        <v>255</v>
      </c>
      <c r="F67" s="322"/>
      <c r="G67" s="674">
        <f>IF(E71&gt;0,E70,E72)</f>
        <v>0</v>
      </c>
      <c r="H67" s="649" t="str">
        <f>CONCATENATE("",E1," Ad Valorem Tax (est.)")</f>
        <v>2014 Ad Valorem Tax (est.)</v>
      </c>
      <c r="I67" s="667"/>
      <c r="J67" s="702"/>
      <c r="K67" s="675">
        <f>IF(G67=E72,"","Note: Does not include Delinquent Taxes")</f>
      </c>
    </row>
    <row r="68" spans="2:11" ht="15.75">
      <c r="B68" s="115"/>
      <c r="C68" s="801" t="s">
        <v>727</v>
      </c>
      <c r="D68" s="802"/>
      <c r="E68" s="169"/>
      <c r="F68" s="734">
        <f>IF(E65/0.95-E65&lt;E68,"Exceeds 5%","")</f>
      </c>
      <c r="G68" s="665">
        <f>SUM(G65:G67)</f>
        <v>0</v>
      </c>
      <c r="H68" s="649" t="str">
        <f>CONCATENATE("Total ",E1," Resources Available")</f>
        <v>Total 2014 Resources Available</v>
      </c>
      <c r="I68" s="705"/>
      <c r="J68" s="702"/>
      <c r="K68" s="615"/>
    </row>
    <row r="69" spans="2:11" ht="15.75">
      <c r="B69" s="501" t="str">
        <f>CONCATENATE(C79,"     ",D79)</f>
        <v>     </v>
      </c>
      <c r="C69" s="803" t="s">
        <v>728</v>
      </c>
      <c r="D69" s="804"/>
      <c r="E69" s="259">
        <f>E65+E68</f>
        <v>0</v>
      </c>
      <c r="G69" s="706"/>
      <c r="H69" s="707"/>
      <c r="I69" s="648"/>
      <c r="J69" s="702"/>
      <c r="K69" s="615"/>
    </row>
    <row r="70" spans="2:11" ht="15.75">
      <c r="B70" s="501" t="str">
        <f>CONCATENATE(C80,"     ",D80)</f>
        <v>     </v>
      </c>
      <c r="C70" s="504"/>
      <c r="D70" s="503" t="s">
        <v>288</v>
      </c>
      <c r="E70" s="180">
        <f>IF(E69-E53&gt;0,E69-E53,0)</f>
        <v>0</v>
      </c>
      <c r="G70" s="674">
        <f>ROUND(C65*0.05+C65,0)</f>
        <v>0</v>
      </c>
      <c r="H70" s="649" t="str">
        <f>CONCATENATE("Less ",E1-2," Expenditures + 5%")</f>
        <v>Less 2012 Expenditures + 5%</v>
      </c>
      <c r="I70" s="705"/>
      <c r="J70" s="702"/>
      <c r="K70" s="615"/>
    </row>
    <row r="71" spans="2:11" ht="15.75">
      <c r="B71" s="208"/>
      <c r="C71" s="502" t="s">
        <v>729</v>
      </c>
      <c r="D71" s="718">
        <f>inputOth!$E$77</f>
        <v>0</v>
      </c>
      <c r="E71" s="259">
        <f>ROUND(IF(D71&gt;0,(E70*D71),0),0)</f>
        <v>0</v>
      </c>
      <c r="G71" s="682">
        <f>G68-G70</f>
        <v>0</v>
      </c>
      <c r="H71" s="683" t="str">
        <f>CONCATENATE("Projected ",E1+1," carryover (est.)")</f>
        <v>Projected 2015 carryover (est.)</v>
      </c>
      <c r="I71" s="708"/>
      <c r="J71" s="709"/>
      <c r="K71" s="615"/>
    </row>
    <row r="72" spans="2:11" ht="15.75">
      <c r="B72" s="65"/>
      <c r="C72" s="805" t="str">
        <f>CONCATENATE("Amount of  ",$E$1-1," Ad Valorem Tax")</f>
        <v>Amount of  2013 Ad Valorem Tax</v>
      </c>
      <c r="D72" s="806"/>
      <c r="E72" s="180">
        <f>E70+E71</f>
        <v>0</v>
      </c>
      <c r="G72" s="615"/>
      <c r="H72" s="615"/>
      <c r="I72" s="615"/>
      <c r="J72" s="615"/>
      <c r="K72" s="615"/>
    </row>
    <row r="73" spans="2:11" ht="15.75">
      <c r="B73" s="208" t="s">
        <v>269</v>
      </c>
      <c r="C73" s="326"/>
      <c r="D73" s="65"/>
      <c r="E73" s="65"/>
      <c r="G73" s="874" t="s">
        <v>860</v>
      </c>
      <c r="H73" s="875"/>
      <c r="I73" s="875"/>
      <c r="J73" s="876"/>
      <c r="K73" s="615"/>
    </row>
    <row r="74" spans="2:11" ht="15.75">
      <c r="B74" s="111"/>
      <c r="G74" s="689"/>
      <c r="H74" s="666"/>
      <c r="I74" s="690"/>
      <c r="J74" s="691"/>
      <c r="K74" s="615"/>
    </row>
    <row r="75" spans="7:11" ht="15.75">
      <c r="G75" s="692" t="e">
        <f>summ!#REF!</f>
        <v>#REF!</v>
      </c>
      <c r="H75" s="666" t="str">
        <f>CONCATENATE("",E1," Fund Mill Rate")</f>
        <v>2014 Fund Mill Rate</v>
      </c>
      <c r="I75" s="690"/>
      <c r="J75" s="691"/>
      <c r="K75" s="615"/>
    </row>
    <row r="76" spans="7:11" ht="15.75">
      <c r="G76" s="693" t="e">
        <f>summ!#REF!</f>
        <v>#REF!</v>
      </c>
      <c r="H76" s="666" t="str">
        <f>CONCATENATE("",E1-1," Fund Mill Rate")</f>
        <v>2013 Fund Mill Rate</v>
      </c>
      <c r="I76" s="690"/>
      <c r="J76" s="691"/>
      <c r="K76" s="615"/>
    </row>
    <row r="77" spans="3:11" ht="15.75" hidden="1">
      <c r="C77" s="154">
        <f>IF(C27&gt;C29,"See Tab A","")</f>
      </c>
      <c r="D77" s="154">
        <f>IF(D27&gt;D29,"See Tab C","")</f>
      </c>
      <c r="G77" s="695">
        <f>'[1]summ'!I36</f>
        <v>0</v>
      </c>
      <c r="H77" s="666" t="str">
        <f>CONCATENATE("Total ",E1," Mill Rate")</f>
        <v>Total 2014 Mill Rate</v>
      </c>
      <c r="I77" s="690"/>
      <c r="J77" s="691"/>
      <c r="K77" s="615"/>
    </row>
    <row r="78" spans="3:11" ht="15.75" hidden="1">
      <c r="C78" s="154">
        <f>IF(C28&lt;0,"See Tab B","")</f>
      </c>
      <c r="D78" s="154">
        <f>IF(D28&lt;0,"See Tab D","")</f>
      </c>
      <c r="G78" s="693">
        <f>'[1]summ'!F36</f>
        <v>0</v>
      </c>
      <c r="H78" s="696" t="str">
        <f>CONCATENATE("Total ",E1-1," Mill Rate")</f>
        <v>Total 2013 Mill Rate</v>
      </c>
      <c r="I78" s="697"/>
      <c r="J78" s="698"/>
      <c r="K78" s="615"/>
    </row>
    <row r="79" spans="3:4" ht="15.75" hidden="1">
      <c r="C79" s="154">
        <f>IF(C65&gt;C67,"See Tab A","")</f>
      </c>
      <c r="D79" s="154">
        <f>IF(D65&gt;D67,"See Tab C","")</f>
      </c>
    </row>
    <row r="80" spans="3:4" ht="15.75" hidden="1">
      <c r="C80" s="154">
        <f>IF(C66&lt;0,"See Tab B","")</f>
      </c>
      <c r="D80" s="154">
        <f>IF(D66&lt;0,"See Tab D","")</f>
      </c>
    </row>
    <row r="81" spans="7:10" ht="15.75">
      <c r="G81" s="695">
        <f>summ!H20</f>
        <v>0.182</v>
      </c>
      <c r="H81" s="666" t="str">
        <f>CONCATENATE("Total ",E1," Mill Rate")</f>
        <v>Total 2014 Mill Rate</v>
      </c>
      <c r="I81" s="690"/>
      <c r="J81" s="691"/>
    </row>
    <row r="82" spans="7:10" ht="15.75">
      <c r="G82" s="693">
        <f>summ!E20</f>
        <v>0.19</v>
      </c>
      <c r="H82" s="696" t="str">
        <f>CONCATENATE("Total ",E1-1," Mill Rate")</f>
        <v>Total 2013 Mill Rate</v>
      </c>
      <c r="I82" s="697"/>
      <c r="J82" s="698"/>
    </row>
  </sheetData>
  <sheetProtection/>
  <mergeCells count="12">
    <mergeCell ref="C30:D30"/>
    <mergeCell ref="C31:D31"/>
    <mergeCell ref="C68:D68"/>
    <mergeCell ref="C69:D69"/>
    <mergeCell ref="C72:D72"/>
    <mergeCell ref="C34:D34"/>
    <mergeCell ref="G22:J22"/>
    <mergeCell ref="G25:J25"/>
    <mergeCell ref="G35:J35"/>
    <mergeCell ref="G56:J56"/>
    <mergeCell ref="G63:J63"/>
    <mergeCell ref="G73:J73"/>
  </mergeCells>
  <conditionalFormatting sqref="C63">
    <cfRule type="cellIs" priority="3" dxfId="173" operator="greaterThan" stopIfTrue="1">
      <formula>$C$705*0.1</formula>
    </cfRule>
  </conditionalFormatting>
  <conditionalFormatting sqref="D63">
    <cfRule type="cellIs" priority="4" dxfId="173" operator="greaterThan" stopIfTrue="1">
      <formula>$D$705*0.1</formula>
    </cfRule>
  </conditionalFormatting>
  <conditionalFormatting sqref="E63">
    <cfRule type="cellIs" priority="5" dxfId="173" operator="greaterThan" stopIfTrue="1">
      <formula>$E$65*0.1</formula>
    </cfRule>
  </conditionalFormatting>
  <conditionalFormatting sqref="C50">
    <cfRule type="cellIs" priority="6" dxfId="173" operator="greaterThan" stopIfTrue="1">
      <formula>$C$52*0.1</formula>
    </cfRule>
  </conditionalFormatting>
  <conditionalFormatting sqref="D50">
    <cfRule type="cellIs" priority="7" dxfId="173" operator="greaterThan" stopIfTrue="1">
      <formula>$D$52*0.1</formula>
    </cfRule>
  </conditionalFormatting>
  <conditionalFormatting sqref="E68">
    <cfRule type="cellIs" priority="8" dxfId="173" operator="greaterThan" stopIfTrue="1">
      <formula>$E$65/0.95-$E$65</formula>
    </cfRule>
  </conditionalFormatting>
  <conditionalFormatting sqref="C25">
    <cfRule type="cellIs" priority="9" dxfId="173" operator="greaterThan" stopIfTrue="1">
      <formula>$C$27*0.1</formula>
    </cfRule>
  </conditionalFormatting>
  <conditionalFormatting sqref="D25">
    <cfRule type="cellIs" priority="10" dxfId="173" operator="greaterThan" stopIfTrue="1">
      <formula>$D$27*0.1</formula>
    </cfRule>
  </conditionalFormatting>
  <conditionalFormatting sqref="E25">
    <cfRule type="cellIs" priority="11" dxfId="173" operator="greaterThan" stopIfTrue="1">
      <formula>$E$27*0.1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0">
    <cfRule type="cellIs" priority="14" dxfId="173" operator="greaterThan" stopIfTrue="1">
      <formula>$E$27/0.95-$E$27</formula>
    </cfRule>
  </conditionalFormatting>
  <conditionalFormatting sqref="C66 C28">
    <cfRule type="cellIs" priority="15" dxfId="173" operator="lessThan" stopIfTrue="1">
      <formula>0</formula>
    </cfRule>
  </conditionalFormatting>
  <conditionalFormatting sqref="C65">
    <cfRule type="cellIs" priority="16" dxfId="10" operator="greaterThan" stopIfTrue="1">
      <formula>$C$67</formula>
    </cfRule>
  </conditionalFormatting>
  <conditionalFormatting sqref="D65">
    <cfRule type="cellIs" priority="17" dxfId="10" operator="greaterThan" stopIfTrue="1">
      <formula>$D$67</formula>
    </cfRule>
  </conditionalFormatting>
  <conditionalFormatting sqref="C27">
    <cfRule type="cellIs" priority="18" dxfId="10" operator="greaterThan" stopIfTrue="1">
      <formula>$C$29</formula>
    </cfRule>
  </conditionalFormatting>
  <conditionalFormatting sqref="D27">
    <cfRule type="cellIs" priority="19" dxfId="10" operator="greaterThan" stopIfTrue="1">
      <formula>$D$29</formula>
    </cfRule>
  </conditionalFormatting>
  <conditionalFormatting sqref="E50">
    <cfRule type="cellIs" priority="21" dxfId="173" operator="greaterThan" stopIfTrue="1">
      <formula>$E$52*0.1+$E$72</formula>
    </cfRule>
  </conditionalFormatting>
  <conditionalFormatting sqref="D66 D28">
    <cfRule type="cellIs" priority="2" dxfId="0" operator="lessThan" stopIfTrue="1">
      <formula>0</formula>
    </cfRule>
  </conditionalFormatting>
  <conditionalFormatting sqref="E16">
    <cfRule type="cellIs" priority="24" dxfId="173" operator="greaterThan" stopIfTrue="1">
      <formula>$E$18*0.1+$E$34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73" sqref="C73"/>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Center Township</v>
      </c>
      <c r="C1" s="65"/>
      <c r="D1" s="65"/>
      <c r="E1" s="223">
        <f>inputPrYr!D9</f>
        <v>2014</v>
      </c>
    </row>
    <row r="2" spans="2:5" ht="15.75">
      <c r="B2" s="541" t="s">
        <v>763</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5"/>
    </row>
    <row r="25" spans="2:11" ht="15.75">
      <c r="B25" s="316"/>
      <c r="C25" s="311"/>
      <c r="D25" s="311"/>
      <c r="E25" s="169"/>
      <c r="G25" s="647"/>
      <c r="H25" s="648"/>
      <c r="I25" s="649"/>
      <c r="J25" s="650"/>
      <c r="K25" s="615"/>
    </row>
    <row r="26" spans="2:11" ht="15.75">
      <c r="B26" s="316"/>
      <c r="C26" s="311"/>
      <c r="D26" s="311"/>
      <c r="E26" s="169"/>
      <c r="G26" s="651" t="s">
        <v>732</v>
      </c>
      <c r="H26" s="649"/>
      <c r="I26" s="649"/>
      <c r="J26" s="652">
        <v>0</v>
      </c>
      <c r="K26" s="615"/>
    </row>
    <row r="27" spans="2:11" ht="15.75">
      <c r="B27" s="311"/>
      <c r="C27" s="311"/>
      <c r="D27" s="311"/>
      <c r="E27" s="169"/>
      <c r="G27" s="647" t="s">
        <v>733</v>
      </c>
      <c r="H27" s="648"/>
      <c r="I27" s="648"/>
      <c r="J27" s="653">
        <f>IF(J26=0,"",ROUND((J26+E40-G39)/inputOth!E11*1000,3)-G44)</f>
      </c>
      <c r="K27" s="615"/>
    </row>
    <row r="28" spans="2:11" ht="15.75">
      <c r="B28" s="316"/>
      <c r="C28" s="311"/>
      <c r="D28" s="311"/>
      <c r="E28" s="169"/>
      <c r="G28" s="654" t="str">
        <f>CONCATENATE("",E1," Tot Exp/Non-Appr Must Be:")</f>
        <v>2014 Tot Exp/Non-Appr Must Be:</v>
      </c>
      <c r="H28" s="655"/>
      <c r="I28" s="656"/>
      <c r="J28" s="657">
        <f>IF(J26&gt;0,IF(E37&lt;E21,IF(J26=G39,E37,((J26-G39)*(1-D39))+E21),E37+(J26-G39)),0)</f>
        <v>0</v>
      </c>
      <c r="K28" s="615"/>
    </row>
    <row r="29" spans="2:11" ht="15.75">
      <c r="B29" s="316"/>
      <c r="C29" s="311"/>
      <c r="D29" s="311"/>
      <c r="E29" s="169"/>
      <c r="G29" s="658" t="s">
        <v>859</v>
      </c>
      <c r="H29" s="659"/>
      <c r="I29" s="659"/>
      <c r="J29" s="660">
        <f>IF(J26&gt;0,J28-E37,0)</f>
        <v>0</v>
      </c>
      <c r="K29" s="615"/>
    </row>
    <row r="30" spans="2:11" ht="15.75">
      <c r="B30" s="314" t="s">
        <v>230</v>
      </c>
      <c r="C30" s="311"/>
      <c r="D30" s="311"/>
      <c r="E30" s="180">
        <f>nhood!E14</f>
      </c>
      <c r="G30" s="615"/>
      <c r="H30" s="615"/>
      <c r="I30" s="615"/>
      <c r="J30" s="615"/>
      <c r="K30" s="615"/>
    </row>
    <row r="31" spans="2:11" ht="15.75">
      <c r="B31" s="314" t="s">
        <v>228</v>
      </c>
      <c r="C31" s="311"/>
      <c r="D31" s="311"/>
      <c r="E31" s="169"/>
      <c r="G31" s="867" t="str">
        <f>CONCATENATE("Projected Carryover Into ",E1+1,"")</f>
        <v>Projected Carryover Into 2015</v>
      </c>
      <c r="H31" s="877"/>
      <c r="I31" s="877"/>
      <c r="J31" s="871"/>
      <c r="K31" s="615"/>
    </row>
    <row r="32" spans="2:11" ht="15.75">
      <c r="B32" s="314" t="s">
        <v>730</v>
      </c>
      <c r="C32" s="394">
        <f>IF(C33*0.1&lt;C31,"Exceed 10% Rule","")</f>
      </c>
      <c r="D32" s="394">
        <f>IF(D33*0.1&lt;D31,"Exceed 10% Rule","")</f>
      </c>
      <c r="E32" s="321">
        <f>IF(E33*0.1&lt;E31,"Exceed 10% Rule","")</f>
      </c>
      <c r="G32" s="647"/>
      <c r="H32" s="649"/>
      <c r="I32" s="649"/>
      <c r="J32" s="662"/>
      <c r="K32" s="615"/>
    </row>
    <row r="33" spans="2:11" ht="15.75">
      <c r="B33" s="97" t="s">
        <v>286</v>
      </c>
      <c r="C33" s="395">
        <f>SUM(C23:C31)</f>
        <v>0</v>
      </c>
      <c r="D33" s="395">
        <f>SUM(D23:D31)</f>
        <v>0</v>
      </c>
      <c r="E33" s="320">
        <f>SUM(E23:E31)</f>
        <v>0</v>
      </c>
      <c r="G33" s="665">
        <f>D34</f>
        <v>0</v>
      </c>
      <c r="H33" s="666" t="str">
        <f>CONCATENATE("",E1-1," Ending Cash Balance (est.)")</f>
        <v>2013 Ending Cash Balance (est.)</v>
      </c>
      <c r="I33" s="667"/>
      <c r="J33" s="662"/>
      <c r="K33" s="615"/>
    </row>
    <row r="34" spans="2:11" ht="15.75">
      <c r="B34" s="79" t="s">
        <v>68</v>
      </c>
      <c r="C34" s="396">
        <f>C21-C33</f>
        <v>0</v>
      </c>
      <c r="D34" s="396">
        <f>D21-D33</f>
        <v>0</v>
      </c>
      <c r="E34" s="313" t="s">
        <v>255</v>
      </c>
      <c r="G34" s="665">
        <f>E20</f>
        <v>0</v>
      </c>
      <c r="H34" s="649" t="str">
        <f>CONCATENATE("",E1," Non-AV Receipts (est.)")</f>
        <v>2014 Non-AV Receipts (est.)</v>
      </c>
      <c r="I34" s="667"/>
      <c r="J34" s="662"/>
      <c r="K34" s="615"/>
    </row>
    <row r="35" spans="2:11" ht="15.75">
      <c r="B35" s="115" t="str">
        <f>CONCATENATE("",$E$1-2,"/",$E$1-1," Budget Authority Amount:")</f>
        <v>2012/2013 Budget Authority Amount:</v>
      </c>
      <c r="C35" s="336">
        <f>inputOth!$B91</f>
        <v>0</v>
      </c>
      <c r="D35" s="82">
        <f>inputPrYr!$D28</f>
        <v>0</v>
      </c>
      <c r="E35" s="313" t="s">
        <v>255</v>
      </c>
      <c r="F35" s="322"/>
      <c r="G35" s="674">
        <f>IF(E39&gt;0,E38,E40)</f>
        <v>0</v>
      </c>
      <c r="H35" s="649" t="str">
        <f>CONCATENATE("",E1," Ad Valorem Tax (est.)")</f>
        <v>2014 Ad Valorem Tax (est.)</v>
      </c>
      <c r="I35" s="667"/>
      <c r="J35" s="662"/>
      <c r="K35" s="675">
        <f>IF(G35=E40,"","Note: Does not include Delinquent Taxes")</f>
      </c>
    </row>
    <row r="36" spans="2:11" ht="15.75">
      <c r="B36" s="115"/>
      <c r="C36" s="801" t="s">
        <v>727</v>
      </c>
      <c r="D36" s="802"/>
      <c r="E36" s="169"/>
      <c r="F36" s="734">
        <f>IF(E33/0.95-E33&lt;E36,"Exceeds 5%","")</f>
      </c>
      <c r="G36" s="665">
        <f>SUM(G33:G35)</f>
        <v>0</v>
      </c>
      <c r="H36" s="649" t="str">
        <f>CONCATENATE("Total ",E1," Resources Available")</f>
        <v>Total 2014 Resources Available</v>
      </c>
      <c r="I36" s="667"/>
      <c r="J36" s="662"/>
      <c r="K36" s="615"/>
    </row>
    <row r="37" spans="2:11" ht="15.75">
      <c r="B37" s="501" t="str">
        <f>CONCATENATE(C85,"     ",D85)</f>
        <v>     </v>
      </c>
      <c r="C37" s="803" t="s">
        <v>728</v>
      </c>
      <c r="D37" s="804"/>
      <c r="E37" s="259">
        <f>E33+E36</f>
        <v>0</v>
      </c>
      <c r="G37" s="678"/>
      <c r="H37" s="649"/>
      <c r="I37" s="649"/>
      <c r="J37" s="662"/>
      <c r="K37" s="615"/>
    </row>
    <row r="38" spans="2:11" ht="15.75">
      <c r="B38" s="501" t="str">
        <f>CONCATENATE(C86,"     ",D86)</f>
        <v>     </v>
      </c>
      <c r="C38" s="504"/>
      <c r="D38" s="503" t="s">
        <v>288</v>
      </c>
      <c r="E38" s="180">
        <f>IF(E37-E21&gt;0,E37-E21,0)</f>
        <v>0</v>
      </c>
      <c r="G38" s="674">
        <f>C33*0.05+C33</f>
        <v>0</v>
      </c>
      <c r="H38" s="649" t="str">
        <f>CONCATENATE("Less ",E1-2," Expenditures + 5%")</f>
        <v>Less 2012 Expenditures + 5%</v>
      </c>
      <c r="I38" s="649"/>
      <c r="J38" s="662"/>
      <c r="K38" s="615"/>
    </row>
    <row r="39" spans="2:11" ht="15.75">
      <c r="B39" s="208"/>
      <c r="C39" s="502" t="s">
        <v>729</v>
      </c>
      <c r="D39" s="718">
        <f>inputOth!$E$77</f>
        <v>0</v>
      </c>
      <c r="E39" s="259">
        <f>ROUND(IF(D39&gt;0,(E38*D39),0),0)</f>
        <v>0</v>
      </c>
      <c r="G39" s="682">
        <f>G36-G38</f>
        <v>0</v>
      </c>
      <c r="H39" s="683" t="str">
        <f>CONCATENATE("Projected ",E1+1," carryover (est.)")</f>
        <v>Projected 2015 carryover (est.)</v>
      </c>
      <c r="I39" s="684"/>
      <c r="J39" s="685"/>
      <c r="K39" s="615"/>
    </row>
    <row r="40" spans="2:11" ht="15.75">
      <c r="B40" s="65"/>
      <c r="C40" s="805" t="str">
        <f>CONCATENATE("Amount of  ",$E$1-1," Ad Valorem Tax")</f>
        <v>Amount of  2013 Ad Valorem Tax</v>
      </c>
      <c r="D40" s="806"/>
      <c r="E40" s="180">
        <f>E38+E39</f>
        <v>0</v>
      </c>
      <c r="G40" s="615"/>
      <c r="H40" s="615"/>
      <c r="I40" s="615"/>
      <c r="J40" s="615"/>
      <c r="K40" s="615"/>
    </row>
    <row r="41" spans="2:11" ht="15.75">
      <c r="B41" s="65"/>
      <c r="C41" s="560"/>
      <c r="D41" s="65"/>
      <c r="E41" s="65"/>
      <c r="G41" s="874" t="s">
        <v>860</v>
      </c>
      <c r="H41" s="875"/>
      <c r="I41" s="875"/>
      <c r="J41" s="876"/>
      <c r="K41" s="615"/>
    </row>
    <row r="42" spans="2:11" ht="15.75">
      <c r="B42" s="65"/>
      <c r="C42" s="560"/>
      <c r="D42" s="65"/>
      <c r="E42" s="65"/>
      <c r="G42" s="689"/>
      <c r="H42" s="666"/>
      <c r="I42" s="690"/>
      <c r="J42" s="691"/>
      <c r="K42" s="615"/>
    </row>
    <row r="43" spans="2:11" ht="15.75">
      <c r="B43" s="71" t="s">
        <v>270</v>
      </c>
      <c r="C43" s="69"/>
      <c r="D43" s="69"/>
      <c r="E43" s="69"/>
      <c r="G43" s="692" t="e">
        <f>summ!#REF!</f>
        <v>#REF!</v>
      </c>
      <c r="H43" s="666" t="str">
        <f>CONCATENATE("",E1," Fund Mill Rate")</f>
        <v>2014 Fund Mill Rate</v>
      </c>
      <c r="I43" s="690"/>
      <c r="J43" s="691"/>
      <c r="K43" s="615"/>
    </row>
    <row r="44" spans="2:11" ht="15.75">
      <c r="B44" s="65"/>
      <c r="C44" s="390" t="s">
        <v>271</v>
      </c>
      <c r="D44" s="393" t="s">
        <v>272</v>
      </c>
      <c r="E44" s="73" t="s">
        <v>273</v>
      </c>
      <c r="G44" s="693" t="e">
        <f>summ!#REF!</f>
        <v>#REF!</v>
      </c>
      <c r="H44" s="666" t="str">
        <f>CONCATENATE("",E1-1," Fund Mill Rate")</f>
        <v>2013 Fund Mill Rate</v>
      </c>
      <c r="I44" s="690"/>
      <c r="J44" s="691"/>
      <c r="K44" s="615"/>
    </row>
    <row r="45" spans="2:11" ht="15.75">
      <c r="B45" s="487">
        <f>inputPrYr!B29</f>
        <v>0</v>
      </c>
      <c r="C45" s="391" t="str">
        <f>C5</f>
        <v>Actual for 2012</v>
      </c>
      <c r="D45" s="391" t="str">
        <f>D5</f>
        <v>Estimate for 2013</v>
      </c>
      <c r="E45" s="78" t="str">
        <f>E5</f>
        <v>Year for 2014</v>
      </c>
      <c r="G45" s="695">
        <f>summ!H20</f>
        <v>0.182</v>
      </c>
      <c r="H45" s="666" t="str">
        <f>CONCATENATE("Total ",E1," Mill Rate")</f>
        <v>Total 2014 Mill Rate</v>
      </c>
      <c r="I45" s="690"/>
      <c r="J45" s="691"/>
      <c r="K45" s="615"/>
    </row>
    <row r="46" spans="2:11" ht="15.75">
      <c r="B46" s="79" t="s">
        <v>67</v>
      </c>
      <c r="C46" s="311"/>
      <c r="D46" s="392">
        <f>C74</f>
        <v>0</v>
      </c>
      <c r="E46" s="259">
        <f>D74</f>
        <v>0</v>
      </c>
      <c r="G46" s="693">
        <f>summ!E20</f>
        <v>0.19</v>
      </c>
      <c r="H46" s="696" t="str">
        <f>CONCATENATE("Total ",E1-1," Mill Rate")</f>
        <v>Total 2013 Mill Rate</v>
      </c>
      <c r="I46" s="697"/>
      <c r="J46" s="698"/>
      <c r="K46" s="615"/>
    </row>
    <row r="47" spans="2:11" ht="15.75">
      <c r="B47" s="79" t="s">
        <v>69</v>
      </c>
      <c r="C47" s="392"/>
      <c r="D47" s="392"/>
      <c r="E47" s="313"/>
      <c r="G47" s="615"/>
      <c r="H47" s="615"/>
      <c r="I47" s="615"/>
      <c r="J47" s="615"/>
      <c r="K47" s="615"/>
    </row>
    <row r="48" spans="2:11" ht="15.75">
      <c r="B48" s="79" t="s">
        <v>276</v>
      </c>
      <c r="C48" s="311"/>
      <c r="D48" s="392">
        <f>IF(inputPrYr!H19&gt;0,inputPrYr!G29,inputPrYr!E29)</f>
        <v>0</v>
      </c>
      <c r="E48" s="313" t="s">
        <v>255</v>
      </c>
      <c r="G48" s="615"/>
      <c r="H48" s="615"/>
      <c r="I48" s="615"/>
      <c r="J48" s="615"/>
      <c r="K48" s="615"/>
    </row>
    <row r="49" spans="2:11" ht="15.75">
      <c r="B49" s="79" t="s">
        <v>277</v>
      </c>
      <c r="C49" s="311"/>
      <c r="D49" s="311"/>
      <c r="E49" s="169"/>
      <c r="G49" s="615"/>
      <c r="H49" s="615"/>
      <c r="I49" s="615"/>
      <c r="J49" s="615"/>
      <c r="K49" s="615"/>
    </row>
    <row r="50" spans="2:11" ht="15.75">
      <c r="B50" s="79" t="s">
        <v>278</v>
      </c>
      <c r="C50" s="311"/>
      <c r="D50" s="311"/>
      <c r="E50" s="259">
        <f>mvalloc!G20</f>
        <v>0</v>
      </c>
      <c r="G50" s="615"/>
      <c r="H50" s="615"/>
      <c r="I50" s="615"/>
      <c r="J50" s="615"/>
      <c r="K50" s="615"/>
    </row>
    <row r="51" spans="2:11" ht="15.75">
      <c r="B51" s="79" t="s">
        <v>279</v>
      </c>
      <c r="C51" s="311"/>
      <c r="D51" s="311"/>
      <c r="E51" s="259">
        <f>mvalloc!I20</f>
        <v>0</v>
      </c>
      <c r="G51" s="615"/>
      <c r="H51" s="615"/>
      <c r="I51" s="615"/>
      <c r="J51" s="615"/>
      <c r="K51" s="615"/>
    </row>
    <row r="52" spans="2:11" ht="15.75">
      <c r="B52" s="79" t="s">
        <v>48</v>
      </c>
      <c r="C52" s="311"/>
      <c r="D52" s="311"/>
      <c r="E52" s="259">
        <f>mvalloc!J20</f>
        <v>0</v>
      </c>
      <c r="G52" s="615"/>
      <c r="H52" s="615"/>
      <c r="I52" s="615"/>
      <c r="J52" s="615"/>
      <c r="K52" s="615"/>
    </row>
    <row r="53" spans="2:11" ht="15.75">
      <c r="B53" s="315"/>
      <c r="C53" s="311"/>
      <c r="D53" s="311"/>
      <c r="E53" s="169"/>
      <c r="G53" s="615"/>
      <c r="H53" s="615"/>
      <c r="I53" s="615"/>
      <c r="J53" s="615"/>
      <c r="K53" s="615"/>
    </row>
    <row r="54" spans="2:11" ht="15.75">
      <c r="B54" s="315"/>
      <c r="C54" s="311"/>
      <c r="D54" s="311"/>
      <c r="E54" s="169"/>
      <c r="G54" s="615"/>
      <c r="H54" s="615"/>
      <c r="I54" s="615"/>
      <c r="J54" s="615"/>
      <c r="K54" s="615"/>
    </row>
    <row r="55" spans="2:11" ht="15.75">
      <c r="B55" s="315"/>
      <c r="C55" s="311"/>
      <c r="D55" s="311"/>
      <c r="E55" s="169"/>
      <c r="G55" s="615"/>
      <c r="H55" s="615"/>
      <c r="I55" s="615"/>
      <c r="J55" s="615"/>
      <c r="K55" s="615"/>
    </row>
    <row r="56" spans="2:11" ht="15.75">
      <c r="B56" s="316"/>
      <c r="C56" s="311"/>
      <c r="D56" s="311"/>
      <c r="E56" s="169"/>
      <c r="G56" s="615"/>
      <c r="H56" s="615"/>
      <c r="I56" s="615"/>
      <c r="J56" s="615"/>
      <c r="K56" s="615"/>
    </row>
    <row r="57" spans="2:11" ht="15.75">
      <c r="B57" s="316" t="s">
        <v>282</v>
      </c>
      <c r="C57" s="311"/>
      <c r="D57" s="311"/>
      <c r="E57" s="169"/>
      <c r="G57" s="615"/>
      <c r="H57" s="615"/>
      <c r="I57" s="615"/>
      <c r="J57" s="615"/>
      <c r="K57" s="615"/>
    </row>
    <row r="58" spans="2:11" ht="15.75">
      <c r="B58" s="317" t="s">
        <v>228</v>
      </c>
      <c r="C58" s="311"/>
      <c r="D58" s="311"/>
      <c r="E58" s="169"/>
      <c r="G58" s="615"/>
      <c r="H58" s="615"/>
      <c r="I58" s="615"/>
      <c r="J58" s="615"/>
      <c r="K58" s="615"/>
    </row>
    <row r="59" spans="2:11" ht="15.75">
      <c r="B59" s="317" t="s">
        <v>229</v>
      </c>
      <c r="C59" s="394">
        <f>IF(C60*0.1&lt;C58,"Exceed 10% Rule","")</f>
      </c>
      <c r="D59" s="394">
        <f>IF(D60*0.1&lt;D58,"Exceed 10% Rule","")</f>
      </c>
      <c r="E59" s="321">
        <f>IF(E60*0.1+E80&lt;E58,"Exceed 10% Rule","")</f>
      </c>
      <c r="G59" s="615"/>
      <c r="H59" s="615"/>
      <c r="I59" s="615"/>
      <c r="J59" s="615"/>
      <c r="K59" s="615"/>
    </row>
    <row r="60" spans="2:11" ht="15.75">
      <c r="B60" s="319" t="s">
        <v>283</v>
      </c>
      <c r="C60" s="395">
        <f>SUM(C48:C58)</f>
        <v>0</v>
      </c>
      <c r="D60" s="395">
        <f>SUM(D48:D58)</f>
        <v>0</v>
      </c>
      <c r="E60" s="320">
        <f>SUM(E48:E58)</f>
        <v>0</v>
      </c>
      <c r="G60" s="615"/>
      <c r="H60" s="615"/>
      <c r="I60" s="615"/>
      <c r="J60" s="615"/>
      <c r="K60" s="615"/>
    </row>
    <row r="61" spans="2:11" ht="15.75">
      <c r="B61" s="97" t="s">
        <v>284</v>
      </c>
      <c r="C61" s="395">
        <f>C60+C46</f>
        <v>0</v>
      </c>
      <c r="D61" s="395">
        <f>D60+D46</f>
        <v>0</v>
      </c>
      <c r="E61" s="320">
        <f>E60+E46</f>
        <v>0</v>
      </c>
      <c r="G61" s="615"/>
      <c r="H61" s="615"/>
      <c r="I61" s="615"/>
      <c r="J61" s="615"/>
      <c r="K61" s="615"/>
    </row>
    <row r="62" spans="2:11" ht="15.75">
      <c r="B62" s="79" t="s">
        <v>285</v>
      </c>
      <c r="C62" s="392"/>
      <c r="D62" s="392"/>
      <c r="E62" s="259"/>
      <c r="G62" s="615"/>
      <c r="H62" s="615"/>
      <c r="I62" s="615"/>
      <c r="J62" s="615"/>
      <c r="K62" s="615"/>
    </row>
    <row r="63" spans="2:11" ht="15.75">
      <c r="B63" s="316"/>
      <c r="C63" s="311"/>
      <c r="D63" s="311"/>
      <c r="E63" s="169"/>
      <c r="G63" s="615"/>
      <c r="H63" s="615"/>
      <c r="I63" s="615"/>
      <c r="J63" s="615"/>
      <c r="K63" s="615"/>
    </row>
    <row r="64" spans="2:11" ht="15.75">
      <c r="B64" s="316"/>
      <c r="C64" s="311"/>
      <c r="D64" s="311"/>
      <c r="E64" s="169"/>
      <c r="G64" s="867" t="str">
        <f>CONCATENATE("Desired Carryover Into ",E1+1,"")</f>
        <v>Desired Carryover Into 2015</v>
      </c>
      <c r="H64" s="868"/>
      <c r="I64" s="868"/>
      <c r="J64" s="869"/>
      <c r="K64" s="615"/>
    </row>
    <row r="65" spans="2:11" ht="15.75">
      <c r="B65" s="316"/>
      <c r="C65" s="311"/>
      <c r="D65" s="311"/>
      <c r="E65" s="169"/>
      <c r="G65" s="647"/>
      <c r="H65" s="648"/>
      <c r="I65" s="649"/>
      <c r="J65" s="650"/>
      <c r="K65" s="615"/>
    </row>
    <row r="66" spans="2:11" ht="15.75">
      <c r="B66" s="316"/>
      <c r="C66" s="311"/>
      <c r="D66" s="311"/>
      <c r="E66" s="169"/>
      <c r="G66" s="651" t="s">
        <v>732</v>
      </c>
      <c r="H66" s="649"/>
      <c r="I66" s="649"/>
      <c r="J66" s="652">
        <v>0</v>
      </c>
      <c r="K66" s="615"/>
    </row>
    <row r="67" spans="2:11" ht="15.75">
      <c r="B67" s="316"/>
      <c r="C67" s="311"/>
      <c r="D67" s="311"/>
      <c r="E67" s="169"/>
      <c r="G67" s="647" t="s">
        <v>733</v>
      </c>
      <c r="H67" s="648"/>
      <c r="I67" s="648"/>
      <c r="J67" s="653">
        <f>IF(J66=0,"",ROUND((J66+E80-G79)/inputOth!E11*1000,3)-G84)</f>
      </c>
      <c r="K67" s="615"/>
    </row>
    <row r="68" spans="2:11" ht="15.75">
      <c r="B68" s="316"/>
      <c r="C68" s="311"/>
      <c r="D68" s="311"/>
      <c r="E68" s="169"/>
      <c r="G68" s="654" t="str">
        <f>CONCATENATE("",E1," Tot Exp/Non-Appr Must Be:")</f>
        <v>2014 Tot Exp/Non-Appr Must Be:</v>
      </c>
      <c r="H68" s="655"/>
      <c r="I68" s="656"/>
      <c r="J68" s="657">
        <f>IF(J66&gt;0,IF(E77&lt;E61,IF(J66=G79,E77,((J66-G79)*(1-D79))+E61),E77+(J66-G79)),0)</f>
        <v>0</v>
      </c>
      <c r="K68" s="615"/>
    </row>
    <row r="69" spans="2:11" ht="15.75">
      <c r="B69" s="316"/>
      <c r="C69" s="311"/>
      <c r="D69" s="311"/>
      <c r="E69" s="169"/>
      <c r="G69" s="658" t="s">
        <v>859</v>
      </c>
      <c r="H69" s="659"/>
      <c r="I69" s="659"/>
      <c r="J69" s="660">
        <f>IF(J66&gt;0,J68-E77,0)</f>
        <v>0</v>
      </c>
      <c r="K69" s="615"/>
    </row>
    <row r="70" spans="2:11" ht="15.75">
      <c r="B70" s="314" t="s">
        <v>230</v>
      </c>
      <c r="C70" s="311"/>
      <c r="D70" s="311"/>
      <c r="E70" s="180">
        <f>nhood!E15</f>
      </c>
      <c r="G70" s="615"/>
      <c r="H70" s="615"/>
      <c r="I70" s="615"/>
      <c r="J70" s="615"/>
      <c r="K70" s="615"/>
    </row>
    <row r="71" spans="2:11" ht="15.75">
      <c r="B71" s="314" t="s">
        <v>228</v>
      </c>
      <c r="C71" s="311"/>
      <c r="D71" s="311"/>
      <c r="E71" s="169"/>
      <c r="G71" s="867" t="str">
        <f>CONCATENATE("Projected Carryover Into ",E1+1,"")</f>
        <v>Projected Carryover Into 2015</v>
      </c>
      <c r="H71" s="870"/>
      <c r="I71" s="870"/>
      <c r="J71" s="871"/>
      <c r="K71" s="615"/>
    </row>
    <row r="72" spans="2:11" ht="15.75">
      <c r="B72" s="314" t="s">
        <v>730</v>
      </c>
      <c r="C72" s="394">
        <f>IF(C73*0.1&lt;C71,"Exceed 10% Rule","")</f>
      </c>
      <c r="D72" s="394">
        <f>IF(D73*0.1&lt;D71,"Exceed 10% Rule","")</f>
      </c>
      <c r="E72" s="321">
        <f>IF(E73*0.1&lt;E71,"Exceed 10% Rule","")</f>
      </c>
      <c r="G72" s="701"/>
      <c r="H72" s="648"/>
      <c r="I72" s="648"/>
      <c r="J72" s="702"/>
      <c r="K72" s="615"/>
    </row>
    <row r="73" spans="2:11" ht="15.75">
      <c r="B73" s="97" t="s">
        <v>286</v>
      </c>
      <c r="C73" s="395">
        <f>SUM(C63:C71)</f>
        <v>0</v>
      </c>
      <c r="D73" s="395">
        <f>SUM(D63:D71)</f>
        <v>0</v>
      </c>
      <c r="E73" s="320">
        <f>SUM(E63:E71)</f>
        <v>0</v>
      </c>
      <c r="G73" s="665">
        <f>D74</f>
        <v>0</v>
      </c>
      <c r="H73" s="666" t="str">
        <f>CONCATENATE("",E1-1," Ending Cash Balance (est.)")</f>
        <v>2013 Ending Cash Balance (est.)</v>
      </c>
      <c r="I73" s="667"/>
      <c r="J73" s="702"/>
      <c r="K73" s="615"/>
    </row>
    <row r="74" spans="2:11" ht="15.75">
      <c r="B74" s="79" t="s">
        <v>68</v>
      </c>
      <c r="C74" s="396">
        <f>C61-C73</f>
        <v>0</v>
      </c>
      <c r="D74" s="396">
        <f>D61-D73</f>
        <v>0</v>
      </c>
      <c r="E74" s="313" t="s">
        <v>255</v>
      </c>
      <c r="G74" s="665">
        <f>E60</f>
        <v>0</v>
      </c>
      <c r="H74" s="649" t="str">
        <f>CONCATENATE("",E1," Non-AV Receipts (est.)")</f>
        <v>2014 Non-AV Receipts (est.)</v>
      </c>
      <c r="I74" s="667"/>
      <c r="J74" s="702"/>
      <c r="K74" s="615"/>
    </row>
    <row r="75" spans="2:11" ht="15.75">
      <c r="B75" s="115" t="str">
        <f>CONCATENATE("",$E$1-2,"/",$E$1-1," Budget Authority Amount:")</f>
        <v>2012/2013 Budget Authority Amount:</v>
      </c>
      <c r="C75" s="336">
        <f>inputOth!$B92</f>
        <v>0</v>
      </c>
      <c r="D75" s="82">
        <f>inputPrYr!$D29</f>
        <v>0</v>
      </c>
      <c r="E75" s="313" t="s">
        <v>255</v>
      </c>
      <c r="F75" s="322"/>
      <c r="G75" s="674">
        <f>IF(E79&gt;0,E78,E80)</f>
        <v>0</v>
      </c>
      <c r="H75" s="649" t="str">
        <f>CONCATENATE("",E1," Ad Valorem Tax (est.)")</f>
        <v>2014 Ad Valorem Tax (est.)</v>
      </c>
      <c r="I75" s="667"/>
      <c r="J75" s="702"/>
      <c r="K75" s="675">
        <f>IF(G75=E80,"","Note: Does not include Delinquent Taxes")</f>
      </c>
    </row>
    <row r="76" spans="2:11" ht="15.75">
      <c r="B76" s="115"/>
      <c r="C76" s="801" t="s">
        <v>727</v>
      </c>
      <c r="D76" s="802"/>
      <c r="E76" s="169"/>
      <c r="F76" s="734">
        <f>IF(E73/0.95-E73&lt;E76,"Exceeds 5%","")</f>
      </c>
      <c r="G76" s="704">
        <f>SUM(G73:G75)</f>
        <v>0</v>
      </c>
      <c r="H76" s="649" t="str">
        <f>CONCATENATE("Total ",E1," Resources Available")</f>
        <v>Total 2014 Resources Available</v>
      </c>
      <c r="I76" s="705"/>
      <c r="J76" s="702"/>
      <c r="K76" s="615"/>
    </row>
    <row r="77" spans="2:11" ht="15.75">
      <c r="B77" s="501" t="str">
        <f>CONCATENATE(C87,"     ",D87)</f>
        <v>     </v>
      </c>
      <c r="C77" s="803" t="s">
        <v>728</v>
      </c>
      <c r="D77" s="804"/>
      <c r="E77" s="259">
        <f>E73+E76</f>
        <v>0</v>
      </c>
      <c r="G77" s="706"/>
      <c r="H77" s="707"/>
      <c r="I77" s="648"/>
      <c r="J77" s="702"/>
      <c r="K77" s="615"/>
    </row>
    <row r="78" spans="2:11" ht="15.75">
      <c r="B78" s="501" t="str">
        <f>CONCATENATE(C88,"     ",D88)</f>
        <v>     </v>
      </c>
      <c r="C78" s="504"/>
      <c r="D78" s="503" t="s">
        <v>288</v>
      </c>
      <c r="E78" s="180">
        <f>IF(E77-E61&gt;0,E77-E61,0)</f>
        <v>0</v>
      </c>
      <c r="G78" s="674">
        <f>ROUND(C73*0.05+C73,0)</f>
        <v>0</v>
      </c>
      <c r="H78" s="649" t="str">
        <f>CONCATENATE("Less ",E1-2," Expenditures + 5%")</f>
        <v>Less 2012 Expenditures + 5%</v>
      </c>
      <c r="I78" s="705"/>
      <c r="J78" s="702"/>
      <c r="K78" s="615"/>
    </row>
    <row r="79" spans="2:11" ht="15.75">
      <c r="B79" s="208"/>
      <c r="C79" s="502" t="s">
        <v>729</v>
      </c>
      <c r="D79" s="718">
        <f>inputOth!$E$77</f>
        <v>0</v>
      </c>
      <c r="E79" s="259">
        <f>ROUND(IF(D79&gt;0,(E78*D79),0),0)</f>
        <v>0</v>
      </c>
      <c r="G79" s="682">
        <f>G76-G78</f>
        <v>0</v>
      </c>
      <c r="H79" s="683" t="str">
        <f>CONCATENATE("Projected ",E1+1," carryover (est.)")</f>
        <v>Projected 2015 carryover (est.)</v>
      </c>
      <c r="I79" s="708"/>
      <c r="J79" s="709"/>
      <c r="K79" s="615"/>
    </row>
    <row r="80" spans="2:11" ht="15.75">
      <c r="B80" s="65"/>
      <c r="C80" s="805" t="str">
        <f>CONCATENATE("Amount of  ",$E$1-1," Ad Valorem Tax")</f>
        <v>Amount of  2013 Ad Valorem Tax</v>
      </c>
      <c r="D80" s="806"/>
      <c r="E80" s="180">
        <f>E78+E79</f>
        <v>0</v>
      </c>
      <c r="G80" s="615"/>
      <c r="H80" s="615"/>
      <c r="I80" s="615"/>
      <c r="J80" s="615"/>
      <c r="K80" s="615"/>
    </row>
    <row r="81" spans="2:11" ht="15.75">
      <c r="B81" s="208" t="s">
        <v>269</v>
      </c>
      <c r="C81" s="209"/>
      <c r="D81" s="65"/>
      <c r="E81" s="65"/>
      <c r="G81" s="874" t="s">
        <v>860</v>
      </c>
      <c r="H81" s="875"/>
      <c r="I81" s="875"/>
      <c r="J81" s="876"/>
      <c r="K81" s="615"/>
    </row>
    <row r="82" spans="2:11" ht="15.75">
      <c r="B82" s="111"/>
      <c r="G82" s="689"/>
      <c r="H82" s="666"/>
      <c r="I82" s="690"/>
      <c r="J82" s="691"/>
      <c r="K82" s="615"/>
    </row>
    <row r="83" spans="7:11" ht="15.75">
      <c r="G83" s="692" t="e">
        <f>summ!#REF!</f>
        <v>#REF!</v>
      </c>
      <c r="H83" s="666" t="str">
        <f>CONCATENATE("",E1," Fund Mill Rate")</f>
        <v>2014 Fund Mill Rate</v>
      </c>
      <c r="I83" s="690"/>
      <c r="J83" s="691"/>
      <c r="K83" s="615"/>
    </row>
    <row r="84" spans="7:11" ht="15.75">
      <c r="G84" s="693" t="e">
        <f>summ!#REF!</f>
        <v>#REF!</v>
      </c>
      <c r="H84" s="666" t="str">
        <f>CONCATENATE("",E1-1," Fund Mill Rate")</f>
        <v>2013 Fund Mill Rate</v>
      </c>
      <c r="I84" s="690"/>
      <c r="J84" s="691"/>
      <c r="K84" s="615"/>
    </row>
    <row r="85" spans="3:11" ht="15.75" hidden="1">
      <c r="C85" s="154">
        <f>IF(C33&gt;C35,"See Tab A","")</f>
      </c>
      <c r="D85" s="154">
        <f>IF(D33&gt;D35,"See Tab C","")</f>
      </c>
      <c r="G85" s="695">
        <f>'[1]summ'!I36</f>
        <v>0</v>
      </c>
      <c r="H85" s="666" t="str">
        <f>CONCATENATE("Total ",E1," Mill Rate")</f>
        <v>Total 2014 Mill Rate</v>
      </c>
      <c r="I85" s="690"/>
      <c r="J85" s="691"/>
      <c r="K85" s="615"/>
    </row>
    <row r="86" spans="3:11" ht="15.75" hidden="1">
      <c r="C86" s="154">
        <f>IF(C34&lt;0,"See Tab B","")</f>
      </c>
      <c r="D86" s="154">
        <f>IF(D34&lt;0,"See Tab D","")</f>
      </c>
      <c r="G86" s="693">
        <f>'[1]summ'!F36</f>
        <v>0</v>
      </c>
      <c r="H86" s="696" t="str">
        <f>CONCATENATE("Total ",E1-1," Mill Rate")</f>
        <v>Total 2013 Mill Rate</v>
      </c>
      <c r="I86" s="697"/>
      <c r="J86" s="698"/>
      <c r="K86" s="615"/>
    </row>
    <row r="87" spans="3:4" ht="15.75" hidden="1">
      <c r="C87" s="154">
        <f>IF(C73&gt;C75,"See Tab A","")</f>
      </c>
      <c r="D87" s="154">
        <f>IF(D73&gt;D75,"See Tab C","")</f>
      </c>
    </row>
    <row r="88" spans="3:4" ht="15.75" hidden="1">
      <c r="C88" s="154">
        <f>IF(C74&lt;0,"See Tab B","")</f>
      </c>
      <c r="D88" s="154">
        <f>IF(D74&lt;0,"See Tab D","")</f>
      </c>
    </row>
    <row r="89" spans="7:10" ht="15.75">
      <c r="G89" s="695">
        <f>summ!H20</f>
        <v>0.182</v>
      </c>
      <c r="H89" s="666" t="str">
        <f>CONCATENATE("Total ",E1," Mill Rate")</f>
        <v>Total 2014 Mill Rate</v>
      </c>
      <c r="I89" s="690"/>
      <c r="J89" s="691"/>
    </row>
    <row r="90" spans="7:10" ht="15.75">
      <c r="G90" s="693">
        <f>summ!E20</f>
        <v>0.19</v>
      </c>
      <c r="H90" s="696" t="str">
        <f>CONCATENATE("Total ",E1-1," Mill Rate")</f>
        <v>Total 2013 Mill Rate</v>
      </c>
      <c r="I90" s="697"/>
      <c r="J90" s="698"/>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73" sqref="C73"/>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Center Township</v>
      </c>
      <c r="C1" s="65"/>
      <c r="D1" s="65"/>
      <c r="E1" s="223">
        <f>inputPrYr!D9</f>
        <v>2014</v>
      </c>
    </row>
    <row r="2" spans="2:5" ht="15.75">
      <c r="B2" s="541" t="s">
        <v>763</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67" t="str">
        <f>CONCATENATE("Desired Carryover Into ",E1+1,"")</f>
        <v>Desired Carryover Into 2015</v>
      </c>
      <c r="H24" s="868"/>
      <c r="I24" s="868"/>
      <c r="J24" s="869"/>
      <c r="K24" s="615"/>
    </row>
    <row r="25" spans="2:11" ht="15.75">
      <c r="B25" s="316"/>
      <c r="C25" s="311"/>
      <c r="D25" s="311"/>
      <c r="E25" s="169"/>
      <c r="G25" s="647"/>
      <c r="H25" s="648"/>
      <c r="I25" s="649"/>
      <c r="J25" s="650"/>
      <c r="K25" s="615"/>
    </row>
    <row r="26" spans="2:11" ht="15.75">
      <c r="B26" s="316"/>
      <c r="C26" s="311"/>
      <c r="D26" s="311"/>
      <c r="E26" s="169"/>
      <c r="G26" s="651" t="s">
        <v>732</v>
      </c>
      <c r="H26" s="649"/>
      <c r="I26" s="649"/>
      <c r="J26" s="652">
        <v>0</v>
      </c>
      <c r="K26" s="615"/>
    </row>
    <row r="27" spans="2:11" ht="15.75">
      <c r="B27" s="311"/>
      <c r="C27" s="311"/>
      <c r="D27" s="311"/>
      <c r="E27" s="169"/>
      <c r="G27" s="647" t="s">
        <v>733</v>
      </c>
      <c r="H27" s="648"/>
      <c r="I27" s="648"/>
      <c r="J27" s="653">
        <f>IF(J26=0,"",ROUND((J26+E40-G39)/inputOth!E11*1000,3)-G44)</f>
      </c>
      <c r="K27" s="615"/>
    </row>
    <row r="28" spans="2:11" ht="15.75">
      <c r="B28" s="316"/>
      <c r="C28" s="311"/>
      <c r="D28" s="311"/>
      <c r="E28" s="169"/>
      <c r="G28" s="654" t="str">
        <f>CONCATENATE("",E1," Tot Exp/Non-Appr Must Be:")</f>
        <v>2014 Tot Exp/Non-Appr Must Be:</v>
      </c>
      <c r="H28" s="655"/>
      <c r="I28" s="656"/>
      <c r="J28" s="657">
        <f>IF(J26&gt;0,IF(E37&lt;E21,IF(J26=G39,E37,((J26-G39)*(1-D39))+E21),E37+(J26-G39)),0)</f>
        <v>0</v>
      </c>
      <c r="K28" s="615"/>
    </row>
    <row r="29" spans="2:11" ht="15.75">
      <c r="B29" s="316"/>
      <c r="C29" s="311"/>
      <c r="D29" s="311"/>
      <c r="E29" s="169"/>
      <c r="G29" s="658" t="s">
        <v>859</v>
      </c>
      <c r="H29" s="659"/>
      <c r="I29" s="659"/>
      <c r="J29" s="660">
        <f>IF(J26&gt;0,J28-E37,0)</f>
        <v>0</v>
      </c>
      <c r="K29" s="615"/>
    </row>
    <row r="30" spans="2:11" ht="15.75">
      <c r="B30" s="314" t="s">
        <v>230</v>
      </c>
      <c r="C30" s="311"/>
      <c r="D30" s="311"/>
      <c r="E30" s="180">
        <f>nhood!E16</f>
      </c>
      <c r="G30" s="615"/>
      <c r="H30" s="615"/>
      <c r="I30" s="615"/>
      <c r="J30" s="615"/>
      <c r="K30" s="615"/>
    </row>
    <row r="31" spans="2:11" ht="15.75">
      <c r="B31" s="314" t="s">
        <v>228</v>
      </c>
      <c r="C31" s="311"/>
      <c r="D31" s="311"/>
      <c r="E31" s="169"/>
      <c r="G31" s="867" t="str">
        <f>CONCATENATE("Projected Carryover Into ",E1+1,"")</f>
        <v>Projected Carryover Into 2015</v>
      </c>
      <c r="H31" s="877"/>
      <c r="I31" s="877"/>
      <c r="J31" s="871"/>
      <c r="K31" s="615"/>
    </row>
    <row r="32" spans="2:11" ht="15.75">
      <c r="B32" s="314" t="s">
        <v>730</v>
      </c>
      <c r="C32" s="394">
        <f>IF(C33*0.1&lt;C31,"Exceed 10% Rule","")</f>
      </c>
      <c r="D32" s="394">
        <f>IF(D33*0.1&lt;D31,"Exceed 10% Rule","")</f>
      </c>
      <c r="E32" s="321">
        <f>IF(E33*0.1&lt;E31,"Exceed 10% Rule","")</f>
      </c>
      <c r="G32" s="647"/>
      <c r="H32" s="649"/>
      <c r="I32" s="649"/>
      <c r="J32" s="662"/>
      <c r="K32" s="615"/>
    </row>
    <row r="33" spans="2:11" ht="15.75">
      <c r="B33" s="97" t="s">
        <v>286</v>
      </c>
      <c r="C33" s="395">
        <f>SUM(C23:C31)</f>
        <v>0</v>
      </c>
      <c r="D33" s="395">
        <f>SUM(D23:D31)</f>
        <v>0</v>
      </c>
      <c r="E33" s="320">
        <f>SUM(E23:E31)</f>
        <v>0</v>
      </c>
      <c r="G33" s="665">
        <f>D34</f>
        <v>0</v>
      </c>
      <c r="H33" s="666" t="str">
        <f>CONCATENATE("",E1-1," Ending Cash Balance (est.)")</f>
        <v>2013 Ending Cash Balance (est.)</v>
      </c>
      <c r="I33" s="667"/>
      <c r="J33" s="662"/>
      <c r="K33" s="615"/>
    </row>
    <row r="34" spans="2:11" ht="15.75">
      <c r="B34" s="79" t="s">
        <v>68</v>
      </c>
      <c r="C34" s="396">
        <f>C21-C33</f>
        <v>0</v>
      </c>
      <c r="D34" s="396">
        <f>D21-D33</f>
        <v>0</v>
      </c>
      <c r="E34" s="313" t="s">
        <v>255</v>
      </c>
      <c r="G34" s="665">
        <f>E20</f>
        <v>0</v>
      </c>
      <c r="H34" s="649" t="str">
        <f>CONCATENATE("",E1," Non-AV Receipts (est.)")</f>
        <v>2014 Non-AV Receipts (est.)</v>
      </c>
      <c r="I34" s="667"/>
      <c r="J34" s="662"/>
      <c r="K34" s="615"/>
    </row>
    <row r="35" spans="2:11" ht="15.75">
      <c r="B35" s="115" t="str">
        <f>CONCATENATE("",$E$1-2,"/",$E$1-1," Budget Authority Amount:")</f>
        <v>2012/2013 Budget Authority Amount:</v>
      </c>
      <c r="C35" s="336">
        <f>inputOth!$B93</f>
        <v>0</v>
      </c>
      <c r="D35" s="82">
        <f>inputPrYr!$D30</f>
        <v>0</v>
      </c>
      <c r="E35" s="313" t="s">
        <v>255</v>
      </c>
      <c r="F35" s="322"/>
      <c r="G35" s="674">
        <f>IF(E39&gt;0,E38,E40)</f>
        <v>0</v>
      </c>
      <c r="H35" s="649" t="str">
        <f>CONCATENATE("",E1," Ad Valorem Tax (est.)")</f>
        <v>2014 Ad Valorem Tax (est.)</v>
      </c>
      <c r="I35" s="667"/>
      <c r="J35" s="662"/>
      <c r="K35" s="675">
        <f>IF(G35=E40,"","Note: Does not include Delinquent Taxes")</f>
      </c>
    </row>
    <row r="36" spans="2:11" ht="15.75">
      <c r="B36" s="115"/>
      <c r="C36" s="801" t="s">
        <v>727</v>
      </c>
      <c r="D36" s="802"/>
      <c r="E36" s="169"/>
      <c r="F36" s="734">
        <f>IF(E33/0.95-E33&lt;E36,"Exceeds 5%","")</f>
      </c>
      <c r="G36" s="665">
        <f>SUM(G33:G35)</f>
        <v>0</v>
      </c>
      <c r="H36" s="649" t="str">
        <f>CONCATENATE("Total ",E1," Resources Available")</f>
        <v>Total 2014 Resources Available</v>
      </c>
      <c r="I36" s="667"/>
      <c r="J36" s="662"/>
      <c r="K36" s="615"/>
    </row>
    <row r="37" spans="2:11" ht="15.75">
      <c r="B37" s="501" t="str">
        <f>CONCATENATE(C85,"     ",D85)</f>
        <v>     </v>
      </c>
      <c r="C37" s="803" t="s">
        <v>728</v>
      </c>
      <c r="D37" s="804"/>
      <c r="E37" s="259">
        <f>E33+E36</f>
        <v>0</v>
      </c>
      <c r="G37" s="678"/>
      <c r="H37" s="649"/>
      <c r="I37" s="649"/>
      <c r="J37" s="662"/>
      <c r="K37" s="615"/>
    </row>
    <row r="38" spans="2:11" ht="15.75">
      <c r="B38" s="501" t="str">
        <f>CONCATENATE(C86,"     ",D86)</f>
        <v>     </v>
      </c>
      <c r="C38" s="504"/>
      <c r="D38" s="503" t="s">
        <v>288</v>
      </c>
      <c r="E38" s="180">
        <f>IF(E37-E21&gt;0,E37-E21,0)</f>
        <v>0</v>
      </c>
      <c r="G38" s="674">
        <f>ROUND(C33*0.05+C33,0)</f>
        <v>0</v>
      </c>
      <c r="H38" s="649" t="str">
        <f>CONCATENATE("Less ",E1-2," Expenditures + 5%")</f>
        <v>Less 2012 Expenditures + 5%</v>
      </c>
      <c r="I38" s="649"/>
      <c r="J38" s="662"/>
      <c r="K38" s="615"/>
    </row>
    <row r="39" spans="2:11" ht="15.75">
      <c r="B39" s="208"/>
      <c r="C39" s="502" t="s">
        <v>729</v>
      </c>
      <c r="D39" s="718">
        <f>inputOth!$E$77</f>
        <v>0</v>
      </c>
      <c r="E39" s="259">
        <f>ROUND(IF(D39&gt;0,(E38*D39),0),0)</f>
        <v>0</v>
      </c>
      <c r="G39" s="682">
        <f>G36-G38</f>
        <v>0</v>
      </c>
      <c r="H39" s="683" t="str">
        <f>CONCATENATE("Projected ",E1+1," carryover (est.)")</f>
        <v>Projected 2015 carryover (est.)</v>
      </c>
      <c r="I39" s="684"/>
      <c r="J39" s="685"/>
      <c r="K39" s="615"/>
    </row>
    <row r="40" spans="2:11" ht="15.75">
      <c r="B40" s="65"/>
      <c r="C40" s="805" t="str">
        <f>CONCATENATE("Amount of  ",$E$1-1," Ad Valorem Tax")</f>
        <v>Amount of  2013 Ad Valorem Tax</v>
      </c>
      <c r="D40" s="806"/>
      <c r="E40" s="180">
        <f>E38+E39</f>
        <v>0</v>
      </c>
      <c r="G40" s="615"/>
      <c r="H40" s="615"/>
      <c r="I40" s="615"/>
      <c r="J40" s="615"/>
      <c r="K40" s="615"/>
    </row>
    <row r="41" spans="2:11" ht="15.75">
      <c r="B41" s="65"/>
      <c r="C41" s="560"/>
      <c r="D41" s="65"/>
      <c r="E41" s="65"/>
      <c r="G41" s="874" t="s">
        <v>860</v>
      </c>
      <c r="H41" s="875"/>
      <c r="I41" s="875"/>
      <c r="J41" s="876"/>
      <c r="K41" s="615"/>
    </row>
    <row r="42" spans="2:11" ht="15.75">
      <c r="B42" s="65"/>
      <c r="C42" s="560"/>
      <c r="D42" s="65"/>
      <c r="E42" s="65"/>
      <c r="G42" s="689"/>
      <c r="H42" s="666"/>
      <c r="I42" s="690"/>
      <c r="J42" s="691"/>
      <c r="K42" s="615"/>
    </row>
    <row r="43" spans="2:11" ht="15.75">
      <c r="B43" s="71" t="s">
        <v>270</v>
      </c>
      <c r="C43" s="69"/>
      <c r="D43" s="69"/>
      <c r="E43" s="69"/>
      <c r="G43" s="692" t="e">
        <f>summ!#REF!</f>
        <v>#REF!</v>
      </c>
      <c r="H43" s="666" t="str">
        <f>CONCATENATE("",E1," Fund Mill Rate")</f>
        <v>2014 Fund Mill Rate</v>
      </c>
      <c r="I43" s="690"/>
      <c r="J43" s="691"/>
      <c r="K43" s="615"/>
    </row>
    <row r="44" spans="2:11" ht="15.75">
      <c r="B44" s="65"/>
      <c r="C44" s="390" t="s">
        <v>271</v>
      </c>
      <c r="D44" s="393" t="s">
        <v>272</v>
      </c>
      <c r="E44" s="73" t="s">
        <v>273</v>
      </c>
      <c r="G44" s="693" t="e">
        <f>summ!#REF!</f>
        <v>#REF!</v>
      </c>
      <c r="H44" s="666" t="str">
        <f>CONCATENATE("",E1-1," Fund Mill Rate")</f>
        <v>2013 Fund Mill Rate</v>
      </c>
      <c r="I44" s="690"/>
      <c r="J44" s="691"/>
      <c r="K44" s="615"/>
    </row>
    <row r="45" spans="2:11" ht="15.75">
      <c r="B45" s="487">
        <f>inputPrYr!B31</f>
        <v>0</v>
      </c>
      <c r="C45" s="391" t="str">
        <f>C5</f>
        <v>Actual for 2012</v>
      </c>
      <c r="D45" s="391" t="str">
        <f>D5</f>
        <v>Estimate for 2013</v>
      </c>
      <c r="E45" s="78" t="str">
        <f>E5</f>
        <v>Year for 2014</v>
      </c>
      <c r="G45" s="695">
        <f>summ!H20</f>
        <v>0.182</v>
      </c>
      <c r="H45" s="666" t="str">
        <f>CONCATENATE("Total ",E1," Mill Rate")</f>
        <v>Total 2014 Mill Rate</v>
      </c>
      <c r="I45" s="690"/>
      <c r="J45" s="691"/>
      <c r="K45" s="615"/>
    </row>
    <row r="46" spans="2:11" ht="15.75">
      <c r="B46" s="79" t="s">
        <v>67</v>
      </c>
      <c r="C46" s="311"/>
      <c r="D46" s="392">
        <f>C74</f>
        <v>0</v>
      </c>
      <c r="E46" s="259">
        <f>D74</f>
        <v>0</v>
      </c>
      <c r="G46" s="693">
        <f>summ!E20</f>
        <v>0.19</v>
      </c>
      <c r="H46" s="696" t="str">
        <f>CONCATENATE("Total ",E1-1," Mill Rate")</f>
        <v>Total 2013 Mill Rate</v>
      </c>
      <c r="I46" s="697"/>
      <c r="J46" s="698"/>
      <c r="K46" s="615"/>
    </row>
    <row r="47" spans="2:11" ht="15.75">
      <c r="B47" s="79" t="s">
        <v>69</v>
      </c>
      <c r="C47" s="392"/>
      <c r="D47" s="392"/>
      <c r="E47" s="313"/>
      <c r="G47" s="615"/>
      <c r="H47" s="615"/>
      <c r="I47" s="615"/>
      <c r="J47" s="615"/>
      <c r="K47" s="615"/>
    </row>
    <row r="48" spans="2:11" ht="15.75">
      <c r="B48" s="79" t="s">
        <v>276</v>
      </c>
      <c r="C48" s="311"/>
      <c r="D48" s="392">
        <f>IF(inputPrYr!H19&gt;0,inputPrYr!G31,inputPrYr!E31)</f>
        <v>0</v>
      </c>
      <c r="E48" s="313" t="s">
        <v>255</v>
      </c>
      <c r="G48" s="615"/>
      <c r="H48" s="615"/>
      <c r="I48" s="615"/>
      <c r="J48" s="615"/>
      <c r="K48" s="615"/>
    </row>
    <row r="49" spans="2:11" ht="15.75">
      <c r="B49" s="79" t="s">
        <v>277</v>
      </c>
      <c r="C49" s="311"/>
      <c r="D49" s="311"/>
      <c r="E49" s="169"/>
      <c r="G49" s="615"/>
      <c r="H49" s="615"/>
      <c r="I49" s="615"/>
      <c r="J49" s="615"/>
      <c r="K49" s="615"/>
    </row>
    <row r="50" spans="2:11" ht="15.75">
      <c r="B50" s="79" t="s">
        <v>278</v>
      </c>
      <c r="C50" s="311"/>
      <c r="D50" s="311"/>
      <c r="E50" s="259">
        <f>mvalloc!G22</f>
        <v>0</v>
      </c>
      <c r="G50" s="615"/>
      <c r="H50" s="615"/>
      <c r="I50" s="615"/>
      <c r="J50" s="615"/>
      <c r="K50" s="615"/>
    </row>
    <row r="51" spans="2:11" ht="15.75">
      <c r="B51" s="79" t="s">
        <v>279</v>
      </c>
      <c r="C51" s="311"/>
      <c r="D51" s="311"/>
      <c r="E51" s="259">
        <f>mvalloc!I22</f>
        <v>0</v>
      </c>
      <c r="G51" s="615"/>
      <c r="H51" s="615"/>
      <c r="I51" s="615"/>
      <c r="J51" s="615"/>
      <c r="K51" s="615"/>
    </row>
    <row r="52" spans="2:11" ht="15.75">
      <c r="B52" s="79" t="s">
        <v>48</v>
      </c>
      <c r="C52" s="311"/>
      <c r="D52" s="311"/>
      <c r="E52" s="259">
        <f>mvalloc!J22</f>
        <v>0</v>
      </c>
      <c r="G52" s="615"/>
      <c r="H52" s="615"/>
      <c r="I52" s="615"/>
      <c r="J52" s="615"/>
      <c r="K52" s="615"/>
    </row>
    <row r="53" spans="2:11" ht="15.75">
      <c r="B53" s="315"/>
      <c r="C53" s="311"/>
      <c r="D53" s="311"/>
      <c r="E53" s="169"/>
      <c r="G53" s="615"/>
      <c r="H53" s="615"/>
      <c r="I53" s="615"/>
      <c r="J53" s="615"/>
      <c r="K53" s="615"/>
    </row>
    <row r="54" spans="2:11" ht="15.75">
      <c r="B54" s="315"/>
      <c r="C54" s="311"/>
      <c r="D54" s="311"/>
      <c r="E54" s="169"/>
      <c r="G54" s="615"/>
      <c r="H54" s="615"/>
      <c r="I54" s="615"/>
      <c r="J54" s="615"/>
      <c r="K54" s="615"/>
    </row>
    <row r="55" spans="2:11" ht="15.75">
      <c r="B55" s="315"/>
      <c r="C55" s="311"/>
      <c r="D55" s="311"/>
      <c r="E55" s="169"/>
      <c r="G55" s="615"/>
      <c r="H55" s="615"/>
      <c r="I55" s="615"/>
      <c r="J55" s="615"/>
      <c r="K55" s="615"/>
    </row>
    <row r="56" spans="2:11" ht="15.75">
      <c r="B56" s="316"/>
      <c r="C56" s="311"/>
      <c r="D56" s="311"/>
      <c r="E56" s="169"/>
      <c r="G56" s="615"/>
      <c r="H56" s="615"/>
      <c r="I56" s="615"/>
      <c r="J56" s="615"/>
      <c r="K56" s="615"/>
    </row>
    <row r="57" spans="2:11" ht="15.75">
      <c r="B57" s="316" t="s">
        <v>282</v>
      </c>
      <c r="C57" s="311"/>
      <c r="D57" s="311"/>
      <c r="E57" s="169"/>
      <c r="G57" s="615"/>
      <c r="H57" s="615"/>
      <c r="I57" s="615"/>
      <c r="J57" s="615"/>
      <c r="K57" s="615"/>
    </row>
    <row r="58" spans="2:11" ht="15.75">
      <c r="B58" s="317" t="s">
        <v>228</v>
      </c>
      <c r="C58" s="311"/>
      <c r="D58" s="311"/>
      <c r="E58" s="169"/>
      <c r="G58" s="615"/>
      <c r="H58" s="615"/>
      <c r="I58" s="615"/>
      <c r="J58" s="615"/>
      <c r="K58" s="615"/>
    </row>
    <row r="59" spans="2:11" ht="15.75">
      <c r="B59" s="317" t="s">
        <v>229</v>
      </c>
      <c r="C59" s="394">
        <f>IF(C60*0.1&lt;C58,"Exceed 10% Rule","")</f>
      </c>
      <c r="D59" s="394">
        <f>IF(D60*0.1&lt;D58,"Exceed 10% Rule","")</f>
      </c>
      <c r="E59" s="321">
        <f>IF(E60*0.1+E80&lt;E58,"Exceed 10% Rule","")</f>
      </c>
      <c r="G59" s="615"/>
      <c r="H59" s="615"/>
      <c r="I59" s="615"/>
      <c r="J59" s="615"/>
      <c r="K59" s="615"/>
    </row>
    <row r="60" spans="2:11" ht="15.75">
      <c r="B60" s="319" t="s">
        <v>283</v>
      </c>
      <c r="C60" s="395">
        <f>SUM(C48:C58)</f>
        <v>0</v>
      </c>
      <c r="D60" s="395">
        <f>SUM(D48:D58)</f>
        <v>0</v>
      </c>
      <c r="E60" s="320">
        <f>SUM(E48:E58)</f>
        <v>0</v>
      </c>
      <c r="G60" s="615"/>
      <c r="H60" s="615"/>
      <c r="I60" s="615"/>
      <c r="J60" s="615"/>
      <c r="K60" s="615"/>
    </row>
    <row r="61" spans="2:11" ht="15.75">
      <c r="B61" s="97" t="s">
        <v>284</v>
      </c>
      <c r="C61" s="395">
        <f>C60+C46</f>
        <v>0</v>
      </c>
      <c r="D61" s="395">
        <f>D60+D46</f>
        <v>0</v>
      </c>
      <c r="E61" s="320">
        <f>E60+E46</f>
        <v>0</v>
      </c>
      <c r="G61" s="615"/>
      <c r="H61" s="615"/>
      <c r="I61" s="615"/>
      <c r="J61" s="615"/>
      <c r="K61" s="615"/>
    </row>
    <row r="62" spans="2:11" ht="15.75">
      <c r="B62" s="79" t="s">
        <v>285</v>
      </c>
      <c r="C62" s="392"/>
      <c r="D62" s="392"/>
      <c r="E62" s="259"/>
      <c r="G62" s="615"/>
      <c r="H62" s="615"/>
      <c r="I62" s="615"/>
      <c r="J62" s="615"/>
      <c r="K62" s="615"/>
    </row>
    <row r="63" spans="2:11" ht="15.75">
      <c r="B63" s="316"/>
      <c r="C63" s="311"/>
      <c r="D63" s="311"/>
      <c r="E63" s="169"/>
      <c r="G63" s="615"/>
      <c r="H63" s="615"/>
      <c r="I63" s="615"/>
      <c r="J63" s="615"/>
      <c r="K63" s="615"/>
    </row>
    <row r="64" spans="2:11" ht="15.75">
      <c r="B64" s="316"/>
      <c r="C64" s="311"/>
      <c r="D64" s="311"/>
      <c r="E64" s="169"/>
      <c r="G64" s="867" t="str">
        <f>CONCATENATE("Desired Carryover Into ",E1+1,"")</f>
        <v>Desired Carryover Into 2015</v>
      </c>
      <c r="H64" s="868"/>
      <c r="I64" s="868"/>
      <c r="J64" s="869"/>
      <c r="K64" s="615"/>
    </row>
    <row r="65" spans="2:11" ht="15.75">
      <c r="B65" s="316"/>
      <c r="C65" s="311"/>
      <c r="D65" s="311"/>
      <c r="E65" s="169"/>
      <c r="G65" s="647"/>
      <c r="H65" s="648"/>
      <c r="I65" s="649"/>
      <c r="J65" s="650"/>
      <c r="K65" s="615"/>
    </row>
    <row r="66" spans="2:11" ht="15.75">
      <c r="B66" s="316"/>
      <c r="C66" s="311"/>
      <c r="D66" s="311"/>
      <c r="E66" s="169"/>
      <c r="G66" s="651" t="s">
        <v>732</v>
      </c>
      <c r="H66" s="649"/>
      <c r="I66" s="649"/>
      <c r="J66" s="652">
        <v>0</v>
      </c>
      <c r="K66" s="615"/>
    </row>
    <row r="67" spans="2:11" ht="15.75">
      <c r="B67" s="316"/>
      <c r="C67" s="311"/>
      <c r="D67" s="311"/>
      <c r="E67" s="169"/>
      <c r="G67" s="647" t="s">
        <v>733</v>
      </c>
      <c r="H67" s="648"/>
      <c r="I67" s="648"/>
      <c r="J67" s="653">
        <f>IF(J66=0,"",ROUND((J66+E80-G79)/inputOth!E11*1000,3)-G84)</f>
      </c>
      <c r="K67" s="615"/>
    </row>
    <row r="68" spans="2:11" ht="15.75">
      <c r="B68" s="316"/>
      <c r="C68" s="311"/>
      <c r="D68" s="311"/>
      <c r="E68" s="169"/>
      <c r="G68" s="654" t="str">
        <f>CONCATENATE("",E1," Tot Exp/Non-Appr Must Be:")</f>
        <v>2014 Tot Exp/Non-Appr Must Be:</v>
      </c>
      <c r="H68" s="655"/>
      <c r="I68" s="656"/>
      <c r="J68" s="657">
        <f>IF(J66&gt;0,IF(E77&lt;E61,IF(J66=G79,E77,((J66-G79)*(1-D79))+E61),E77+(J66-G79)),0)</f>
        <v>0</v>
      </c>
      <c r="K68" s="615"/>
    </row>
    <row r="69" spans="2:11" ht="15.75">
      <c r="B69" s="316"/>
      <c r="C69" s="311"/>
      <c r="D69" s="311"/>
      <c r="E69" s="169"/>
      <c r="G69" s="658" t="s">
        <v>859</v>
      </c>
      <c r="H69" s="659"/>
      <c r="I69" s="659"/>
      <c r="J69" s="660">
        <f>IF(J66&gt;0,J68-E77,0)</f>
        <v>0</v>
      </c>
      <c r="K69" s="615"/>
    </row>
    <row r="70" spans="2:11" ht="15.75">
      <c r="B70" s="314" t="s">
        <v>230</v>
      </c>
      <c r="C70" s="311"/>
      <c r="D70" s="311"/>
      <c r="E70" s="180">
        <f>nhood!E17</f>
      </c>
      <c r="G70" s="615"/>
      <c r="H70" s="615"/>
      <c r="I70" s="615"/>
      <c r="J70" s="615"/>
      <c r="K70" s="615"/>
    </row>
    <row r="71" spans="2:11" ht="15.75">
      <c r="B71" s="314" t="s">
        <v>228</v>
      </c>
      <c r="C71" s="311"/>
      <c r="D71" s="311"/>
      <c r="E71" s="169"/>
      <c r="G71" s="867" t="str">
        <f>CONCATENATE("Projected Carryover Into ",E1+1,"")</f>
        <v>Projected Carryover Into 2015</v>
      </c>
      <c r="H71" s="870"/>
      <c r="I71" s="870"/>
      <c r="J71" s="871"/>
      <c r="K71" s="615"/>
    </row>
    <row r="72" spans="2:11" ht="15.75">
      <c r="B72" s="314" t="s">
        <v>730</v>
      </c>
      <c r="C72" s="394">
        <f>IF(C73*0.1&lt;C71,"Exceed 10% Rule","")</f>
      </c>
      <c r="D72" s="394">
        <f>IF(D73*0.1&lt;D71,"Exceed 10% Rule","")</f>
      </c>
      <c r="E72" s="321">
        <f>IF(E73*0.1&lt;E71,"Exceed 10% Rule","")</f>
      </c>
      <c r="G72" s="701"/>
      <c r="H72" s="648"/>
      <c r="I72" s="648"/>
      <c r="J72" s="702"/>
      <c r="K72" s="615"/>
    </row>
    <row r="73" spans="2:11" ht="15.75">
      <c r="B73" s="97" t="s">
        <v>286</v>
      </c>
      <c r="C73" s="395">
        <f>SUM(C63:C71)</f>
        <v>0</v>
      </c>
      <c r="D73" s="395">
        <f>SUM(D63:D71)</f>
        <v>0</v>
      </c>
      <c r="E73" s="320">
        <f>SUM(E63:E71)</f>
        <v>0</v>
      </c>
      <c r="G73" s="665">
        <f>D74</f>
        <v>0</v>
      </c>
      <c r="H73" s="666" t="str">
        <f>CONCATENATE("",E1-1," Ending Cash Balance (est.)")</f>
        <v>2013 Ending Cash Balance (est.)</v>
      </c>
      <c r="I73" s="667"/>
      <c r="J73" s="702"/>
      <c r="K73" s="615"/>
    </row>
    <row r="74" spans="2:11" ht="15.75">
      <c r="B74" s="79" t="s">
        <v>68</v>
      </c>
      <c r="C74" s="396">
        <f>C61-C73</f>
        <v>0</v>
      </c>
      <c r="D74" s="396">
        <f>D61-D73</f>
        <v>0</v>
      </c>
      <c r="E74" s="313" t="s">
        <v>255</v>
      </c>
      <c r="G74" s="665">
        <f>E60</f>
        <v>0</v>
      </c>
      <c r="H74" s="649" t="str">
        <f>CONCATENATE("",E1," Non-AV Receipts (est.)")</f>
        <v>2014 Non-AV Receipts (est.)</v>
      </c>
      <c r="I74" s="667"/>
      <c r="J74" s="702"/>
      <c r="K74" s="615"/>
    </row>
    <row r="75" spans="2:11" ht="15.75">
      <c r="B75" s="115" t="str">
        <f>CONCATENATE("",$E$1-2,"/",$E$1-1," Budget Authority Amount:")</f>
        <v>2012/2013 Budget Authority Amount:</v>
      </c>
      <c r="C75" s="336">
        <f>inputOth!$B94</f>
        <v>0</v>
      </c>
      <c r="D75" s="82">
        <f>inputPrYr!$D31</f>
        <v>0</v>
      </c>
      <c r="E75" s="313" t="s">
        <v>255</v>
      </c>
      <c r="F75" s="322"/>
      <c r="G75" s="674">
        <f>IF(E79&gt;0,E78,E80)</f>
        <v>0</v>
      </c>
      <c r="H75" s="649" t="str">
        <f>CONCATENATE("",E1," Ad Valorem Tax (est.)")</f>
        <v>2014 Ad Valorem Tax (est.)</v>
      </c>
      <c r="I75" s="667"/>
      <c r="J75" s="702"/>
      <c r="K75" s="675">
        <f>IF(G75=E80,"","Note: Does not include Delinquent Taxes")</f>
      </c>
    </row>
    <row r="76" spans="2:11" ht="15.75">
      <c r="B76" s="115"/>
      <c r="C76" s="801" t="s">
        <v>727</v>
      </c>
      <c r="D76" s="802"/>
      <c r="E76" s="169"/>
      <c r="F76" s="734">
        <f>IF(E73/0.95-E73&lt;E76,"Exceeds 5%","")</f>
      </c>
      <c r="G76" s="704">
        <f>SUM(G73:G75)</f>
        <v>0</v>
      </c>
      <c r="H76" s="649" t="str">
        <f>CONCATENATE("Total ",E1," Resources Available")</f>
        <v>Total 2014 Resources Available</v>
      </c>
      <c r="I76" s="705"/>
      <c r="J76" s="702"/>
      <c r="K76" s="615"/>
    </row>
    <row r="77" spans="2:11" ht="15.75">
      <c r="B77" s="501" t="str">
        <f>CONCATENATE(C87,"     ",D87)</f>
        <v>     </v>
      </c>
      <c r="C77" s="803" t="s">
        <v>728</v>
      </c>
      <c r="D77" s="804"/>
      <c r="E77" s="259">
        <f>E73+E76</f>
        <v>0</v>
      </c>
      <c r="G77" s="706"/>
      <c r="H77" s="707"/>
      <c r="I77" s="648"/>
      <c r="J77" s="702"/>
      <c r="K77" s="615"/>
    </row>
    <row r="78" spans="2:11" ht="15.75">
      <c r="B78" s="501" t="str">
        <f>CONCATENATE(C88,"     ",D88)</f>
        <v>     </v>
      </c>
      <c r="C78" s="504"/>
      <c r="D78" s="503" t="s">
        <v>288</v>
      </c>
      <c r="E78" s="180">
        <f>IF(E77-E61&gt;0,E77-E61,0)</f>
        <v>0</v>
      </c>
      <c r="G78" s="674">
        <f>ROUND(C73*0.05+C73,0)</f>
        <v>0</v>
      </c>
      <c r="H78" s="649" t="str">
        <f>CONCATENATE("Less ",E1-2," Expenditures + 5%")</f>
        <v>Less 2012 Expenditures + 5%</v>
      </c>
      <c r="I78" s="705"/>
      <c r="J78" s="702"/>
      <c r="K78" s="615"/>
    </row>
    <row r="79" spans="2:11" ht="15.75">
      <c r="B79" s="208"/>
      <c r="C79" s="502" t="s">
        <v>729</v>
      </c>
      <c r="D79" s="718">
        <f>inputOth!$E$77</f>
        <v>0</v>
      </c>
      <c r="E79" s="259">
        <f>ROUND(IF(D79&gt;0,(E78*D79),0),0)</f>
        <v>0</v>
      </c>
      <c r="G79" s="682">
        <f>G76-G78</f>
        <v>0</v>
      </c>
      <c r="H79" s="683" t="str">
        <f>CONCATENATE("Projected ",E1+1," carryover (est.)")</f>
        <v>Projected 2015 carryover (est.)</v>
      </c>
      <c r="I79" s="708"/>
      <c r="J79" s="709"/>
      <c r="K79" s="615"/>
    </row>
    <row r="80" spans="2:11" ht="15.75">
      <c r="B80" s="65"/>
      <c r="C80" s="805" t="str">
        <f>CONCATENATE("Amount of  ",$E$1-1," Ad Valorem Tax")</f>
        <v>Amount of  2013 Ad Valorem Tax</v>
      </c>
      <c r="D80" s="806"/>
      <c r="E80" s="180">
        <f>E78+E79</f>
        <v>0</v>
      </c>
      <c r="G80" s="615"/>
      <c r="H80" s="615"/>
      <c r="I80" s="615"/>
      <c r="J80" s="615"/>
      <c r="K80" s="615"/>
    </row>
    <row r="81" spans="2:11" ht="15.75">
      <c r="B81" s="208" t="s">
        <v>269</v>
      </c>
      <c r="C81" s="209"/>
      <c r="D81" s="65"/>
      <c r="E81" s="65"/>
      <c r="G81" s="874" t="s">
        <v>860</v>
      </c>
      <c r="H81" s="875"/>
      <c r="I81" s="875"/>
      <c r="J81" s="876"/>
      <c r="K81" s="615"/>
    </row>
    <row r="82" spans="2:11" ht="15.75">
      <c r="B82" s="111"/>
      <c r="G82" s="689"/>
      <c r="H82" s="666"/>
      <c r="I82" s="690"/>
      <c r="J82" s="691"/>
      <c r="K82" s="615"/>
    </row>
    <row r="83" spans="7:11" ht="15.75">
      <c r="G83" s="692" t="e">
        <f>summ!#REF!</f>
        <v>#REF!</v>
      </c>
      <c r="H83" s="666" t="str">
        <f>CONCATENATE("",E1," Fund Mill Rate")</f>
        <v>2014 Fund Mill Rate</v>
      </c>
      <c r="I83" s="690"/>
      <c r="J83" s="691"/>
      <c r="K83" s="615"/>
    </row>
    <row r="84" spans="7:11" ht="15.75">
      <c r="G84" s="693" t="e">
        <f>summ!#REF!</f>
        <v>#REF!</v>
      </c>
      <c r="H84" s="666" t="str">
        <f>CONCATENATE("",E1-1," Fund Mill Rate")</f>
        <v>2013 Fund Mill Rate</v>
      </c>
      <c r="I84" s="690"/>
      <c r="J84" s="691"/>
      <c r="K84" s="615"/>
    </row>
    <row r="85" spans="3:11" ht="15.75" hidden="1">
      <c r="C85" s="154">
        <f>IF(C33&gt;C35,"See Tab A","")</f>
      </c>
      <c r="D85" s="154">
        <f>IF(D33&gt;D35,"See Tab C","")</f>
      </c>
      <c r="G85" s="695">
        <f>'[1]summ'!I36</f>
        <v>0</v>
      </c>
      <c r="H85" s="666" t="str">
        <f>CONCATENATE("Total ",E1," Mill Rate")</f>
        <v>Total 2014 Mill Rate</v>
      </c>
      <c r="I85" s="690"/>
      <c r="J85" s="691"/>
      <c r="K85" s="615"/>
    </row>
    <row r="86" spans="3:11" ht="15.75" hidden="1">
      <c r="C86" s="154">
        <f>IF(C34&lt;0,"See Tab B","")</f>
      </c>
      <c r="D86" s="154">
        <f>IF(D34&lt;0,"See Tab D","")</f>
      </c>
      <c r="G86" s="693">
        <f>'[1]summ'!F36</f>
        <v>0</v>
      </c>
      <c r="H86" s="696" t="str">
        <f>CONCATENATE("Total ",E1-1," Mill Rate")</f>
        <v>Total 2013 Mill Rate</v>
      </c>
      <c r="I86" s="697"/>
      <c r="J86" s="698"/>
      <c r="K86" s="615"/>
    </row>
    <row r="87" spans="3:4" ht="15.75" hidden="1">
      <c r="C87" s="154">
        <f>IF(C73&gt;C75,"See Tab A","")</f>
      </c>
      <c r="D87" s="154">
        <f>IF(D73&gt;D75,"See Tab C","")</f>
      </c>
    </row>
    <row r="88" spans="3:4" ht="15.75" hidden="1">
      <c r="C88" s="154">
        <f>IF(C74&lt;0,"See Tab B","")</f>
      </c>
      <c r="D88" s="154">
        <f>IF(D74&lt;0,"See Tab D","")</f>
      </c>
    </row>
    <row r="89" spans="7:10" ht="15.75">
      <c r="G89" s="695">
        <f>summ!H20</f>
        <v>0.182</v>
      </c>
      <c r="H89" s="666" t="str">
        <f>CONCATENATE("Total ",E1," Mill Rate")</f>
        <v>Total 2014 Mill Rate</v>
      </c>
      <c r="I89" s="690"/>
      <c r="J89" s="691"/>
    </row>
    <row r="90" spans="7:10" ht="15.75">
      <c r="G90" s="693">
        <f>summ!E20</f>
        <v>0.19</v>
      </c>
      <c r="H90" s="696" t="str">
        <f>CONCATENATE("Total ",E1-1," Mill Rate")</f>
        <v>Total 2013 Mill Rate</v>
      </c>
      <c r="I90" s="697"/>
      <c r="J90" s="698"/>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73" sqref="C73"/>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Center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9">
        <f>C6+C15</f>
        <v>0</v>
      </c>
      <c r="D16" s="329">
        <f>D6+D15</f>
        <v>0</v>
      </c>
      <c r="E16" s="329">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730</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730</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73" sqref="C73"/>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Center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0">
        <f>C6+C15</f>
        <v>0</v>
      </c>
      <c r="D16" s="320">
        <f>D6+D15</f>
        <v>0</v>
      </c>
      <c r="E16" s="320">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730</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730</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731</v>
      </c>
      <c r="C65" s="151"/>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80" zoomScaleNormal="8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Center Township</v>
      </c>
      <c r="B1" s="30"/>
      <c r="C1" s="30"/>
      <c r="D1" s="30"/>
      <c r="E1" s="30">
        <f>inputPrYr!D9</f>
        <v>2014</v>
      </c>
    </row>
    <row r="2" spans="1:5" ht="15.75">
      <c r="A2" s="41" t="str">
        <f>inputPrYr!D4</f>
        <v>Lyon County</v>
      </c>
      <c r="B2" s="30"/>
      <c r="C2" s="30"/>
      <c r="D2" s="30"/>
      <c r="E2" s="30"/>
    </row>
    <row r="3" spans="1:5" ht="15.75">
      <c r="A3" s="30"/>
      <c r="B3" s="30"/>
      <c r="C3" s="30"/>
      <c r="D3" s="30"/>
      <c r="E3" s="30"/>
    </row>
    <row r="4" spans="1:5" ht="15.75">
      <c r="A4" s="756" t="s">
        <v>106</v>
      </c>
      <c r="B4" s="757"/>
      <c r="C4" s="757"/>
      <c r="D4" s="757"/>
      <c r="E4" s="757"/>
    </row>
    <row r="5" spans="1:5" ht="15.75">
      <c r="A5" s="30"/>
      <c r="B5" s="30"/>
      <c r="C5" s="30"/>
      <c r="D5" s="30"/>
      <c r="E5" s="30"/>
    </row>
    <row r="6" spans="1:5" ht="15.75">
      <c r="A6" s="760" t="str">
        <f>CONCATENATE("From the County Clerks Budget Information for ",E1,":")</f>
        <v>From the County Clerks Budget Information for 2014:</v>
      </c>
      <c r="B6" s="761"/>
      <c r="C6" s="761"/>
      <c r="D6" s="761"/>
      <c r="E6" s="761"/>
    </row>
    <row r="7" spans="1:5" ht="15.75">
      <c r="A7" s="55" t="str">
        <f>CONCATENATE("Assessed Valuation for ",E1-1,":")</f>
        <v>Assessed Valuation for 2013:</v>
      </c>
      <c r="B7" s="10"/>
      <c r="C7" s="10"/>
      <c r="D7" s="10"/>
      <c r="E7" s="36"/>
    </row>
    <row r="8" spans="1:5" ht="15.75">
      <c r="A8" s="13" t="s">
        <v>155</v>
      </c>
      <c r="B8" s="14"/>
      <c r="C8" s="14"/>
      <c r="D8" s="14"/>
      <c r="E8" s="35">
        <v>16937495</v>
      </c>
    </row>
    <row r="9" spans="1:5" ht="15.75">
      <c r="A9" s="15" t="str">
        <f>inputPrYr!$D$6</f>
        <v>Olpe</v>
      </c>
      <c r="B9" s="16"/>
      <c r="C9" s="16"/>
      <c r="D9" s="16"/>
      <c r="E9" s="35">
        <v>2778601</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19716096</v>
      </c>
    </row>
    <row r="12" spans="1:5" ht="15.75">
      <c r="A12" s="54" t="str">
        <f>CONCATENATE("New Improvements for ",E1-1,":")</f>
        <v>New Improvements for 2013:</v>
      </c>
      <c r="B12" s="10"/>
      <c r="C12" s="10"/>
      <c r="D12" s="10"/>
      <c r="E12" s="34"/>
    </row>
    <row r="13" spans="1:5" ht="15.75">
      <c r="A13" s="13" t="s">
        <v>155</v>
      </c>
      <c r="B13" s="14"/>
      <c r="C13" s="14"/>
      <c r="D13" s="14"/>
      <c r="E13" s="52">
        <v>73852</v>
      </c>
    </row>
    <row r="14" spans="1:5" ht="15.75">
      <c r="A14" s="15" t="str">
        <f>inputPrYr!$D$6</f>
        <v>Olpe</v>
      </c>
      <c r="B14" s="14"/>
      <c r="C14" s="14"/>
      <c r="D14" s="14"/>
      <c r="E14" s="3">
        <v>6820</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80672</v>
      </c>
    </row>
    <row r="17" spans="1:5" ht="15.75">
      <c r="A17" s="54" t="str">
        <f>CONCATENATE("Personal Property excluding oil, gas, and mobile homes- ",E1-1,":")</f>
        <v>Personal Property excluding oil, gas, and mobile homes- 2013:</v>
      </c>
      <c r="B17" s="10"/>
      <c r="C17" s="10"/>
      <c r="D17" s="10"/>
      <c r="E17" s="34"/>
    </row>
    <row r="18" spans="1:5" ht="15.75">
      <c r="A18" s="13" t="s">
        <v>155</v>
      </c>
      <c r="B18" s="14"/>
      <c r="C18" s="14"/>
      <c r="D18" s="14"/>
      <c r="E18" s="52">
        <v>62064</v>
      </c>
    </row>
    <row r="19" spans="1:5" ht="15.75">
      <c r="A19" s="15" t="str">
        <f>inputPrYr!$D$6</f>
        <v>Olpe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62064</v>
      </c>
    </row>
    <row r="22" spans="1:5" ht="15.75">
      <c r="A22" s="54" t="str">
        <f>CONCATENATE("Property that has changed in use for ",E1-1,":")</f>
        <v>Property that has changed in use for 2013:</v>
      </c>
      <c r="B22" s="10"/>
      <c r="C22" s="10"/>
      <c r="D22" s="10"/>
      <c r="E22" s="34"/>
    </row>
    <row r="23" spans="1:5" ht="15.75">
      <c r="A23" s="13" t="s">
        <v>155</v>
      </c>
      <c r="B23" s="14"/>
      <c r="C23" s="14"/>
      <c r="D23" s="14"/>
      <c r="E23" s="52">
        <v>12368</v>
      </c>
    </row>
    <row r="24" spans="1:5" ht="15.75">
      <c r="A24" s="15" t="str">
        <f>inputPrYr!$D$6</f>
        <v>Olpe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12368</v>
      </c>
    </row>
    <row r="27" spans="1:5" ht="15.75">
      <c r="A27" s="54" t="str">
        <f>CONCATENATE("Personal Property excluding oil, gas, and mobile homes- ",E1-2,":")</f>
        <v>Personal Property excluding oil, gas, and mobile homes- 2012:</v>
      </c>
      <c r="B27" s="10"/>
      <c r="C27" s="10"/>
      <c r="D27" s="10"/>
      <c r="E27" s="34"/>
    </row>
    <row r="28" spans="1:5" ht="15.75">
      <c r="A28" s="13" t="s">
        <v>155</v>
      </c>
      <c r="B28" s="14"/>
      <c r="C28" s="14"/>
      <c r="D28" s="14"/>
      <c r="E28" s="52"/>
    </row>
    <row r="29" spans="1:5" ht="15.75">
      <c r="A29" s="15" t="str">
        <f>inputPrYr!$D$6</f>
        <v>Olpe</v>
      </c>
      <c r="B29" s="16"/>
      <c r="C29" s="16"/>
      <c r="D29" s="16"/>
      <c r="E29" s="3">
        <v>57119</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57119</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58" t="s">
        <v>251</v>
      </c>
      <c r="B36" s="759"/>
      <c r="C36" s="30"/>
      <c r="D36" s="37" t="s">
        <v>263</v>
      </c>
      <c r="E36" s="36"/>
    </row>
    <row r="37" spans="1:5" ht="15.75">
      <c r="A37" s="13" t="str">
        <f>inputPrYr!B20</f>
        <v>General</v>
      </c>
      <c r="B37" s="14"/>
      <c r="C37" s="10"/>
      <c r="D37" s="48">
        <v>0.19</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Cemetery</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0.19</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155</v>
      </c>
      <c r="B52" s="14"/>
      <c r="C52" s="14"/>
      <c r="D52" s="14"/>
      <c r="E52" s="4">
        <f>19271981-2816094</f>
        <v>16455887</v>
      </c>
    </row>
    <row r="53" spans="1:5" ht="15.75">
      <c r="A53" s="16" t="str">
        <f>inputPrYr!D6</f>
        <v>Olpe</v>
      </c>
      <c r="B53" s="16"/>
      <c r="C53" s="16"/>
      <c r="D53" s="20"/>
      <c r="E53" s="4">
        <v>2816094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19271981</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148</v>
      </c>
      <c r="B58" s="14"/>
      <c r="C58" s="14"/>
      <c r="D58" s="8"/>
      <c r="E58" s="7"/>
    </row>
    <row r="59" spans="1:5" ht="15.75">
      <c r="A59" s="13" t="s">
        <v>107</v>
      </c>
      <c r="B59" s="14"/>
      <c r="C59" s="14"/>
      <c r="D59" s="39"/>
      <c r="E59" s="2">
        <v>319</v>
      </c>
    </row>
    <row r="60" spans="1:5" ht="15.75">
      <c r="A60" s="15" t="s">
        <v>242</v>
      </c>
      <c r="B60" s="16"/>
      <c r="C60" s="16"/>
      <c r="D60" s="40"/>
      <c r="E60" s="2">
        <v>5</v>
      </c>
    </row>
    <row r="61" spans="1:5" ht="15.75">
      <c r="A61" s="15" t="s">
        <v>108</v>
      </c>
      <c r="B61" s="16"/>
      <c r="C61" s="16"/>
      <c r="D61" s="40"/>
      <c r="E61" s="2">
        <v>29</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row>
    <row r="73" spans="1:5" ht="33" customHeight="1">
      <c r="A73" s="762" t="s">
        <v>154</v>
      </c>
      <c r="B73" s="763"/>
      <c r="C73" s="763"/>
      <c r="D73" s="763"/>
      <c r="E73" s="763"/>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2"/>
      <c r="E76" s="583">
        <v>0</v>
      </c>
    </row>
    <row r="77" spans="1:5" ht="15.75">
      <c r="A77" s="76" t="s">
        <v>800</v>
      </c>
      <c r="B77" s="17"/>
      <c r="C77" s="10"/>
      <c r="D77" s="10"/>
      <c r="E77" s="584">
        <v>0</v>
      </c>
    </row>
    <row r="78" spans="1:5" ht="34.5" customHeight="1">
      <c r="A78" s="754" t="s">
        <v>111</v>
      </c>
      <c r="B78" s="755"/>
      <c r="C78" s="755"/>
      <c r="D78" s="755"/>
      <c r="E78" s="755"/>
    </row>
    <row r="79" spans="1:5" ht="15.75">
      <c r="A79" s="33"/>
      <c r="B79" s="33"/>
      <c r="C79" s="33"/>
      <c r="D79" s="33"/>
      <c r="E79" s="33"/>
    </row>
    <row r="80" spans="1:5" ht="15.75">
      <c r="A80" s="750" t="str">
        <f>CONCATENATE("From the ",E1-2," Budget Certificate Page")</f>
        <v>From the 2012 Budget Certificate Page</v>
      </c>
      <c r="B80" s="751"/>
      <c r="C80" s="33"/>
      <c r="D80" s="33"/>
      <c r="E80" s="33"/>
    </row>
    <row r="81" spans="1:5" ht="15.75">
      <c r="A81" s="57"/>
      <c r="B81" s="57" t="str">
        <f>CONCATENATE("",E1-2," Expenditure Amounts")</f>
        <v>2012 Expenditure Amounts</v>
      </c>
      <c r="C81" s="752" t="str">
        <f>CONCATENATE("Note: If the ",E1-2," budget was amended, then the")</f>
        <v>Note: If the 2012 budget was amended, then the</v>
      </c>
      <c r="D81" s="753"/>
      <c r="E81" s="753"/>
    </row>
    <row r="82" spans="1:5" ht="15.75">
      <c r="A82" s="58" t="s">
        <v>172</v>
      </c>
      <c r="B82" s="58" t="s">
        <v>173</v>
      </c>
      <c r="C82" s="59" t="s">
        <v>174</v>
      </c>
      <c r="D82" s="60"/>
      <c r="E82" s="60"/>
    </row>
    <row r="83" spans="1:5" ht="15.75">
      <c r="A83" s="61" t="str">
        <f>inputPrYr!B20</f>
        <v>General</v>
      </c>
      <c r="B83" s="4">
        <v>4500</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Cemetery</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B5" sqref="B5:I5"/>
    </sheetView>
  </sheetViews>
  <sheetFormatPr defaultColWidth="8.796875" defaultRowHeight="15.75"/>
  <cols>
    <col min="1" max="1" width="2.296875" style="589" customWidth="1"/>
    <col min="2" max="4" width="8.796875" style="589" customWidth="1"/>
    <col min="5" max="5" width="8.69921875" style="589" customWidth="1"/>
    <col min="6" max="6" width="8.796875" style="589" customWidth="1"/>
    <col min="7" max="7" width="8.69921875" style="589" customWidth="1"/>
    <col min="8" max="16384" width="8.796875" style="589" customWidth="1"/>
  </cols>
  <sheetData>
    <row r="1" spans="2:9" ht="15.75">
      <c r="B1" s="588"/>
      <c r="C1" s="588"/>
      <c r="D1" s="588"/>
      <c r="E1" s="588"/>
      <c r="F1" s="588"/>
      <c r="G1" s="588"/>
      <c r="H1" s="588"/>
      <c r="I1" s="588"/>
    </row>
    <row r="2" spans="2:9" ht="15.75">
      <c r="B2" s="880" t="s">
        <v>803</v>
      </c>
      <c r="C2" s="880"/>
      <c r="D2" s="880"/>
      <c r="E2" s="880"/>
      <c r="F2" s="880"/>
      <c r="G2" s="880"/>
      <c r="H2" s="880"/>
      <c r="I2" s="880"/>
    </row>
    <row r="3" spans="2:9" ht="15.75">
      <c r="B3" s="880" t="s">
        <v>804</v>
      </c>
      <c r="C3" s="880"/>
      <c r="D3" s="880"/>
      <c r="E3" s="880"/>
      <c r="F3" s="880"/>
      <c r="G3" s="880"/>
      <c r="H3" s="880"/>
      <c r="I3" s="880"/>
    </row>
    <row r="4" spans="2:9" ht="15.75">
      <c r="B4" s="590"/>
      <c r="C4" s="590"/>
      <c r="D4" s="590"/>
      <c r="E4" s="590"/>
      <c r="F4" s="590"/>
      <c r="G4" s="590"/>
      <c r="H4" s="590"/>
      <c r="I4" s="590"/>
    </row>
    <row r="5" spans="2:9" ht="15.75">
      <c r="B5" s="881" t="str">
        <f>CONCATENATE("Budgeted Year: ",inputPrYr!D9,"")</f>
        <v>Budgeted Year: 2014</v>
      </c>
      <c r="C5" s="881"/>
      <c r="D5" s="881"/>
      <c r="E5" s="881"/>
      <c r="F5" s="881"/>
      <c r="G5" s="881"/>
      <c r="H5" s="881"/>
      <c r="I5" s="881"/>
    </row>
    <row r="6" spans="2:9" ht="15.75">
      <c r="B6" s="591"/>
      <c r="C6" s="590"/>
      <c r="D6" s="590"/>
      <c r="E6" s="590"/>
      <c r="F6" s="590"/>
      <c r="G6" s="590"/>
      <c r="H6" s="590"/>
      <c r="I6" s="590"/>
    </row>
    <row r="7" spans="2:9" ht="15.75">
      <c r="B7" s="591" t="str">
        <f>CONCATENATE("Library found in: ",inputPrYr!D3,"")</f>
        <v>Library found in: Center Township</v>
      </c>
      <c r="C7" s="590"/>
      <c r="D7" s="590"/>
      <c r="E7" s="590"/>
      <c r="F7" s="590"/>
      <c r="G7" s="590"/>
      <c r="H7" s="590"/>
      <c r="I7" s="590"/>
    </row>
    <row r="8" spans="2:9" ht="15.75">
      <c r="B8" s="591" t="str">
        <f>inputPrYr!D4</f>
        <v>Lyon County</v>
      </c>
      <c r="C8" s="590"/>
      <c r="D8" s="590"/>
      <c r="E8" s="590"/>
      <c r="F8" s="590"/>
      <c r="G8" s="590"/>
      <c r="H8" s="590"/>
      <c r="I8" s="590"/>
    </row>
    <row r="9" spans="2:9" ht="15.75">
      <c r="B9" s="590"/>
      <c r="C9" s="590"/>
      <c r="D9" s="590"/>
      <c r="E9" s="590"/>
      <c r="F9" s="590"/>
      <c r="G9" s="590"/>
      <c r="H9" s="590"/>
      <c r="I9" s="590"/>
    </row>
    <row r="10" spans="2:9" ht="39" customHeight="1">
      <c r="B10" s="882" t="s">
        <v>805</v>
      </c>
      <c r="C10" s="882"/>
      <c r="D10" s="882"/>
      <c r="E10" s="882"/>
      <c r="F10" s="882"/>
      <c r="G10" s="882"/>
      <c r="H10" s="882"/>
      <c r="I10" s="882"/>
    </row>
    <row r="11" spans="2:9" ht="15.75">
      <c r="B11" s="590"/>
      <c r="C11" s="590"/>
      <c r="D11" s="590"/>
      <c r="E11" s="590"/>
      <c r="F11" s="590"/>
      <c r="G11" s="590"/>
      <c r="H11" s="590"/>
      <c r="I11" s="590"/>
    </row>
    <row r="12" spans="2:9" ht="15.75">
      <c r="B12" s="592" t="s">
        <v>806</v>
      </c>
      <c r="C12" s="590"/>
      <c r="D12" s="590"/>
      <c r="E12" s="590"/>
      <c r="F12" s="590"/>
      <c r="G12" s="590"/>
      <c r="H12" s="590"/>
      <c r="I12" s="590"/>
    </row>
    <row r="13" spans="2:9" ht="15.75">
      <c r="B13" s="590"/>
      <c r="C13" s="590"/>
      <c r="D13" s="590"/>
      <c r="E13" s="593" t="s">
        <v>272</v>
      </c>
      <c r="F13" s="590"/>
      <c r="G13" s="593" t="s">
        <v>807</v>
      </c>
      <c r="H13" s="590"/>
      <c r="I13" s="590"/>
    </row>
    <row r="14" spans="2:9" ht="15.75">
      <c r="B14" s="590"/>
      <c r="C14" s="590"/>
      <c r="D14" s="590"/>
      <c r="E14" s="594">
        <f>inputPrYr!D9-1</f>
        <v>2013</v>
      </c>
      <c r="F14" s="590"/>
      <c r="G14" s="594">
        <f>inputPrYr!D9</f>
        <v>2014</v>
      </c>
      <c r="H14" s="590"/>
      <c r="I14" s="590"/>
    </row>
    <row r="15" spans="2:9" ht="15.75">
      <c r="B15" s="591" t="str">
        <f>Library!B41</f>
        <v>Ad Valorem Tax</v>
      </c>
      <c r="C15" s="590"/>
      <c r="D15" s="590"/>
      <c r="E15" s="595">
        <f>Library!D41</f>
        <v>0</v>
      </c>
      <c r="F15" s="590"/>
      <c r="G15" s="595">
        <f>Library!E33</f>
        <v>0</v>
      </c>
      <c r="H15" s="590"/>
      <c r="I15" s="590"/>
    </row>
    <row r="16" spans="2:9" ht="15.75">
      <c r="B16" s="591" t="str">
        <f>Library!B42</f>
        <v>Delinquent Tax</v>
      </c>
      <c r="C16" s="590"/>
      <c r="D16" s="590"/>
      <c r="E16" s="595">
        <f>Library!D42</f>
        <v>0</v>
      </c>
      <c r="F16" s="590"/>
      <c r="G16" s="595">
        <f>Library!E42</f>
        <v>0</v>
      </c>
      <c r="H16" s="590"/>
      <c r="I16" s="590"/>
    </row>
    <row r="17" spans="2:9" ht="15.75">
      <c r="B17" s="591" t="str">
        <f>Library!B43</f>
        <v>Motor Vehicle Tax</v>
      </c>
      <c r="C17" s="590"/>
      <c r="D17" s="590"/>
      <c r="E17" s="595">
        <f>Library!D43</f>
        <v>0</v>
      </c>
      <c r="F17" s="590"/>
      <c r="G17" s="595">
        <f>Library!E43</f>
        <v>0</v>
      </c>
      <c r="H17" s="590"/>
      <c r="I17" s="590"/>
    </row>
    <row r="18" spans="2:9" ht="15.75">
      <c r="B18" s="591" t="str">
        <f>Library!B44</f>
        <v>Recreational Vehicle Tax</v>
      </c>
      <c r="C18" s="590"/>
      <c r="D18" s="590"/>
      <c r="E18" s="595">
        <f>Library!D44</f>
        <v>0</v>
      </c>
      <c r="F18" s="590"/>
      <c r="G18" s="595">
        <f>Library!E44</f>
        <v>0</v>
      </c>
      <c r="H18" s="590"/>
      <c r="I18" s="590"/>
    </row>
    <row r="19" spans="2:9" ht="15.75">
      <c r="B19" s="591" t="str">
        <f>Library!B45</f>
        <v>16/20M Vehicle Tax</v>
      </c>
      <c r="C19" s="590"/>
      <c r="D19" s="590"/>
      <c r="E19" s="595">
        <f>Library!D45</f>
        <v>0</v>
      </c>
      <c r="F19" s="590"/>
      <c r="G19" s="595">
        <f>Library!E45</f>
        <v>0</v>
      </c>
      <c r="H19" s="590"/>
      <c r="I19" s="590"/>
    </row>
    <row r="20" spans="2:9" ht="15.75">
      <c r="B20" s="590" t="s">
        <v>109</v>
      </c>
      <c r="C20" s="590"/>
      <c r="D20" s="590"/>
      <c r="E20" s="595">
        <v>0</v>
      </c>
      <c r="F20" s="590"/>
      <c r="G20" s="595">
        <v>0</v>
      </c>
      <c r="H20" s="590"/>
      <c r="I20" s="590"/>
    </row>
    <row r="21" spans="2:9" ht="15.75">
      <c r="B21" s="590"/>
      <c r="C21" s="590"/>
      <c r="D21" s="590"/>
      <c r="E21" s="595">
        <v>0</v>
      </c>
      <c r="F21" s="590"/>
      <c r="G21" s="595">
        <v>0</v>
      </c>
      <c r="H21" s="590"/>
      <c r="I21" s="590"/>
    </row>
    <row r="22" spans="2:9" ht="15.75">
      <c r="B22" s="590" t="s">
        <v>808</v>
      </c>
      <c r="C22" s="590"/>
      <c r="D22" s="590"/>
      <c r="E22" s="596">
        <f>SUM(E15:E21)</f>
        <v>0</v>
      </c>
      <c r="F22" s="590"/>
      <c r="G22" s="596">
        <f>SUM(G15:G21)</f>
        <v>0</v>
      </c>
      <c r="H22" s="590"/>
      <c r="I22" s="590"/>
    </row>
    <row r="23" spans="2:9" ht="15.75">
      <c r="B23" s="590" t="s">
        <v>809</v>
      </c>
      <c r="C23" s="590"/>
      <c r="D23" s="590"/>
      <c r="E23" s="597">
        <f>G22-E22</f>
        <v>0</v>
      </c>
      <c r="F23" s="590"/>
      <c r="G23" s="598"/>
      <c r="H23" s="590"/>
      <c r="I23" s="590"/>
    </row>
    <row r="24" spans="2:9" ht="15.75">
      <c r="B24" s="590" t="s">
        <v>810</v>
      </c>
      <c r="C24" s="590"/>
      <c r="D24" s="599" t="str">
        <f>IF((G22-E22)&gt;0,"Qualify","Not Qualify")</f>
        <v>Not Qualify</v>
      </c>
      <c r="E24" s="590"/>
      <c r="F24" s="590"/>
      <c r="G24" s="590"/>
      <c r="H24" s="590"/>
      <c r="I24" s="590"/>
    </row>
    <row r="25" spans="2:9" ht="15.75">
      <c r="B25" s="590"/>
      <c r="C25" s="590"/>
      <c r="D25" s="590"/>
      <c r="E25" s="590"/>
      <c r="F25" s="590"/>
      <c r="G25" s="590"/>
      <c r="H25" s="590"/>
      <c r="I25" s="590"/>
    </row>
    <row r="26" spans="2:9" ht="15.75">
      <c r="B26" s="592" t="s">
        <v>811</v>
      </c>
      <c r="C26" s="590"/>
      <c r="D26" s="590"/>
      <c r="E26" s="590"/>
      <c r="F26" s="590"/>
      <c r="G26" s="590"/>
      <c r="H26" s="590"/>
      <c r="I26" s="590"/>
    </row>
    <row r="27" spans="2:9" ht="15.75">
      <c r="B27" s="590" t="s">
        <v>812</v>
      </c>
      <c r="C27" s="590"/>
      <c r="D27" s="590"/>
      <c r="E27" s="595">
        <f>summ!D24</f>
        <v>19271981</v>
      </c>
      <c r="F27" s="590"/>
      <c r="G27" s="595">
        <f>summ!F24</f>
        <v>19716096</v>
      </c>
      <c r="H27" s="590"/>
      <c r="I27" s="590"/>
    </row>
    <row r="28" spans="2:9" ht="15.75">
      <c r="B28" s="590" t="s">
        <v>813</v>
      </c>
      <c r="C28" s="590"/>
      <c r="D28" s="590"/>
      <c r="E28" s="600" t="str">
        <f>IF(G27-E27&gt;0,"No","Yes")</f>
        <v>No</v>
      </c>
      <c r="F28" s="590"/>
      <c r="G28" s="590"/>
      <c r="H28" s="590"/>
      <c r="I28" s="590"/>
    </row>
    <row r="29" spans="2:9" ht="15.75">
      <c r="B29" s="590" t="s">
        <v>814</v>
      </c>
      <c r="C29" s="590"/>
      <c r="D29" s="590"/>
      <c r="E29" s="601">
        <f>summ!E20</f>
        <v>0.19</v>
      </c>
      <c r="F29" s="590"/>
      <c r="G29" s="601">
        <f>summ!H20</f>
        <v>0.182</v>
      </c>
      <c r="H29" s="590"/>
      <c r="I29" s="590"/>
    </row>
    <row r="30" spans="2:9" ht="15.75">
      <c r="B30" s="590" t="s">
        <v>815</v>
      </c>
      <c r="C30" s="590"/>
      <c r="D30" s="590"/>
      <c r="E30" s="602">
        <f>G29-E29</f>
        <v>-0.008000000000000007</v>
      </c>
      <c r="F30" s="590"/>
      <c r="G30" s="590"/>
      <c r="H30" s="590"/>
      <c r="I30" s="590"/>
    </row>
    <row r="31" spans="2:9" ht="15.75">
      <c r="B31" s="590" t="s">
        <v>810</v>
      </c>
      <c r="C31" s="590"/>
      <c r="D31" s="603" t="str">
        <f>IF(E30&gt;=0,"Qualify","Not Qualify")</f>
        <v>Not Qualify</v>
      </c>
      <c r="E31" s="590"/>
      <c r="F31" s="590"/>
      <c r="G31" s="590"/>
      <c r="H31" s="590"/>
      <c r="I31" s="590"/>
    </row>
    <row r="32" spans="2:9" ht="15.75">
      <c r="B32" s="590"/>
      <c r="C32" s="590"/>
      <c r="D32" s="590"/>
      <c r="E32" s="590"/>
      <c r="F32" s="590"/>
      <c r="G32" s="590"/>
      <c r="H32" s="590"/>
      <c r="I32" s="590"/>
    </row>
    <row r="33" spans="2:9" ht="15.75">
      <c r="B33" s="590" t="s">
        <v>816</v>
      </c>
      <c r="C33" s="590"/>
      <c r="D33" s="590"/>
      <c r="E33" s="590"/>
      <c r="F33" s="604" t="str">
        <f>IF(D24="Not Qualify",IF(D31="Not Qualify",IF(D31="Not Qualify","Not Qualify","Qualify"),"Qualify"),"Qualify")</f>
        <v>Not Qualify</v>
      </c>
      <c r="G33" s="590"/>
      <c r="H33" s="590"/>
      <c r="I33" s="590"/>
    </row>
    <row r="34" spans="2:9" ht="15.75">
      <c r="B34" s="590"/>
      <c r="C34" s="590"/>
      <c r="D34" s="590"/>
      <c r="E34" s="590"/>
      <c r="F34" s="590"/>
      <c r="G34" s="590"/>
      <c r="H34" s="590"/>
      <c r="I34" s="590"/>
    </row>
    <row r="35" spans="2:9" ht="15.75">
      <c r="B35" s="590"/>
      <c r="C35" s="590"/>
      <c r="D35" s="590"/>
      <c r="E35" s="590"/>
      <c r="F35" s="590"/>
      <c r="G35" s="590"/>
      <c r="H35" s="590"/>
      <c r="I35" s="590"/>
    </row>
    <row r="36" spans="2:9" ht="37.5" customHeight="1">
      <c r="B36" s="882" t="s">
        <v>817</v>
      </c>
      <c r="C36" s="882"/>
      <c r="D36" s="882"/>
      <c r="E36" s="882"/>
      <c r="F36" s="882"/>
      <c r="G36" s="882"/>
      <c r="H36" s="882"/>
      <c r="I36" s="882"/>
    </row>
    <row r="37" spans="2:9" ht="15.75">
      <c r="B37" s="590"/>
      <c r="C37" s="590"/>
      <c r="D37" s="590"/>
      <c r="E37" s="590"/>
      <c r="F37" s="590"/>
      <c r="G37" s="590"/>
      <c r="H37" s="590"/>
      <c r="I37" s="590"/>
    </row>
    <row r="38" spans="2:9" ht="15.75">
      <c r="B38" s="590"/>
      <c r="C38" s="590"/>
      <c r="D38" s="590"/>
      <c r="E38" s="590"/>
      <c r="F38" s="590"/>
      <c r="G38" s="590"/>
      <c r="H38" s="590"/>
      <c r="I38" s="590"/>
    </row>
    <row r="39" spans="2:9" ht="15.75">
      <c r="B39" s="590"/>
      <c r="C39" s="590"/>
      <c r="D39" s="590"/>
      <c r="E39" s="590"/>
      <c r="F39" s="590"/>
      <c r="G39" s="590"/>
      <c r="H39" s="590"/>
      <c r="I39" s="590"/>
    </row>
    <row r="40" spans="2:9" ht="15.75">
      <c r="B40" s="590"/>
      <c r="C40" s="590"/>
      <c r="D40" s="590"/>
      <c r="E40" s="605" t="s">
        <v>818</v>
      </c>
      <c r="F40" s="606">
        <v>6</v>
      </c>
      <c r="G40" s="590"/>
      <c r="H40" s="590"/>
      <c r="I40" s="590"/>
    </row>
    <row r="41" spans="2:9" ht="15.75">
      <c r="B41" s="590"/>
      <c r="C41" s="590"/>
      <c r="D41" s="590"/>
      <c r="E41" s="590"/>
      <c r="F41" s="590"/>
      <c r="G41" s="590"/>
      <c r="H41" s="590"/>
      <c r="I41" s="590"/>
    </row>
    <row r="42" spans="2:9" ht="15.75">
      <c r="B42" s="590"/>
      <c r="C42" s="590"/>
      <c r="D42" s="590"/>
      <c r="E42" s="590"/>
      <c r="F42" s="590"/>
      <c r="G42" s="590"/>
      <c r="H42" s="590"/>
      <c r="I42" s="590"/>
    </row>
    <row r="43" spans="2:9" ht="15.75">
      <c r="B43" s="883" t="s">
        <v>819</v>
      </c>
      <c r="C43" s="884"/>
      <c r="D43" s="884"/>
      <c r="E43" s="884"/>
      <c r="F43" s="884"/>
      <c r="G43" s="884"/>
      <c r="H43" s="884"/>
      <c r="I43" s="884"/>
    </row>
    <row r="44" spans="2:9" ht="15.75">
      <c r="B44" s="590"/>
      <c r="C44" s="590"/>
      <c r="D44" s="590"/>
      <c r="E44" s="590"/>
      <c r="F44" s="590"/>
      <c r="G44" s="590"/>
      <c r="H44" s="590"/>
      <c r="I44" s="590"/>
    </row>
    <row r="45" spans="2:9" ht="15.75">
      <c r="B45" s="607" t="s">
        <v>820</v>
      </c>
      <c r="C45" s="590"/>
      <c r="D45" s="590"/>
      <c r="E45" s="590"/>
      <c r="F45" s="590"/>
      <c r="G45" s="590"/>
      <c r="H45" s="590"/>
      <c r="I45" s="590"/>
    </row>
    <row r="46" spans="2:9" ht="15.75">
      <c r="B46" s="607" t="str">
        <f>CONCATENATE("sources in your ",G14," library fund is not equal to or greater than the amount from the same")</f>
        <v>sources in your 2014 library fund is not equal to or greater than the amount from the same</v>
      </c>
      <c r="C46" s="590"/>
      <c r="D46" s="590"/>
      <c r="E46" s="590"/>
      <c r="F46" s="590"/>
      <c r="G46" s="590"/>
      <c r="H46" s="590"/>
      <c r="I46" s="590"/>
    </row>
    <row r="47" spans="2:9" ht="15.75">
      <c r="B47" s="607" t="str">
        <f>CONCATENATE("sources in ",E14,".")</f>
        <v>sources in 2013.</v>
      </c>
      <c r="C47" s="588"/>
      <c r="D47" s="588"/>
      <c r="E47" s="588"/>
      <c r="F47" s="588"/>
      <c r="G47" s="588"/>
      <c r="H47" s="588"/>
      <c r="I47" s="588"/>
    </row>
    <row r="48" spans="2:9" ht="15.75">
      <c r="B48" s="588"/>
      <c r="C48" s="588"/>
      <c r="D48" s="588"/>
      <c r="E48" s="588"/>
      <c r="F48" s="588"/>
      <c r="G48" s="588"/>
      <c r="H48" s="588"/>
      <c r="I48" s="588"/>
    </row>
    <row r="49" spans="2:9" ht="15.75">
      <c r="B49" s="607" t="s">
        <v>821</v>
      </c>
      <c r="C49" s="607"/>
      <c r="D49" s="608"/>
      <c r="E49" s="608"/>
      <c r="F49" s="608"/>
      <c r="G49" s="608"/>
      <c r="H49" s="608"/>
      <c r="I49" s="608"/>
    </row>
    <row r="50" spans="2:9" ht="15.75">
      <c r="B50" s="607" t="s">
        <v>822</v>
      </c>
      <c r="C50" s="607"/>
      <c r="D50" s="608"/>
      <c r="E50" s="608"/>
      <c r="F50" s="608"/>
      <c r="G50" s="608"/>
      <c r="H50" s="608"/>
      <c r="I50" s="608"/>
    </row>
    <row r="51" spans="2:9" ht="15.75">
      <c r="B51" s="607" t="s">
        <v>823</v>
      </c>
      <c r="C51" s="607"/>
      <c r="D51" s="608"/>
      <c r="E51" s="608"/>
      <c r="F51" s="608"/>
      <c r="G51" s="608"/>
      <c r="H51" s="608"/>
      <c r="I51" s="608"/>
    </row>
    <row r="52" spans="2:9" ht="15">
      <c r="B52" s="608"/>
      <c r="C52" s="608"/>
      <c r="D52" s="608"/>
      <c r="E52" s="608"/>
      <c r="F52" s="608"/>
      <c r="G52" s="608"/>
      <c r="H52" s="608"/>
      <c r="I52" s="608"/>
    </row>
    <row r="53" spans="2:9" ht="15.75">
      <c r="B53" s="609" t="s">
        <v>824</v>
      </c>
      <c r="C53" s="608"/>
      <c r="D53" s="608"/>
      <c r="E53" s="608"/>
      <c r="F53" s="608"/>
      <c r="G53" s="608"/>
      <c r="H53" s="608"/>
      <c r="I53" s="608"/>
    </row>
    <row r="54" spans="2:9" ht="15">
      <c r="B54" s="608"/>
      <c r="C54" s="608"/>
      <c r="D54" s="608"/>
      <c r="E54" s="608"/>
      <c r="F54" s="608"/>
      <c r="G54" s="608"/>
      <c r="H54" s="608"/>
      <c r="I54" s="608"/>
    </row>
    <row r="55" spans="2:9" ht="15.75">
      <c r="B55" s="607" t="s">
        <v>825</v>
      </c>
      <c r="C55" s="608"/>
      <c r="D55" s="608"/>
      <c r="E55" s="608"/>
      <c r="F55" s="608"/>
      <c r="G55" s="608"/>
      <c r="H55" s="608"/>
      <c r="I55" s="608"/>
    </row>
    <row r="56" spans="2:9" ht="15.75">
      <c r="B56" s="607" t="s">
        <v>826</v>
      </c>
      <c r="C56" s="608"/>
      <c r="D56" s="608"/>
      <c r="E56" s="608"/>
      <c r="F56" s="608"/>
      <c r="G56" s="608"/>
      <c r="H56" s="608"/>
      <c r="I56" s="608"/>
    </row>
    <row r="57" spans="2:9" ht="15">
      <c r="B57" s="608"/>
      <c r="C57" s="608"/>
      <c r="D57" s="608"/>
      <c r="E57" s="608"/>
      <c r="F57" s="608"/>
      <c r="G57" s="608"/>
      <c r="H57" s="608"/>
      <c r="I57" s="608"/>
    </row>
    <row r="58" spans="2:9" ht="15.75">
      <c r="B58" s="609" t="s">
        <v>827</v>
      </c>
      <c r="C58" s="607"/>
      <c r="D58" s="607"/>
      <c r="E58" s="607"/>
      <c r="F58" s="607"/>
      <c r="G58" s="608"/>
      <c r="H58" s="608"/>
      <c r="I58" s="608"/>
    </row>
    <row r="59" spans="2:9" ht="15.75">
      <c r="B59" s="607"/>
      <c r="C59" s="607"/>
      <c r="D59" s="607"/>
      <c r="E59" s="607"/>
      <c r="F59" s="607"/>
      <c r="G59" s="608"/>
      <c r="H59" s="608"/>
      <c r="I59" s="608"/>
    </row>
    <row r="60" spans="2:9" ht="15.75">
      <c r="B60" s="607" t="s">
        <v>828</v>
      </c>
      <c r="C60" s="607"/>
      <c r="D60" s="607"/>
      <c r="E60" s="607"/>
      <c r="F60" s="607"/>
      <c r="G60" s="608"/>
      <c r="H60" s="608"/>
      <c r="I60" s="608"/>
    </row>
    <row r="61" spans="2:9" ht="15.75">
      <c r="B61" s="607" t="s">
        <v>829</v>
      </c>
      <c r="C61" s="607"/>
      <c r="D61" s="607"/>
      <c r="E61" s="607"/>
      <c r="F61" s="607"/>
      <c r="G61" s="608"/>
      <c r="H61" s="608"/>
      <c r="I61" s="608"/>
    </row>
    <row r="62" spans="2:9" ht="15.75">
      <c r="B62" s="607" t="s">
        <v>830</v>
      </c>
      <c r="C62" s="607"/>
      <c r="D62" s="607"/>
      <c r="E62" s="607"/>
      <c r="F62" s="607"/>
      <c r="G62" s="608"/>
      <c r="H62" s="608"/>
      <c r="I62" s="608"/>
    </row>
    <row r="63" spans="2:9" ht="15.75">
      <c r="B63" s="607" t="s">
        <v>831</v>
      </c>
      <c r="C63" s="607"/>
      <c r="D63" s="607"/>
      <c r="E63" s="607"/>
      <c r="F63" s="607"/>
      <c r="G63" s="608"/>
      <c r="H63" s="608"/>
      <c r="I63" s="608"/>
    </row>
    <row r="64" spans="2:9" ht="15">
      <c r="B64" s="610"/>
      <c r="C64" s="610"/>
      <c r="D64" s="610"/>
      <c r="E64" s="610"/>
      <c r="F64" s="610"/>
      <c r="G64" s="608"/>
      <c r="H64" s="608"/>
      <c r="I64" s="608"/>
    </row>
    <row r="65" spans="2:9" ht="15.75">
      <c r="B65" s="607" t="s">
        <v>832</v>
      </c>
      <c r="C65" s="610"/>
      <c r="D65" s="610"/>
      <c r="E65" s="610"/>
      <c r="F65" s="610"/>
      <c r="G65" s="608"/>
      <c r="H65" s="608"/>
      <c r="I65" s="608"/>
    </row>
    <row r="66" spans="2:9" ht="15.75">
      <c r="B66" s="607" t="s">
        <v>833</v>
      </c>
      <c r="C66" s="610"/>
      <c r="D66" s="610"/>
      <c r="E66" s="610"/>
      <c r="F66" s="610"/>
      <c r="G66" s="608"/>
      <c r="H66" s="608"/>
      <c r="I66" s="608"/>
    </row>
    <row r="67" spans="2:9" ht="15">
      <c r="B67" s="610"/>
      <c r="C67" s="610"/>
      <c r="D67" s="610"/>
      <c r="E67" s="610"/>
      <c r="F67" s="610"/>
      <c r="G67" s="608"/>
      <c r="H67" s="608"/>
      <c r="I67" s="608"/>
    </row>
    <row r="68" spans="2:9" ht="15.75">
      <c r="B68" s="607" t="s">
        <v>834</v>
      </c>
      <c r="C68" s="610"/>
      <c r="D68" s="610"/>
      <c r="E68" s="610"/>
      <c r="F68" s="610"/>
      <c r="G68" s="608"/>
      <c r="H68" s="608"/>
      <c r="I68" s="608"/>
    </row>
    <row r="69" spans="2:9" ht="15.75">
      <c r="B69" s="607" t="s">
        <v>835</v>
      </c>
      <c r="C69" s="610"/>
      <c r="D69" s="610"/>
      <c r="E69" s="610"/>
      <c r="F69" s="610"/>
      <c r="G69" s="608"/>
      <c r="H69" s="608"/>
      <c r="I69" s="608"/>
    </row>
    <row r="70" spans="2:9" ht="15">
      <c r="B70" s="610"/>
      <c r="C70" s="610"/>
      <c r="D70" s="610"/>
      <c r="E70" s="610"/>
      <c r="F70" s="610"/>
      <c r="G70" s="608"/>
      <c r="H70" s="608"/>
      <c r="I70" s="608"/>
    </row>
    <row r="71" spans="2:9" ht="15.75">
      <c r="B71" s="609" t="s">
        <v>836</v>
      </c>
      <c r="C71" s="610"/>
      <c r="D71" s="610"/>
      <c r="E71" s="610"/>
      <c r="F71" s="610"/>
      <c r="G71" s="608"/>
      <c r="H71" s="608"/>
      <c r="I71" s="608"/>
    </row>
    <row r="72" spans="2:9" ht="15">
      <c r="B72" s="610"/>
      <c r="C72" s="610"/>
      <c r="D72" s="610"/>
      <c r="E72" s="610"/>
      <c r="F72" s="610"/>
      <c r="G72" s="608"/>
      <c r="H72" s="608"/>
      <c r="I72" s="608"/>
    </row>
    <row r="73" spans="2:9" ht="15.75">
      <c r="B73" s="607" t="s">
        <v>837</v>
      </c>
      <c r="C73" s="610"/>
      <c r="D73" s="610"/>
      <c r="E73" s="610"/>
      <c r="F73" s="610"/>
      <c r="G73" s="608"/>
      <c r="H73" s="608"/>
      <c r="I73" s="608"/>
    </row>
    <row r="74" spans="2:9" ht="15.75">
      <c r="B74" s="607" t="s">
        <v>838</v>
      </c>
      <c r="C74" s="610"/>
      <c r="D74" s="610"/>
      <c r="E74" s="610"/>
      <c r="F74" s="610"/>
      <c r="G74" s="608"/>
      <c r="H74" s="608"/>
      <c r="I74" s="608"/>
    </row>
    <row r="75" spans="2:9" ht="15">
      <c r="B75" s="610"/>
      <c r="C75" s="610"/>
      <c r="D75" s="610"/>
      <c r="E75" s="610"/>
      <c r="F75" s="610"/>
      <c r="G75" s="608"/>
      <c r="H75" s="608"/>
      <c r="I75" s="608"/>
    </row>
    <row r="76" spans="2:9" ht="15.75">
      <c r="B76" s="609" t="s">
        <v>839</v>
      </c>
      <c r="C76" s="610"/>
      <c r="D76" s="610"/>
      <c r="E76" s="610"/>
      <c r="F76" s="610"/>
      <c r="G76" s="608"/>
      <c r="H76" s="608"/>
      <c r="I76" s="608"/>
    </row>
    <row r="77" spans="2:9" ht="15">
      <c r="B77" s="610"/>
      <c r="C77" s="610"/>
      <c r="D77" s="610"/>
      <c r="E77" s="610"/>
      <c r="F77" s="610"/>
      <c r="G77" s="608"/>
      <c r="H77" s="608"/>
      <c r="I77" s="608"/>
    </row>
    <row r="78" spans="2:9" ht="15.75">
      <c r="B78" s="607" t="str">
        <f>CONCATENATE("If the ",G14," municipal budget has not been published and has not been submitted to the County")</f>
        <v>If the 2014 municipal budget has not been published and has not been submitted to the County</v>
      </c>
      <c r="C78" s="610"/>
      <c r="D78" s="610"/>
      <c r="E78" s="610"/>
      <c r="F78" s="610"/>
      <c r="G78" s="608"/>
      <c r="H78" s="608"/>
      <c r="I78" s="608"/>
    </row>
    <row r="79" spans="2:9" ht="15.75">
      <c r="B79" s="607" t="s">
        <v>840</v>
      </c>
      <c r="C79" s="610"/>
      <c r="D79" s="610"/>
      <c r="E79" s="610"/>
      <c r="F79" s="610"/>
      <c r="G79" s="608"/>
      <c r="H79" s="608"/>
      <c r="I79" s="608"/>
    </row>
    <row r="80" spans="2:9" ht="15">
      <c r="B80" s="610"/>
      <c r="C80" s="610"/>
      <c r="D80" s="610"/>
      <c r="E80" s="610"/>
      <c r="F80" s="610"/>
      <c r="G80" s="608"/>
      <c r="H80" s="608"/>
      <c r="I80" s="608"/>
    </row>
    <row r="81" spans="2:9" ht="15.75">
      <c r="B81" s="609" t="s">
        <v>419</v>
      </c>
      <c r="C81" s="610"/>
      <c r="D81" s="610"/>
      <c r="E81" s="610"/>
      <c r="F81" s="610"/>
      <c r="G81" s="608"/>
      <c r="H81" s="608"/>
      <c r="I81" s="608"/>
    </row>
    <row r="82" spans="2:9" ht="15">
      <c r="B82" s="610"/>
      <c r="C82" s="610"/>
      <c r="D82" s="610"/>
      <c r="E82" s="610"/>
      <c r="F82" s="610"/>
      <c r="G82" s="608"/>
      <c r="H82" s="608"/>
      <c r="I82" s="608"/>
    </row>
    <row r="83" spans="2:9" ht="15.75">
      <c r="B83" s="607" t="s">
        <v>841</v>
      </c>
      <c r="C83" s="610"/>
      <c r="D83" s="610"/>
      <c r="E83" s="610"/>
      <c r="F83" s="610"/>
      <c r="G83" s="608"/>
      <c r="H83" s="608"/>
      <c r="I83" s="608"/>
    </row>
    <row r="84" spans="2:9" ht="15.75">
      <c r="B84" s="607" t="str">
        <f>CONCATENATE("Budget Year ",G14," is equal to or greater than that for Current Year Estimate ",E14,".")</f>
        <v>Budget Year 2014 is equal to or greater than that for Current Year Estimate 2013.</v>
      </c>
      <c r="C84" s="610"/>
      <c r="D84" s="610"/>
      <c r="E84" s="610"/>
      <c r="F84" s="610"/>
      <c r="G84" s="608"/>
      <c r="H84" s="608"/>
      <c r="I84" s="608"/>
    </row>
    <row r="85" spans="2:9" ht="15">
      <c r="B85" s="610"/>
      <c r="C85" s="610"/>
      <c r="D85" s="610"/>
      <c r="E85" s="610"/>
      <c r="F85" s="610"/>
      <c r="G85" s="608"/>
      <c r="H85" s="608"/>
      <c r="I85" s="608"/>
    </row>
    <row r="86" spans="2:9" ht="15.75">
      <c r="B86" s="607" t="s">
        <v>842</v>
      </c>
      <c r="C86" s="610"/>
      <c r="D86" s="610"/>
      <c r="E86" s="610"/>
      <c r="F86" s="610"/>
      <c r="G86" s="608"/>
      <c r="H86" s="608"/>
      <c r="I86" s="608"/>
    </row>
    <row r="87" spans="2:9" ht="15.75">
      <c r="B87" s="607" t="s">
        <v>843</v>
      </c>
      <c r="C87" s="610"/>
      <c r="D87" s="610"/>
      <c r="E87" s="610"/>
      <c r="F87" s="610"/>
      <c r="G87" s="608"/>
      <c r="H87" s="608"/>
      <c r="I87" s="608"/>
    </row>
    <row r="88" spans="2:9" ht="15.75">
      <c r="B88" s="607" t="s">
        <v>844</v>
      </c>
      <c r="C88" s="610"/>
      <c r="D88" s="610"/>
      <c r="E88" s="610"/>
      <c r="F88" s="610"/>
      <c r="G88" s="608"/>
      <c r="H88" s="608"/>
      <c r="I88" s="608"/>
    </row>
    <row r="89" spans="2:9" ht="15.75">
      <c r="B89" s="607" t="str">
        <f>CONCATENATE("purpose for the previous (",E14,") year.")</f>
        <v>purpose for the previous (2013) year.</v>
      </c>
      <c r="C89" s="610"/>
      <c r="D89" s="610"/>
      <c r="E89" s="610"/>
      <c r="F89" s="610"/>
      <c r="G89" s="608"/>
      <c r="H89" s="608"/>
      <c r="I89" s="608"/>
    </row>
    <row r="90" spans="2:9" ht="15">
      <c r="B90" s="610"/>
      <c r="C90" s="610"/>
      <c r="D90" s="610"/>
      <c r="E90" s="610"/>
      <c r="F90" s="610"/>
      <c r="G90" s="608"/>
      <c r="H90" s="608"/>
      <c r="I90" s="608"/>
    </row>
    <row r="91" spans="2:9" ht="15.75">
      <c r="B91" s="607" t="str">
        <f>CONCATENATE("Next, look to see if delinquent tax for ",G14," is budgeted. Often this line is budgeted at $0 or left")</f>
        <v>Next, look to see if delinquent tax for 2014 is budgeted. Often this line is budgeted at $0 or left</v>
      </c>
      <c r="C91" s="610"/>
      <c r="D91" s="610"/>
      <c r="E91" s="610"/>
      <c r="F91" s="610"/>
      <c r="G91" s="608"/>
      <c r="H91" s="608"/>
      <c r="I91" s="608"/>
    </row>
    <row r="92" spans="2:9" ht="15.75">
      <c r="B92" s="607" t="s">
        <v>845</v>
      </c>
      <c r="C92" s="610"/>
      <c r="D92" s="610"/>
      <c r="E92" s="610"/>
      <c r="F92" s="610"/>
      <c r="G92" s="608"/>
      <c r="H92" s="608"/>
      <c r="I92" s="608"/>
    </row>
    <row r="93" spans="2:9" ht="15.75">
      <c r="B93" s="607" t="s">
        <v>846</v>
      </c>
      <c r="C93" s="610"/>
      <c r="D93" s="610"/>
      <c r="E93" s="610"/>
      <c r="F93" s="610"/>
      <c r="G93" s="608"/>
      <c r="H93" s="608"/>
      <c r="I93" s="608"/>
    </row>
    <row r="94" spans="2:9" ht="15.75">
      <c r="B94" s="607" t="s">
        <v>847</v>
      </c>
      <c r="C94" s="610"/>
      <c r="D94" s="610"/>
      <c r="E94" s="610"/>
      <c r="F94" s="610"/>
      <c r="G94" s="608"/>
      <c r="H94" s="608"/>
      <c r="I94" s="608"/>
    </row>
    <row r="95" spans="2:9" ht="15">
      <c r="B95" s="610"/>
      <c r="C95" s="610"/>
      <c r="D95" s="610"/>
      <c r="E95" s="610"/>
      <c r="F95" s="610"/>
      <c r="G95" s="608"/>
      <c r="H95" s="608"/>
      <c r="I95" s="608"/>
    </row>
    <row r="96" spans="2:9" ht="15.75">
      <c r="B96" s="609" t="s">
        <v>848</v>
      </c>
      <c r="C96" s="610"/>
      <c r="D96" s="610"/>
      <c r="E96" s="610"/>
      <c r="F96" s="610"/>
      <c r="G96" s="608"/>
      <c r="H96" s="608"/>
      <c r="I96" s="608"/>
    </row>
    <row r="97" spans="2:9" ht="15">
      <c r="B97" s="610"/>
      <c r="C97" s="610"/>
      <c r="D97" s="610"/>
      <c r="E97" s="610"/>
      <c r="F97" s="610"/>
      <c r="G97" s="608"/>
      <c r="H97" s="608"/>
      <c r="I97" s="608"/>
    </row>
    <row r="98" spans="2:9" ht="15.75">
      <c r="B98" s="607" t="s">
        <v>849</v>
      </c>
      <c r="C98" s="610"/>
      <c r="D98" s="610"/>
      <c r="E98" s="610"/>
      <c r="F98" s="610"/>
      <c r="G98" s="608"/>
      <c r="H98" s="608"/>
      <c r="I98" s="608"/>
    </row>
    <row r="99" spans="2:9" ht="15.75">
      <c r="B99" s="607" t="s">
        <v>850</v>
      </c>
      <c r="C99" s="610"/>
      <c r="D99" s="610"/>
      <c r="E99" s="610"/>
      <c r="F99" s="610"/>
      <c r="G99" s="608"/>
      <c r="H99" s="608"/>
      <c r="I99" s="608"/>
    </row>
    <row r="100" spans="2:9" ht="15">
      <c r="B100" s="610"/>
      <c r="C100" s="610"/>
      <c r="D100" s="610"/>
      <c r="E100" s="610"/>
      <c r="F100" s="610"/>
      <c r="G100" s="608"/>
      <c r="H100" s="608"/>
      <c r="I100" s="608"/>
    </row>
    <row r="101" spans="2:9" ht="15.75">
      <c r="B101" s="607" t="s">
        <v>851</v>
      </c>
      <c r="C101" s="610"/>
      <c r="D101" s="610"/>
      <c r="E101" s="610"/>
      <c r="F101" s="610"/>
      <c r="G101" s="608"/>
      <c r="H101" s="608"/>
      <c r="I101" s="608"/>
    </row>
    <row r="102" spans="2:9" ht="15.75">
      <c r="B102" s="607" t="s">
        <v>852</v>
      </c>
      <c r="C102" s="610"/>
      <c r="D102" s="610"/>
      <c r="E102" s="610"/>
      <c r="F102" s="610"/>
      <c r="G102" s="608"/>
      <c r="H102" s="608"/>
      <c r="I102" s="608"/>
    </row>
    <row r="103" spans="2:9" ht="15.75">
      <c r="B103" s="607" t="s">
        <v>853</v>
      </c>
      <c r="C103" s="610"/>
      <c r="D103" s="610"/>
      <c r="E103" s="610"/>
      <c r="F103" s="610"/>
      <c r="G103" s="608"/>
      <c r="H103" s="608"/>
      <c r="I103" s="608"/>
    </row>
    <row r="104" spans="2:9" ht="15.75">
      <c r="B104" s="607" t="s">
        <v>854</v>
      </c>
      <c r="C104" s="610"/>
      <c r="D104" s="610"/>
      <c r="E104" s="610"/>
      <c r="F104" s="610"/>
      <c r="G104" s="608"/>
      <c r="H104" s="608"/>
      <c r="I104" s="608"/>
    </row>
    <row r="105" spans="2:9" ht="15.75">
      <c r="B105" s="740" t="s">
        <v>934</v>
      </c>
      <c r="C105" s="741"/>
      <c r="D105" s="741"/>
      <c r="E105" s="741"/>
      <c r="F105" s="741"/>
      <c r="G105" s="608"/>
      <c r="H105" s="608"/>
      <c r="I105" s="608"/>
    </row>
    <row r="108" ht="15">
      <c r="G108" s="61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75"/>
  <cols>
    <col min="1" max="1" width="64.09765625" style="0" customWidth="1"/>
  </cols>
  <sheetData>
    <row r="1" ht="16.5">
      <c r="A1" s="489" t="s">
        <v>636</v>
      </c>
    </row>
    <row r="3" ht="31.5">
      <c r="A3" s="491" t="s">
        <v>637</v>
      </c>
    </row>
    <row r="4" ht="15.75">
      <c r="A4" s="492" t="s">
        <v>638</v>
      </c>
    </row>
    <row r="7" ht="31.5">
      <c r="A7" s="491" t="s">
        <v>639</v>
      </c>
    </row>
    <row r="8" ht="15.75">
      <c r="A8" s="492" t="s">
        <v>640</v>
      </c>
    </row>
    <row r="11" ht="15.75">
      <c r="A11" s="490" t="s">
        <v>641</v>
      </c>
    </row>
    <row r="12" ht="15.75">
      <c r="A12" s="492" t="s">
        <v>642</v>
      </c>
    </row>
    <row r="15" ht="15.75">
      <c r="A15" s="490" t="s">
        <v>643</v>
      </c>
    </row>
    <row r="16" ht="15.75">
      <c r="A16" s="492" t="s">
        <v>644</v>
      </c>
    </row>
    <row r="19" ht="15.75">
      <c r="A19" s="490" t="s">
        <v>645</v>
      </c>
    </row>
    <row r="20" ht="15.75">
      <c r="A20" s="492" t="s">
        <v>646</v>
      </c>
    </row>
    <row r="23" ht="15.75">
      <c r="A23" s="490" t="s">
        <v>647</v>
      </c>
    </row>
    <row r="24" ht="15.75">
      <c r="A24" s="492" t="s">
        <v>648</v>
      </c>
    </row>
    <row r="27" ht="15.75">
      <c r="A27" s="490" t="s">
        <v>649</v>
      </c>
    </row>
    <row r="28" ht="15.75">
      <c r="A28" s="492" t="s">
        <v>650</v>
      </c>
    </row>
    <row r="31" ht="15.75">
      <c r="A31" s="490" t="s">
        <v>651</v>
      </c>
    </row>
    <row r="32" ht="15.75">
      <c r="A32" s="492" t="s">
        <v>652</v>
      </c>
    </row>
    <row r="35" ht="15.75">
      <c r="A35" s="490" t="s">
        <v>653</v>
      </c>
    </row>
    <row r="36" ht="15.75">
      <c r="A36" s="492" t="s">
        <v>654</v>
      </c>
    </row>
    <row r="39" ht="15.75">
      <c r="A39" s="490" t="s">
        <v>655</v>
      </c>
    </row>
    <row r="40" ht="15.75">
      <c r="A40" s="492" t="s">
        <v>656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59" t="s">
        <v>935</v>
      </c>
    </row>
    <row r="2" ht="15.75">
      <c r="A2" s="742" t="s">
        <v>936</v>
      </c>
    </row>
    <row r="4" ht="15.75">
      <c r="A4" s="559" t="s">
        <v>931</v>
      </c>
    </row>
    <row r="5" ht="15.75">
      <c r="A5" s="739" t="s">
        <v>902</v>
      </c>
    </row>
    <row r="6" ht="15.75">
      <c r="A6" s="739" t="s">
        <v>903</v>
      </c>
    </row>
    <row r="7" ht="15.75">
      <c r="A7" s="739" t="s">
        <v>904</v>
      </c>
    </row>
    <row r="8" ht="15.75">
      <c r="A8" s="739" t="s">
        <v>905</v>
      </c>
    </row>
    <row r="9" ht="15.75">
      <c r="A9" s="739" t="s">
        <v>906</v>
      </c>
    </row>
    <row r="10" ht="15.75">
      <c r="A10" s="739" t="s">
        <v>907</v>
      </c>
    </row>
    <row r="11" ht="15.75">
      <c r="A11" s="739" t="s">
        <v>908</v>
      </c>
    </row>
    <row r="12" ht="15.75">
      <c r="A12" s="739" t="s">
        <v>909</v>
      </c>
    </row>
    <row r="13" ht="15.75">
      <c r="A13" s="739" t="s">
        <v>910</v>
      </c>
    </row>
    <row r="14" ht="15.75">
      <c r="A14" s="739" t="s">
        <v>911</v>
      </c>
    </row>
    <row r="15" ht="15.75">
      <c r="A15" s="739" t="s">
        <v>912</v>
      </c>
    </row>
    <row r="16" ht="15.75">
      <c r="A16" s="739" t="s">
        <v>913</v>
      </c>
    </row>
    <row r="17" ht="15.75">
      <c r="A17" s="739" t="s">
        <v>914</v>
      </c>
    </row>
    <row r="18" ht="15.75">
      <c r="A18" s="739" t="s">
        <v>915</v>
      </c>
    </row>
    <row r="19" ht="15.75">
      <c r="A19" s="739" t="s">
        <v>916</v>
      </c>
    </row>
    <row r="20" ht="15.75">
      <c r="A20" s="739" t="s">
        <v>917</v>
      </c>
    </row>
    <row r="21" ht="15.75">
      <c r="A21" s="739" t="s">
        <v>918</v>
      </c>
    </row>
    <row r="22" ht="15.75">
      <c r="A22" s="739" t="s">
        <v>919</v>
      </c>
    </row>
    <row r="23" ht="15.75">
      <c r="A23" s="739" t="s">
        <v>920</v>
      </c>
    </row>
    <row r="24" ht="15.75">
      <c r="A24" s="739" t="s">
        <v>921</v>
      </c>
    </row>
    <row r="25" ht="15.75">
      <c r="A25" s="739" t="s">
        <v>922</v>
      </c>
    </row>
    <row r="26" ht="15.75">
      <c r="A26" s="739" t="s">
        <v>923</v>
      </c>
    </row>
    <row r="27" ht="15.75">
      <c r="A27" s="739" t="s">
        <v>924</v>
      </c>
    </row>
    <row r="28" ht="15.75">
      <c r="A28" s="739" t="s">
        <v>925</v>
      </c>
    </row>
    <row r="29" ht="15.75">
      <c r="A29" s="739" t="s">
        <v>926</v>
      </c>
    </row>
    <row r="30" ht="15.75">
      <c r="A30" s="739" t="s">
        <v>927</v>
      </c>
    </row>
    <row r="31" ht="15.75">
      <c r="A31" s="739" t="s">
        <v>928</v>
      </c>
    </row>
    <row r="32" ht="15.75">
      <c r="A32" s="739" t="s">
        <v>929</v>
      </c>
    </row>
    <row r="33" ht="15.75">
      <c r="A33" s="739" t="s">
        <v>930</v>
      </c>
    </row>
    <row r="36" ht="15.75">
      <c r="A36" s="559" t="s">
        <v>770</v>
      </c>
    </row>
    <row r="37" ht="15.75">
      <c r="A37" s="111" t="s">
        <v>771</v>
      </c>
    </row>
    <row r="38" ht="15.75">
      <c r="A38" s="111" t="s">
        <v>772</v>
      </c>
    </row>
    <row r="40" ht="15.75">
      <c r="A40" s="559" t="s">
        <v>767</v>
      </c>
    </row>
    <row r="41" ht="15.75">
      <c r="A41" s="540" t="s">
        <v>768</v>
      </c>
    </row>
    <row r="43" ht="15.75">
      <c r="A43" s="386" t="s">
        <v>740</v>
      </c>
    </row>
    <row r="44" ht="15.75">
      <c r="A44" s="540" t="s">
        <v>741</v>
      </c>
    </row>
    <row r="45" ht="15.75">
      <c r="A45" s="540" t="s">
        <v>742</v>
      </c>
    </row>
    <row r="46" ht="31.5">
      <c r="A46" s="539" t="s">
        <v>743</v>
      </c>
    </row>
    <row r="47" ht="15.75">
      <c r="A47" s="540" t="s">
        <v>744</v>
      </c>
    </row>
    <row r="48" ht="15.75">
      <c r="A48" s="540" t="s">
        <v>745</v>
      </c>
    </row>
    <row r="49" ht="15.75">
      <c r="A49" s="540" t="s">
        <v>746</v>
      </c>
    </row>
    <row r="50" ht="15.75">
      <c r="A50" s="540" t="s">
        <v>747</v>
      </c>
    </row>
    <row r="51" ht="15.75">
      <c r="A51" s="540" t="s">
        <v>748</v>
      </c>
    </row>
    <row r="52" ht="15.75">
      <c r="A52" s="540" t="s">
        <v>749</v>
      </c>
    </row>
    <row r="53" ht="15.75">
      <c r="A53" s="540" t="s">
        <v>750</v>
      </c>
    </row>
    <row r="54" ht="15.75">
      <c r="A54" s="540" t="s">
        <v>751</v>
      </c>
    </row>
    <row r="55" ht="15.75">
      <c r="A55" s="540" t="s">
        <v>752</v>
      </c>
    </row>
    <row r="56" ht="15.75">
      <c r="A56" s="540" t="s">
        <v>753</v>
      </c>
    </row>
    <row r="57" ht="15.75">
      <c r="A57" s="540" t="s">
        <v>754</v>
      </c>
    </row>
    <row r="58" ht="15.75">
      <c r="A58" s="540" t="s">
        <v>755</v>
      </c>
    </row>
    <row r="59" ht="15.75">
      <c r="A59" s="540" t="s">
        <v>756</v>
      </c>
    </row>
    <row r="60" ht="15.75">
      <c r="A60" s="540" t="s">
        <v>757</v>
      </c>
    </row>
    <row r="61" ht="15.75">
      <c r="A61" s="540" t="s">
        <v>758</v>
      </c>
    </row>
    <row r="62" ht="15.75">
      <c r="A62" s="540" t="s">
        <v>759</v>
      </c>
    </row>
    <row r="63" ht="15.75">
      <c r="A63" s="540" t="s">
        <v>760</v>
      </c>
    </row>
    <row r="64" ht="15.75">
      <c r="A64" s="540" t="s">
        <v>761</v>
      </c>
    </row>
    <row r="65" ht="15.75">
      <c r="A65" s="540" t="s">
        <v>762</v>
      </c>
    </row>
    <row r="66" ht="15.75">
      <c r="A66" s="111" t="s">
        <v>766</v>
      </c>
    </row>
    <row r="68" ht="15.75">
      <c r="A68" s="386" t="s">
        <v>634</v>
      </c>
    </row>
    <row r="69" ht="36" customHeight="1">
      <c r="A69" s="213" t="s">
        <v>635</v>
      </c>
    </row>
    <row r="71" ht="15.75">
      <c r="A71" s="386" t="s">
        <v>630</v>
      </c>
    </row>
    <row r="72" ht="15.75">
      <c r="A72" s="111" t="s">
        <v>631</v>
      </c>
    </row>
    <row r="73" ht="15.75">
      <c r="A73" s="111" t="s">
        <v>632</v>
      </c>
    </row>
    <row r="74" ht="15.75">
      <c r="A74" s="111" t="s">
        <v>633</v>
      </c>
    </row>
    <row r="76" ht="15.75">
      <c r="A76" s="386" t="s">
        <v>619</v>
      </c>
    </row>
    <row r="77" ht="15.75">
      <c r="A77" s="111" t="s">
        <v>629</v>
      </c>
    </row>
    <row r="79" ht="15.75">
      <c r="A79" s="385" t="s">
        <v>382</v>
      </c>
    </row>
    <row r="80" ht="15.75">
      <c r="A80" s="111" t="s">
        <v>383</v>
      </c>
    </row>
    <row r="81" ht="15.75">
      <c r="A81" s="111" t="s">
        <v>384</v>
      </c>
    </row>
    <row r="82" ht="15.75">
      <c r="A82" s="111" t="s">
        <v>405</v>
      </c>
    </row>
    <row r="83" ht="15.75">
      <c r="A83" s="111" t="s">
        <v>406</v>
      </c>
    </row>
    <row r="84" ht="15.75">
      <c r="A84" s="111" t="s">
        <v>407</v>
      </c>
    </row>
    <row r="85" ht="15.75">
      <c r="A85" s="111" t="s">
        <v>617</v>
      </c>
    </row>
    <row r="87" ht="15.75">
      <c r="A87" s="385" t="s">
        <v>322</v>
      </c>
    </row>
    <row r="88" ht="15.75">
      <c r="A88" s="111" t="s">
        <v>323</v>
      </c>
    </row>
    <row r="89" ht="15.75">
      <c r="A89" s="111" t="s">
        <v>324</v>
      </c>
    </row>
    <row r="90" ht="15.75">
      <c r="A90" s="111" t="s">
        <v>325</v>
      </c>
    </row>
    <row r="91" ht="15.75">
      <c r="A91" s="111" t="s">
        <v>326</v>
      </c>
    </row>
    <row r="92" ht="15.75">
      <c r="A92" s="111" t="s">
        <v>327</v>
      </c>
    </row>
    <row r="93" ht="15.75">
      <c r="A93" s="111" t="s">
        <v>328</v>
      </c>
    </row>
    <row r="94" ht="15.75">
      <c r="A94" s="111" t="s">
        <v>329</v>
      </c>
    </row>
    <row r="95" ht="15.75">
      <c r="A95" s="111" t="s">
        <v>331</v>
      </c>
    </row>
    <row r="96" ht="15.75">
      <c r="A96" s="111" t="s">
        <v>332</v>
      </c>
    </row>
    <row r="97" ht="15.75">
      <c r="A97" s="111" t="s">
        <v>348</v>
      </c>
    </row>
    <row r="98" ht="15.75">
      <c r="A98" s="111" t="s">
        <v>349</v>
      </c>
    </row>
    <row r="99" ht="15.75">
      <c r="A99" s="111" t="s">
        <v>350</v>
      </c>
    </row>
    <row r="100" ht="15.75">
      <c r="A100" s="111" t="s">
        <v>351</v>
      </c>
    </row>
    <row r="101" ht="15.75">
      <c r="A101" s="111" t="s">
        <v>365</v>
      </c>
    </row>
    <row r="102" ht="15.75">
      <c r="A102" s="111" t="s">
        <v>366</v>
      </c>
    </row>
    <row r="103" ht="15.75">
      <c r="A103" s="111" t="s">
        <v>378</v>
      </c>
    </row>
    <row r="104" ht="15.75">
      <c r="A104" s="363" t="s">
        <v>379</v>
      </c>
    </row>
    <row r="106" ht="15.75">
      <c r="A106" s="385" t="s">
        <v>317</v>
      </c>
    </row>
    <row r="107" ht="15.75">
      <c r="A107" s="111" t="s">
        <v>318</v>
      </c>
    </row>
    <row r="109" ht="15.75">
      <c r="A109" s="385" t="s">
        <v>315</v>
      </c>
    </row>
    <row r="110" ht="15.75">
      <c r="A110" s="111" t="s">
        <v>316</v>
      </c>
    </row>
    <row r="112" ht="15.75">
      <c r="A112" s="385" t="s">
        <v>311</v>
      </c>
    </row>
    <row r="113" ht="15.75">
      <c r="A113" s="111" t="s">
        <v>312</v>
      </c>
    </row>
    <row r="114" ht="15.75">
      <c r="A114" s="111" t="s">
        <v>313</v>
      </c>
    </row>
    <row r="115" ht="15.75">
      <c r="A115" s="111" t="s">
        <v>314</v>
      </c>
    </row>
    <row r="117" ht="15.75">
      <c r="A117" s="385" t="s">
        <v>307</v>
      </c>
    </row>
    <row r="118" ht="15.75">
      <c r="A118" s="111" t="s">
        <v>308</v>
      </c>
    </row>
    <row r="119" ht="15.75">
      <c r="A119" s="111" t="s">
        <v>309</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330</v>
      </c>
    </row>
    <row r="2" ht="15.75">
      <c r="A2" s="111"/>
    </row>
    <row r="3" ht="15.75">
      <c r="A3" s="111"/>
    </row>
    <row r="4" ht="52.5" customHeight="1">
      <c r="A4" s="215" t="s">
        <v>367</v>
      </c>
    </row>
    <row r="5" ht="15.75">
      <c r="A5" s="111"/>
    </row>
    <row r="6" ht="15.75">
      <c r="A6" s="111"/>
    </row>
    <row r="7" ht="70.5" customHeight="1">
      <c r="A7" s="215" t="s">
        <v>368</v>
      </c>
    </row>
    <row r="8" ht="15.75">
      <c r="A8" s="358"/>
    </row>
    <row r="9" ht="15.75">
      <c r="A9" s="111"/>
    </row>
    <row r="10" ht="56.25" customHeight="1">
      <c r="A10" s="215" t="s">
        <v>369</v>
      </c>
    </row>
    <row r="11" ht="15.75">
      <c r="A11" s="358"/>
    </row>
    <row r="12" ht="15.75">
      <c r="A12" s="358"/>
    </row>
    <row r="13" ht="57.75" customHeight="1">
      <c r="A13" s="215" t="s">
        <v>370</v>
      </c>
    </row>
    <row r="14" ht="15.75">
      <c r="A14" s="358"/>
    </row>
    <row r="15" ht="15.75">
      <c r="A15" s="358"/>
    </row>
    <row r="16" ht="87.75" customHeight="1">
      <c r="A16" s="215" t="s">
        <v>371</v>
      </c>
    </row>
    <row r="17" ht="15.75">
      <c r="A17" s="358"/>
    </row>
    <row r="18" ht="15.75">
      <c r="A18" s="111"/>
    </row>
    <row r="19" ht="54.75" customHeight="1">
      <c r="A19" s="215" t="s">
        <v>372</v>
      </c>
    </row>
    <row r="20" ht="15.75">
      <c r="A20" s="111"/>
    </row>
    <row r="21" ht="15.75">
      <c r="A21" s="111"/>
    </row>
    <row r="22" ht="69" customHeight="1">
      <c r="A22" s="215" t="s">
        <v>373</v>
      </c>
    </row>
    <row r="23" ht="15.75">
      <c r="A23" s="111"/>
    </row>
    <row r="24" ht="15.75">
      <c r="A24" s="359"/>
    </row>
    <row r="25" ht="47.25" customHeight="1">
      <c r="A25" s="360" t="s">
        <v>374</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8" t="s">
        <v>784</v>
      </c>
    </row>
    <row r="2" spans="1:10" ht="31.5" customHeight="1">
      <c r="A2" s="764" t="s">
        <v>390</v>
      </c>
      <c r="B2" s="765"/>
      <c r="C2" s="765"/>
      <c r="D2" s="765"/>
      <c r="E2" s="765"/>
      <c r="F2" s="765"/>
      <c r="J2" s="568" t="s">
        <v>785</v>
      </c>
    </row>
    <row r="3" ht="15.75">
      <c r="J3" s="568" t="s">
        <v>786</v>
      </c>
    </row>
    <row r="4" spans="1:10" ht="15.75">
      <c r="A4" s="1" t="s">
        <v>796</v>
      </c>
      <c r="B4" s="569" t="s">
        <v>959</v>
      </c>
      <c r="J4" s="568" t="s">
        <v>787</v>
      </c>
    </row>
    <row r="5" spans="1:10" ht="15.75">
      <c r="A5" s="1"/>
      <c r="B5" s="570"/>
      <c r="J5" s="568" t="s">
        <v>788</v>
      </c>
    </row>
    <row r="6" spans="1:10" ht="15.75">
      <c r="A6" s="1" t="s">
        <v>797</v>
      </c>
      <c r="B6" s="569" t="s">
        <v>960</v>
      </c>
      <c r="J6" s="568" t="s">
        <v>789</v>
      </c>
    </row>
    <row r="7" spans="4:10" ht="15.75">
      <c r="D7" s="367"/>
      <c r="J7" s="568" t="s">
        <v>790</v>
      </c>
    </row>
    <row r="8" spans="1:10" ht="15.75">
      <c r="A8" s="212" t="s">
        <v>385</v>
      </c>
      <c r="B8" s="368" t="s">
        <v>962</v>
      </c>
      <c r="C8" s="369"/>
      <c r="D8" s="212" t="s">
        <v>783</v>
      </c>
      <c r="J8" s="568" t="s">
        <v>791</v>
      </c>
    </row>
    <row r="9" spans="1:10" ht="15.75">
      <c r="A9" s="212"/>
      <c r="B9" s="370"/>
      <c r="C9" s="371"/>
      <c r="D9" s="571" t="str">
        <f>IF(B8="","",CONCATENATE("Latest date for notice to be published in your newspaper: ",G19," ",G23,", ",G24))</f>
        <v>Latest date for notice to be published in your newspaper: August 2, 2013</v>
      </c>
      <c r="J9" s="568" t="s">
        <v>792</v>
      </c>
    </row>
    <row r="10" spans="1:10" ht="15.75">
      <c r="A10" s="212" t="s">
        <v>386</v>
      </c>
      <c r="B10" s="368" t="s">
        <v>957</v>
      </c>
      <c r="C10" s="372"/>
      <c r="D10" s="212"/>
      <c r="J10" s="568" t="s">
        <v>793</v>
      </c>
    </row>
    <row r="11" spans="1:10" ht="15.75">
      <c r="A11" s="212"/>
      <c r="B11" s="212"/>
      <c r="C11" s="212"/>
      <c r="D11" s="212"/>
      <c r="J11" s="568" t="s">
        <v>794</v>
      </c>
    </row>
    <row r="12" spans="1:10" ht="15.75">
      <c r="A12" s="212" t="s">
        <v>387</v>
      </c>
      <c r="B12" s="373" t="s">
        <v>958</v>
      </c>
      <c r="C12" s="373"/>
      <c r="D12" s="373"/>
      <c r="E12" s="374"/>
      <c r="J12" s="568" t="s">
        <v>795</v>
      </c>
    </row>
    <row r="13" spans="1:4" ht="15.75">
      <c r="A13" s="212"/>
      <c r="B13" s="212"/>
      <c r="C13" s="212"/>
      <c r="D13" s="212"/>
    </row>
    <row r="14" spans="1:4" ht="15.75">
      <c r="A14" s="212"/>
      <c r="B14" s="212"/>
      <c r="C14" s="212"/>
      <c r="D14" s="212"/>
    </row>
    <row r="15" spans="1:5" ht="15.75">
      <c r="A15" s="212" t="s">
        <v>388</v>
      </c>
      <c r="B15" s="373" t="s">
        <v>954</v>
      </c>
      <c r="C15" s="373"/>
      <c r="D15" s="373"/>
      <c r="E15" s="374"/>
    </row>
    <row r="18" spans="1:5" ht="15.75">
      <c r="A18" s="766" t="s">
        <v>391</v>
      </c>
      <c r="B18" s="766"/>
      <c r="C18" s="212"/>
      <c r="D18" s="212"/>
      <c r="E18" s="212"/>
    </row>
    <row r="19" spans="1:7" ht="15.75">
      <c r="A19" s="212"/>
      <c r="B19" s="212"/>
      <c r="C19" s="212"/>
      <c r="D19" s="212"/>
      <c r="E19" s="212"/>
      <c r="G19" s="568" t="str">
        <f ca="1">IF(B8="","",INDIRECT(G20))</f>
        <v>August</v>
      </c>
    </row>
    <row r="20" spans="1:7" ht="15.75">
      <c r="A20" s="212" t="s">
        <v>385</v>
      </c>
      <c r="B20" s="370" t="s">
        <v>389</v>
      </c>
      <c r="C20" s="212"/>
      <c r="D20" s="212"/>
      <c r="E20" s="212"/>
      <c r="G20" s="572" t="str">
        <f>IF(B8="","",CONCATENATE("J",G22))</f>
        <v>J8</v>
      </c>
    </row>
    <row r="21" spans="1:7" ht="15.75">
      <c r="A21" s="212"/>
      <c r="B21" s="212"/>
      <c r="C21" s="212"/>
      <c r="D21" s="212"/>
      <c r="E21" s="212"/>
      <c r="G21" s="573">
        <f>B8-10</f>
        <v>41488</v>
      </c>
    </row>
    <row r="22" spans="1:7" ht="15.75">
      <c r="A22" s="212" t="s">
        <v>386</v>
      </c>
      <c r="B22" s="212" t="s">
        <v>392</v>
      </c>
      <c r="C22" s="212"/>
      <c r="D22" s="212"/>
      <c r="E22" s="212"/>
      <c r="G22" s="574">
        <f>IF(B8="","",MONTH(G21))</f>
        <v>8</v>
      </c>
    </row>
    <row r="23" spans="1:7" ht="15.75">
      <c r="A23" s="212"/>
      <c r="B23" s="212"/>
      <c r="C23" s="212"/>
      <c r="D23" s="212"/>
      <c r="E23" s="212"/>
      <c r="G23" s="575">
        <f>IF(B8="","",DAY(G21))</f>
        <v>2</v>
      </c>
    </row>
    <row r="24" spans="1:7" ht="15.75">
      <c r="A24" s="212" t="s">
        <v>387</v>
      </c>
      <c r="B24" s="212" t="s">
        <v>393</v>
      </c>
      <c r="C24" s="212"/>
      <c r="D24" s="212"/>
      <c r="E24" s="212"/>
      <c r="G24" s="576">
        <f>IF(B8="","",YEAR(G21))</f>
        <v>2013</v>
      </c>
    </row>
    <row r="25" spans="1:5" ht="15.75">
      <c r="A25" s="212"/>
      <c r="B25" s="212"/>
      <c r="C25" s="212"/>
      <c r="D25" s="212"/>
      <c r="E25" s="212"/>
    </row>
    <row r="26" spans="1:5" ht="15.75">
      <c r="A26" s="212" t="s">
        <v>388</v>
      </c>
      <c r="B26" s="212" t="s">
        <v>394</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28" sqref="A28"/>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78" t="s">
        <v>19</v>
      </c>
      <c r="B1" s="778"/>
      <c r="C1" s="778"/>
      <c r="D1" s="778"/>
      <c r="E1" s="778"/>
      <c r="F1" s="778"/>
      <c r="G1" s="65">
        <f>inputPrYr!D9</f>
        <v>2014</v>
      </c>
    </row>
    <row r="2" spans="2:6" s="65" customFormat="1" ht="15.75">
      <c r="B2" s="66"/>
      <c r="C2" s="66"/>
      <c r="D2" s="66"/>
      <c r="E2" s="66"/>
      <c r="F2" s="67"/>
    </row>
    <row r="3" spans="1:6" s="65" customFormat="1" ht="15.75">
      <c r="A3" s="787" t="str">
        <f>CONCATENATE("To the Clerk of ",inputPrYr!D4,", State of Kansas")</f>
        <v>To the Clerk of Lyon County, State of Kansas</v>
      </c>
      <c r="B3" s="774"/>
      <c r="C3" s="774"/>
      <c r="D3" s="774"/>
      <c r="E3" s="774"/>
      <c r="F3" s="774"/>
    </row>
    <row r="4" spans="1:6" s="65" customFormat="1" ht="15.75">
      <c r="A4" s="787" t="s">
        <v>100</v>
      </c>
      <c r="B4" s="789"/>
      <c r="C4" s="789"/>
      <c r="D4" s="789"/>
      <c r="E4" s="789"/>
      <c r="F4" s="789"/>
    </row>
    <row r="5" spans="1:6" s="65" customFormat="1" ht="15.75">
      <c r="A5" s="790" t="str">
        <f>inputPrYr!D3</f>
        <v>Center Township</v>
      </c>
      <c r="B5" s="789"/>
      <c r="C5" s="789"/>
      <c r="D5" s="789"/>
      <c r="E5" s="789"/>
      <c r="F5" s="789"/>
    </row>
    <row r="6" spans="1:6" s="65" customFormat="1" ht="15.75">
      <c r="A6" s="785" t="s">
        <v>98</v>
      </c>
      <c r="B6" s="786"/>
      <c r="C6" s="786"/>
      <c r="D6" s="786"/>
      <c r="E6" s="786"/>
      <c r="F6" s="786"/>
    </row>
    <row r="7" spans="1:6" s="65" customFormat="1" ht="15.75" customHeight="1">
      <c r="A7" s="787" t="s">
        <v>99</v>
      </c>
      <c r="B7" s="788"/>
      <c r="C7" s="788"/>
      <c r="D7" s="788"/>
      <c r="E7" s="788"/>
      <c r="F7" s="788"/>
    </row>
    <row r="8" spans="1:6" s="65" customFormat="1" ht="15.75" customHeight="1">
      <c r="A8" s="787" t="str">
        <f>CONCATENATE("maximum expenditures for the various funds for the year ",G1,"; and (3) the")</f>
        <v>maximum expenditures for the various funds for the year 2014; and (3) the</v>
      </c>
      <c r="B8" s="789"/>
      <c r="C8" s="789"/>
      <c r="D8" s="789"/>
      <c r="E8" s="789"/>
      <c r="F8" s="789"/>
    </row>
    <row r="9" spans="1:6" s="65" customFormat="1" ht="15.75" customHeight="1">
      <c r="A9" s="787" t="str">
        <f>CONCATENATE("Amount(s) of ",G1-1," Ad Valorem Tax are within statutory limitations for the ",G1," Budget.")</f>
        <v>Amount(s) of 2013 Ad Valorem Tax are within statutory limitations for the 2014 Budget.</v>
      </c>
      <c r="B9" s="789"/>
      <c r="C9" s="789"/>
      <c r="D9" s="789"/>
      <c r="E9" s="789"/>
      <c r="F9" s="789"/>
    </row>
    <row r="10" spans="4:6" s="65" customFormat="1" ht="15.75" customHeight="1">
      <c r="D10" s="69"/>
      <c r="E10" s="69"/>
      <c r="F10" s="69"/>
    </row>
    <row r="11" spans="3:6" s="65" customFormat="1" ht="15.75">
      <c r="C11" s="70"/>
      <c r="D11" s="782" t="str">
        <f>CONCATENATE("",G1," Adopted Budget")</f>
        <v>2014 Adopted Budget</v>
      </c>
      <c r="E11" s="783"/>
      <c r="F11" s="784"/>
    </row>
    <row r="12" spans="1:6" s="65" customFormat="1" ht="15.75">
      <c r="A12" s="71"/>
      <c r="C12" s="69"/>
      <c r="D12" s="72" t="s">
        <v>243</v>
      </c>
      <c r="E12" s="779" t="str">
        <f>CONCATENATE("Amount of ",G1-1," Ad Valorem Tax")</f>
        <v>Amount of 2013 Ad Valorem Tax</v>
      </c>
      <c r="F12" s="73" t="s">
        <v>244</v>
      </c>
    </row>
    <row r="13" spans="3:6" s="65" customFormat="1" ht="15.75">
      <c r="C13" s="73" t="s">
        <v>245</v>
      </c>
      <c r="D13" s="498" t="s">
        <v>173</v>
      </c>
      <c r="E13" s="780"/>
      <c r="F13" s="75" t="s">
        <v>246</v>
      </c>
    </row>
    <row r="14" spans="1:6" s="65" customFormat="1" ht="15.75">
      <c r="A14" s="76" t="s">
        <v>247</v>
      </c>
      <c r="B14" s="77"/>
      <c r="C14" s="78" t="s">
        <v>248</v>
      </c>
      <c r="D14" s="499" t="s">
        <v>726</v>
      </c>
      <c r="E14" s="781"/>
      <c r="F14" s="78" t="s">
        <v>250</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773</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IF(gen!C52&gt;0,gen!C52,"  ")</f>
        <v>6</v>
      </c>
      <c r="D21" s="577">
        <f>IF(gen!$E$41&lt;&gt;0,gen!$E$41,"  ")</f>
        <v>6324</v>
      </c>
      <c r="E21" s="577">
        <f>IF(gen!$E$48&lt;&gt;0,gen!$E$48,0)</f>
        <v>3592</v>
      </c>
      <c r="F21" s="578" t="str">
        <f>IF(AND(gen!E48=0,$B$47&gt;=0)," ",IF(AND(E21&gt;0,$B$47=0)," ",IF(AND(E21&gt;0,$B$47&gt;0),ROUND(E21/$B$47*1000,3))))</f>
        <v> </v>
      </c>
    </row>
    <row r="22" spans="1:6" s="65" customFormat="1" ht="15.75">
      <c r="A22" s="89" t="s">
        <v>310</v>
      </c>
      <c r="B22" s="90" t="str">
        <f>IF(inputPrYr!C21&gt;0,inputPrYr!C21,"")</f>
        <v>10-113</v>
      </c>
      <c r="C22" s="91" t="str">
        <f>IF(Library!C73&gt;0,Library!C73,"  ")</f>
        <v>  </v>
      </c>
      <c r="D22" s="577" t="str">
        <f>IF(Library!E26&lt;&gt;0,Library!E26,"  ")</f>
        <v>  </v>
      </c>
      <c r="E22" s="577" t="str">
        <f>IF(Library!E33&lt;&gt;0,Library!E33,"  ")</f>
        <v>  </v>
      </c>
      <c r="F22" s="578" t="str">
        <f>IF(AND(Library!E33=0,$B$47&gt;=0)," ",IF(AND(E22&gt;0,$B$47=0)," ",IF(AND(E22&gt;0,$B$47&gt;0),ROUND(E22/$B$47*1000,3))))</f>
        <v> </v>
      </c>
    </row>
    <row r="23" spans="1:6" s="65" customFormat="1" ht="15.75">
      <c r="A23" s="89" t="str">
        <f>IF(inputPrYr!$B22&gt;"  ",inputPrYr!$B22,"  ")</f>
        <v>Library</v>
      </c>
      <c r="B23" s="90" t="str">
        <f>IF(inputPrYr!C22&gt;0,inputPrYr!C22,"")</f>
        <v>12-1220</v>
      </c>
      <c r="C23" s="91" t="str">
        <f>IF(Library!C73&gt;0,Library!C73,"  ")</f>
        <v>  </v>
      </c>
      <c r="D23" s="577" t="str">
        <f>IF(Library!E63&lt;&gt;0,Library!E63,"  ")</f>
        <v>  </v>
      </c>
      <c r="E23" s="577" t="str">
        <f>IF(Library!E70&lt;&gt;0,Library!E70,"  ")</f>
        <v>  </v>
      </c>
      <c r="F23" s="578" t="str">
        <f>IF(AND(Library!E70=0,$B$47&gt;=0)," ",IF(AND(E23&gt;0,$B$47=0)," ",IF(AND(E23&gt;0,$B$47&gt;0),ROUND(E23/$B$47*1000,3))))</f>
        <v> </v>
      </c>
    </row>
    <row r="24" spans="1:6" s="65" customFormat="1" ht="15.75">
      <c r="A24" s="89" t="str">
        <f>IF(inputPrYr!$B23&gt;"  ",inputPrYr!$B23,"  ")</f>
        <v>Road</v>
      </c>
      <c r="B24" s="90" t="str">
        <f>IF(inputPrYr!C23&gt;0,inputPrYr!C23,"  ")</f>
        <v>68-518c</v>
      </c>
      <c r="C24" s="91" t="str">
        <f>IF(road!C66&gt;0,road!C66,"  ")</f>
        <v>  </v>
      </c>
      <c r="D24" s="577" t="str">
        <f>IF(road!$E$42&lt;&gt;0,road!$E$42,"  ")</f>
        <v>  </v>
      </c>
      <c r="E24" s="577" t="str">
        <f>IF(road!$E$49&lt;&gt;0,road!$E$49,"  ")</f>
        <v>  </v>
      </c>
      <c r="F24" s="578" t="str">
        <f>IF(AND(road!E49=0,$B$44&gt;=0)," ",IF(AND(E24&gt;0,$B$44=0)," ",IF(AND(E24&gt;0,$B$44&gt;0),ROUND(E24/$B$44*1000,3))))</f>
        <v> </v>
      </c>
    </row>
    <row r="25" spans="1:6" s="65" customFormat="1" ht="15.75">
      <c r="A25" s="89" t="str">
        <f>IF(inputPrYr!$B24&gt;"  ",inputPrYr!$B24,"  ")</f>
        <v>Special Road</v>
      </c>
      <c r="B25" s="90" t="str">
        <f>IF(inputPrYr!C24&gt;0,inputPrYr!C24,"  ")</f>
        <v>80-1413</v>
      </c>
      <c r="C25" s="91" t="str">
        <f>IF(Noxious!C79&gt;0,Noxious!C79,"  ")</f>
        <v>  </v>
      </c>
      <c r="D25" s="577" t="str">
        <f>IF(Noxious!$E$33&lt;&gt;0,Noxious!$E$33,"  ")</f>
        <v>  </v>
      </c>
      <c r="E25" s="577" t="str">
        <f>IF(Noxious!$E$40&lt;&gt;0,Noxious!$E$40,"  ")</f>
        <v>  </v>
      </c>
      <c r="F25" s="578" t="str">
        <f>IF(AND(Noxious!E40=0,$B$44&gt;=0)," ",IF(AND(E25&gt;0,$B$44=0)," ",IF(AND(E25&gt;0,$B$44&gt;0),ROUND(E25/$B$44*1000,3))))</f>
        <v> </v>
      </c>
    </row>
    <row r="26" spans="1:6" s="65" customFormat="1" ht="15.75">
      <c r="A26" s="89" t="str">
        <f>IF(inputPrYr!$B25&gt;"  ",inputPrYr!$B25,"  ")</f>
        <v>Noxious Weed</v>
      </c>
      <c r="B26" s="90" t="str">
        <f>IF(inputPrYr!C25&gt;0,inputPrYr!C25,"  ")</f>
        <v>2-1318</v>
      </c>
      <c r="C26" s="91" t="str">
        <f>IF(Noxious!C79&gt;0,Noxious!C79,"  ")</f>
        <v>  </v>
      </c>
      <c r="D26" s="577" t="str">
        <f>IF(Noxious!$E$71&lt;&gt;0,Noxious!$E$71,"  ")</f>
        <v>  </v>
      </c>
      <c r="E26" s="577" t="str">
        <f>IF(Noxious!$E$78&lt;&gt;0,Noxious!$E$78,"  ")</f>
        <v>  </v>
      </c>
      <c r="F26" s="578" t="str">
        <f>IF(AND(Noxious!E78=0,$B$44&gt;=0)," ",IF(AND(E26&gt;0,$B$44=0)," ",IF(AND(E26&gt;0,$B$44&gt;0),ROUND(E26/$B$44*1000,3))))</f>
        <v> </v>
      </c>
    </row>
    <row r="27" spans="1:6" s="65" customFormat="1" ht="15.75">
      <c r="A27" s="89" t="str">
        <f>IF(inputPrYr!$B26&gt;"  ",inputPrYr!$B26,"  ")</f>
        <v>Fire Protection</v>
      </c>
      <c r="B27" s="90" t="str">
        <f>IF(inputPrYr!C26&gt;0,inputPrYr!C26,"  ")</f>
        <v>80-1503</v>
      </c>
      <c r="C27" s="91" t="str">
        <f>IF(Cemerty!C73&gt;0,Cemerty!C73,"  ")</f>
        <v>  </v>
      </c>
      <c r="D27" s="577" t="str">
        <f>IF(Cemerty!$E$27&lt;&gt;0,Cemerty!$E$27,"  ")</f>
        <v>  </v>
      </c>
      <c r="E27" s="577" t="str">
        <f>IF(Cemerty!$E$34&lt;&gt;0,Cemerty!$E$34,"  ")</f>
        <v>  </v>
      </c>
      <c r="F27" s="578" t="str">
        <f>IF(AND(Cemerty!$E$34=0,$B$44&gt;=0)," ",IF(AND(E27&gt;0,$B$44=0)," ",IF(AND(E27&gt;0,$B$44&gt;0),ROUND(E27/$B$44*1000,3))))</f>
        <v> </v>
      </c>
    </row>
    <row r="28" spans="1:6" s="65" customFormat="1" ht="15.75">
      <c r="A28" s="89" t="str">
        <f>IF(inputPrYr!$B27&gt;"  ",inputPrYr!$B27,"  ")</f>
        <v>Cemetery</v>
      </c>
      <c r="B28" s="90" t="str">
        <f>IF(inputPrYr!C27&gt;0,inputPrYr!C27,"  ")</f>
        <v>12-1220</v>
      </c>
      <c r="C28" s="91" t="str">
        <f>IF(Cemerty!C73&gt;0,Cemerty!C73,"  ")</f>
        <v>  </v>
      </c>
      <c r="D28" s="577" t="str">
        <f>IF(Cemerty!$E$65&lt;&gt;0,Cemerty!$E$65,"  ")</f>
        <v>  </v>
      </c>
      <c r="E28" s="577" t="str">
        <f>IF(Cemerty!$E$72&lt;&gt;0,Cemerty!$E$72,"  ")</f>
        <v>  </v>
      </c>
      <c r="F28" s="578" t="str">
        <f>IF(AND(Cemerty!$E$72=0,$B$47&gt;=0),"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3" t="str">
        <f>IF(inputPrYr!$B35&gt;"  ",inputPrYr!$B35,"  ")</f>
        <v>  </v>
      </c>
      <c r="B33" s="94"/>
      <c r="C33" s="95" t="str">
        <f>IF(nolevypage13!$C$65&gt;0,nolevypage13!$C$65,"  ")</f>
        <v>  </v>
      </c>
      <c r="D33" s="577" t="str">
        <f>IF(nolevypage13!$E$28&lt;&gt;0,nolevypage13!$E$28,"  ")</f>
        <v>  </v>
      </c>
      <c r="E33" s="577"/>
      <c r="F33" s="578"/>
    </row>
    <row r="34" spans="1:6" s="65" customFormat="1" ht="15.75">
      <c r="A34" s="93" t="str">
        <f>IF(inputPrYr!$B36&gt;"  ",inputPrYr!$B36,"  ")</f>
        <v>  </v>
      </c>
      <c r="B34" s="96"/>
      <c r="C34" s="95" t="str">
        <f>IF(nolevypage13!$C$65&gt;0,nolevypage13!$C$65,"  ")</f>
        <v>  </v>
      </c>
      <c r="D34" s="577" t="str">
        <f>IF(nolevypage13!$E$59&lt;&gt;0,nolevypage13!$E$59,"  ")</f>
        <v>  </v>
      </c>
      <c r="E34" s="577"/>
      <c r="F34" s="578"/>
    </row>
    <row r="35" spans="1:6" s="65" customFormat="1" ht="15.75">
      <c r="A35" s="93" t="str">
        <f>IF(inputPrYr!$B37&gt;"  ",inputPrYr!$B37,"  ")</f>
        <v>  </v>
      </c>
      <c r="B35" s="94"/>
      <c r="C35" s="95" t="str">
        <f>IF(nolevypage14!$C$65&gt;0,nolevypage14!$C$65,"  ")</f>
        <v>  </v>
      </c>
      <c r="D35" s="577" t="str">
        <f>IF(nolevypage14!$E$28&lt;&gt;0,nolevypage14!$E$28,"  ")</f>
        <v>  </v>
      </c>
      <c r="E35" s="577"/>
      <c r="F35" s="578"/>
    </row>
    <row r="36" spans="1:6" s="65" customFormat="1" ht="15.75">
      <c r="A36" s="93" t="str">
        <f>IF(inputPrYr!$B38&gt;"  ",inputPrYr!$B38,"  ")</f>
        <v>  </v>
      </c>
      <c r="B36" s="94"/>
      <c r="C36" s="95" t="str">
        <f>IF(nolevypage14!$C$65&gt;0,nolevypage14!$C$65,"  ")</f>
        <v>  </v>
      </c>
      <c r="D36" s="577" t="str">
        <f>IF(nolevypage14!$E$59&lt;&gt;0,nolevypage14!$E$59,"  ")</f>
        <v>  </v>
      </c>
      <c r="E36" s="577"/>
      <c r="F36" s="578"/>
    </row>
    <row r="37" spans="1:6" s="65" customFormat="1" ht="15.75">
      <c r="A37" s="93">
        <f>IF(inputPrYr!B41&gt;"",nonbud!A3,"")</f>
      </c>
      <c r="B37" s="96"/>
      <c r="C37" s="95" t="str">
        <f>IF(nonbud!F33&gt;0,nonbud!F33,"  ")</f>
        <v>  </v>
      </c>
      <c r="D37" s="577"/>
      <c r="E37" s="577"/>
      <c r="F37" s="578"/>
    </row>
    <row r="38" spans="1:6" s="65" customFormat="1" ht="15.75">
      <c r="A38" s="79" t="s">
        <v>253</v>
      </c>
      <c r="B38" s="94"/>
      <c r="C38" s="95" t="str">
        <f>IF(road!C66&gt;0,road!C66,"  ")</f>
        <v>  </v>
      </c>
      <c r="D38" s="579"/>
      <c r="E38" s="579"/>
      <c r="F38" s="578"/>
    </row>
    <row r="39" spans="1:6" s="65" customFormat="1" ht="16.5" thickBot="1">
      <c r="A39" s="97" t="s">
        <v>254</v>
      </c>
      <c r="B39" s="88"/>
      <c r="C39" s="98" t="s">
        <v>255</v>
      </c>
      <c r="D39" s="580">
        <f>SUM(D21:D38)</f>
        <v>6324</v>
      </c>
      <c r="E39" s="580">
        <f>SUM(E21:E38)</f>
        <v>3592</v>
      </c>
      <c r="F39" s="581">
        <f>IF(SUM(F21:F38)&gt;0,SUM(F21:F38),"")</f>
      </c>
    </row>
    <row r="40" spans="1:3" s="65" customFormat="1" ht="16.5" thickTop="1">
      <c r="A40" s="84" t="s">
        <v>114</v>
      </c>
      <c r="B40" s="80"/>
      <c r="C40" s="95">
        <f>summ!C31</f>
        <v>7</v>
      </c>
    </row>
    <row r="41" spans="1:5" s="65" customFormat="1" ht="15.75">
      <c r="A41" s="79" t="s">
        <v>169</v>
      </c>
      <c r="B41" s="80"/>
      <c r="C41" s="95">
        <f>IF(nhood!C40&gt;0,nhood!C40,"")</f>
      </c>
      <c r="D41" s="99" t="s">
        <v>105</v>
      </c>
      <c r="E41" s="100" t="str">
        <f>IF(E39&gt;computation!J34,"Yes","No")</f>
        <v>No</v>
      </c>
    </row>
    <row r="42" spans="1:5" s="65" customFormat="1" ht="15.75">
      <c r="A42" s="84" t="s">
        <v>104</v>
      </c>
      <c r="B42" s="80"/>
      <c r="C42" s="95">
        <f>IF(Resolution!D50&gt;0,Resolution!D50,"")</f>
      </c>
      <c r="D42" s="101"/>
      <c r="E42" s="102"/>
    </row>
    <row r="43" spans="1:6" s="65" customFormat="1" ht="15.75">
      <c r="A43" s="79" t="s">
        <v>47</v>
      </c>
      <c r="B43" s="767" t="s">
        <v>73</v>
      </c>
      <c r="C43" s="768"/>
      <c r="D43" s="104"/>
      <c r="F43" s="71" t="s">
        <v>256</v>
      </c>
    </row>
    <row r="44" spans="1:6" s="65" customFormat="1" ht="15.75">
      <c r="A44" s="79" t="str">
        <f>inputPrYr!D3</f>
        <v>Center Township</v>
      </c>
      <c r="B44" s="769"/>
      <c r="C44" s="770"/>
      <c r="D44" s="105"/>
      <c r="F44" s="71"/>
    </row>
    <row r="45" spans="1:6" s="65" customFormat="1" ht="15.75">
      <c r="A45" s="79" t="str">
        <f>inputPrYr!D6</f>
        <v>Olpe</v>
      </c>
      <c r="B45" s="769"/>
      <c r="C45" s="777"/>
      <c r="D45" s="105"/>
      <c r="F45" s="71"/>
    </row>
    <row r="46" spans="1:6" s="65" customFormat="1" ht="15.75">
      <c r="A46" s="79">
        <f>inputPrYr!D7</f>
        <v>0</v>
      </c>
      <c r="B46" s="769"/>
      <c r="C46" s="777"/>
      <c r="D46" s="105"/>
      <c r="F46" s="71"/>
    </row>
    <row r="47" spans="1:6" s="65" customFormat="1" ht="15.75">
      <c r="A47" s="79" t="s">
        <v>180</v>
      </c>
      <c r="B47" s="775">
        <f>SUM(B44:C46)</f>
        <v>0</v>
      </c>
      <c r="C47" s="776"/>
      <c r="D47" s="105"/>
      <c r="F47" s="71"/>
    </row>
    <row r="48" spans="1:6" s="65" customFormat="1" ht="15.75">
      <c r="A48" s="106"/>
      <c r="B48" s="771" t="str">
        <f>CONCATENATE("Nov. 1, ",G1-1," Valuation")</f>
        <v>Nov. 1, 2013 Valuation</v>
      </c>
      <c r="C48" s="772"/>
      <c r="D48" s="104"/>
      <c r="F48" s="71"/>
    </row>
    <row r="49" spans="1:6" s="65" customFormat="1" ht="15.75">
      <c r="A49" s="106" t="s">
        <v>257</v>
      </c>
      <c r="D49" s="70"/>
      <c r="F49" s="71"/>
    </row>
    <row r="50" spans="1:6" s="65" customFormat="1" ht="15.75">
      <c r="A50" s="108" t="s">
        <v>937</v>
      </c>
      <c r="D50" s="104"/>
      <c r="E50" s="70"/>
      <c r="F50" s="70"/>
    </row>
    <row r="51" spans="1:2" s="65" customFormat="1" ht="15.75">
      <c r="A51" s="109"/>
      <c r="B51" s="69"/>
    </row>
    <row r="52" spans="1:6" s="65" customFormat="1" ht="15.75">
      <c r="A52" s="106" t="s">
        <v>93</v>
      </c>
      <c r="D52" s="70" t="s">
        <v>799</v>
      </c>
      <c r="E52" s="70"/>
      <c r="F52" s="70"/>
    </row>
    <row r="53" spans="1:6" s="65" customFormat="1" ht="15.75">
      <c r="A53" s="108" t="s">
        <v>938</v>
      </c>
      <c r="C53" s="71"/>
      <c r="D53" s="70"/>
      <c r="E53" s="70"/>
      <c r="F53" s="70"/>
    </row>
    <row r="54" spans="1:6" s="65" customFormat="1" ht="15.75">
      <c r="A54" s="109" t="s">
        <v>939</v>
      </c>
      <c r="B54" s="71"/>
      <c r="D54" s="70" t="s">
        <v>799</v>
      </c>
      <c r="E54" s="69"/>
      <c r="F54" s="69"/>
    </row>
    <row r="55" spans="1:7" ht="15.75">
      <c r="A55" s="106" t="s">
        <v>798</v>
      </c>
      <c r="B55" s="69"/>
      <c r="C55" s="65"/>
      <c r="D55" s="70"/>
      <c r="E55" s="70"/>
      <c r="F55" s="70"/>
      <c r="G55" s="110"/>
    </row>
    <row r="56" spans="1:7" ht="15.75">
      <c r="A56" s="108" t="s">
        <v>940</v>
      </c>
      <c r="B56" s="69"/>
      <c r="C56" s="65"/>
      <c r="D56" s="70" t="s">
        <v>799</v>
      </c>
      <c r="E56" s="69"/>
      <c r="F56" s="69"/>
      <c r="G56" s="110"/>
    </row>
    <row r="57" spans="1:7" ht="15.75">
      <c r="A57" s="69"/>
      <c r="B57" s="65"/>
      <c r="C57" s="65"/>
      <c r="D57" s="70"/>
      <c r="E57" s="70"/>
      <c r="F57" s="70"/>
      <c r="G57" s="110"/>
    </row>
    <row r="58" spans="1:7" ht="15.75">
      <c r="A58" s="484" t="s">
        <v>97</v>
      </c>
      <c r="B58" s="114">
        <f>G1-1</f>
        <v>2013</v>
      </c>
      <c r="C58" s="65"/>
      <c r="D58" s="70" t="s">
        <v>799</v>
      </c>
      <c r="E58" s="69"/>
      <c r="F58" s="69"/>
      <c r="G58" s="110"/>
    </row>
    <row r="59" spans="1:7" ht="15.75">
      <c r="A59" s="65"/>
      <c r="B59" s="65"/>
      <c r="C59" s="65"/>
      <c r="D59" s="70"/>
      <c r="E59" s="106"/>
      <c r="F59" s="70"/>
      <c r="G59" s="110"/>
    </row>
    <row r="60" spans="1:7" ht="15.75">
      <c r="A60" s="483"/>
      <c r="B60" s="65"/>
      <c r="C60" s="65"/>
      <c r="D60" s="70" t="s">
        <v>799</v>
      </c>
      <c r="E60" s="70"/>
      <c r="F60" s="70"/>
      <c r="G60" s="110"/>
    </row>
    <row r="61" spans="1:6" ht="15.75">
      <c r="A61" s="68" t="s">
        <v>259</v>
      </c>
      <c r="B61" s="65"/>
      <c r="C61" s="65"/>
      <c r="D61" s="773" t="s">
        <v>258</v>
      </c>
      <c r="E61" s="774"/>
      <c r="F61" s="77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Center Township</v>
      </c>
      <c r="D1" s="65"/>
      <c r="E1" s="65"/>
      <c r="F1" s="65"/>
      <c r="G1" s="65"/>
      <c r="H1" s="65"/>
      <c r="I1" s="65"/>
      <c r="J1" s="65">
        <f>inputPrYr!D9</f>
        <v>2014</v>
      </c>
    </row>
    <row r="2" spans="1:10" ht="15.75">
      <c r="A2" s="65"/>
      <c r="B2" s="65"/>
      <c r="C2" s="65"/>
      <c r="D2" s="65"/>
      <c r="E2" s="65"/>
      <c r="F2" s="65"/>
      <c r="G2" s="65"/>
      <c r="H2" s="65"/>
      <c r="I2" s="65"/>
      <c r="J2" s="65"/>
    </row>
    <row r="3" spans="1:10" ht="15.75">
      <c r="A3" s="792" t="str">
        <f>CONCATENATE("Computation to Determine Limit for ",J1,"")</f>
        <v>Computation to Determine Limit for 2014</v>
      </c>
      <c r="B3" s="778"/>
      <c r="C3" s="778"/>
      <c r="D3" s="778"/>
      <c r="E3" s="778"/>
      <c r="F3" s="778"/>
      <c r="G3" s="778"/>
      <c r="H3" s="778"/>
      <c r="I3" s="778"/>
      <c r="J3" s="778"/>
    </row>
    <row r="4" spans="1:10" ht="15.75">
      <c r="A4" s="65"/>
      <c r="B4" s="65"/>
      <c r="C4" s="65"/>
      <c r="D4" s="65"/>
      <c r="E4" s="778"/>
      <c r="F4" s="778"/>
      <c r="G4" s="778"/>
      <c r="H4" s="64"/>
      <c r="I4" s="65"/>
      <c r="J4" s="260" t="s">
        <v>29</v>
      </c>
    </row>
    <row r="5" spans="1:10" ht="15.75">
      <c r="A5" s="261" t="s">
        <v>30</v>
      </c>
      <c r="B5" s="65" t="str">
        <f>CONCATENATE("Total Tax Levy Amount in ",J1-1,"")</f>
        <v>Total Tax Levy Amount in 2013</v>
      </c>
      <c r="C5" s="65"/>
      <c r="D5" s="65"/>
      <c r="E5" s="188"/>
      <c r="F5" s="188"/>
      <c r="G5" s="188"/>
      <c r="H5" s="262" t="s">
        <v>275</v>
      </c>
      <c r="I5" s="188" t="s">
        <v>262</v>
      </c>
      <c r="J5" s="263">
        <f>inputPrYr!E32</f>
        <v>3574</v>
      </c>
    </row>
    <row r="6" spans="1:10" ht="15.75">
      <c r="A6" s="261" t="s">
        <v>31</v>
      </c>
      <c r="B6" s="65" t="str">
        <f>CONCATENATE("Debt Service Levy in ",J1-1,"")</f>
        <v>Debt Service Levy in 2013</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3574</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275</v>
      </c>
      <c r="G11" s="239">
        <f>inputOth!E16</f>
        <v>80672</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275</v>
      </c>
      <c r="E14" s="239">
        <f>inputOth!E21</f>
        <v>62064</v>
      </c>
      <c r="F14" s="262"/>
      <c r="G14" s="188"/>
      <c r="H14" s="188"/>
      <c r="I14" s="266"/>
      <c r="J14" s="188"/>
    </row>
    <row r="15" spans="1:10" ht="15.75">
      <c r="A15" s="261"/>
      <c r="B15" s="65" t="s">
        <v>37</v>
      </c>
      <c r="C15" s="65" t="str">
        <f>CONCATENATE("Personal Property ",J1-2,"")</f>
        <v>Personal Property 2012</v>
      </c>
      <c r="D15" s="261" t="s">
        <v>32</v>
      </c>
      <c r="E15" s="265">
        <f>inputOth!E31</f>
        <v>57119</v>
      </c>
      <c r="F15" s="262"/>
      <c r="G15" s="266"/>
      <c r="H15" s="266"/>
      <c r="I15" s="188"/>
      <c r="J15" s="188"/>
    </row>
    <row r="16" spans="1:10" ht="15.75">
      <c r="A16" s="261"/>
      <c r="B16" s="65" t="s">
        <v>38</v>
      </c>
      <c r="C16" s="65" t="s">
        <v>57</v>
      </c>
      <c r="D16" s="65"/>
      <c r="E16" s="188"/>
      <c r="F16" s="188" t="s">
        <v>275</v>
      </c>
      <c r="G16" s="239">
        <f>IF(E14&gt;E15,E14-E15,0)</f>
        <v>4945</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275</v>
      </c>
      <c r="G18" s="239">
        <f>inputOth!E26</f>
        <v>12368</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97985</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19716096</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19618111</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0.0049946195125514375</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18</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3592</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f>Library!E33</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3592</v>
      </c>
    </row>
    <row r="35" spans="1:10" ht="16.5" thickTop="1">
      <c r="A35" s="65"/>
      <c r="B35" s="65"/>
      <c r="C35" s="65"/>
      <c r="D35" s="65"/>
      <c r="E35" s="65"/>
      <c r="F35" s="65"/>
      <c r="G35" s="65"/>
      <c r="H35" s="65"/>
      <c r="I35" s="65"/>
      <c r="J35" s="65"/>
    </row>
    <row r="36" spans="1:10" s="271" customFormat="1" ht="18.75">
      <c r="A36" s="791" t="str">
        <f>CONCATENATE("If the ",J1," budget includes tax levies exceeding the total on line 14, you must")</f>
        <v>If the 2014 budget includes tax levies exceeding the total on line 14, you must</v>
      </c>
      <c r="B36" s="791"/>
      <c r="C36" s="791"/>
      <c r="D36" s="791"/>
      <c r="E36" s="791"/>
      <c r="F36" s="791"/>
      <c r="G36" s="791"/>
      <c r="H36" s="791"/>
      <c r="I36" s="791"/>
      <c r="J36" s="791"/>
    </row>
    <row r="37" spans="1:10" s="271" customFormat="1" ht="18.75">
      <c r="A37" s="791" t="s">
        <v>62</v>
      </c>
      <c r="B37" s="791"/>
      <c r="C37" s="791"/>
      <c r="D37" s="791"/>
      <c r="E37" s="791"/>
      <c r="F37" s="791"/>
      <c r="G37" s="791"/>
      <c r="H37" s="791"/>
      <c r="I37" s="791"/>
      <c r="J37" s="79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90" zoomScaleNormal="90" zoomScalePageLayoutView="0" workbookViewId="0" topLeftCell="B2">
      <selection activeCell="J33" sqref="J3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Center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3" t="s">
        <v>776</v>
      </c>
      <c r="C6" s="774"/>
      <c r="D6" s="774"/>
      <c r="E6" s="774"/>
      <c r="F6" s="774"/>
      <c r="G6" s="774"/>
      <c r="H6" s="774"/>
      <c r="I6" s="774"/>
      <c r="J6" s="774"/>
      <c r="K6" s="774"/>
    </row>
    <row r="7" spans="1:11" ht="16.5">
      <c r="A7" s="65"/>
      <c r="B7" s="778"/>
      <c r="C7" s="794"/>
      <c r="D7" s="794"/>
      <c r="E7" s="794"/>
      <c r="F7" s="794"/>
      <c r="G7" s="794"/>
      <c r="H7" s="794"/>
      <c r="I7" s="794"/>
      <c r="J7" s="794"/>
      <c r="K7" s="794"/>
    </row>
    <row r="8" spans="1:11" ht="15.75">
      <c r="A8" s="65"/>
      <c r="B8" s="65"/>
      <c r="C8" s="225"/>
      <c r="D8" s="225"/>
      <c r="E8" s="225"/>
      <c r="F8" s="225"/>
      <c r="G8" s="226"/>
      <c r="H8" s="66"/>
      <c r="I8" s="66"/>
      <c r="J8" s="65"/>
      <c r="K8" s="65"/>
    </row>
    <row r="9" spans="1:11" ht="21" customHeight="1">
      <c r="A9" s="65"/>
      <c r="B9" s="247" t="s">
        <v>777</v>
      </c>
      <c r="C9" s="227"/>
      <c r="D9" s="562" t="s">
        <v>778</v>
      </c>
      <c r="E9" s="795" t="str">
        <f>CONCATENATE("Budget Tax Levy Rate for ",K1-1,"")</f>
        <v>Budget Tax Levy Rate for 2013</v>
      </c>
      <c r="F9" s="82"/>
      <c r="G9" s="797" t="str">
        <f>CONCATENATE("Allocation for Year ",K1,"")</f>
        <v>Allocation for Year 2014</v>
      </c>
      <c r="H9" s="798"/>
      <c r="I9" s="798"/>
      <c r="J9" s="799"/>
      <c r="K9" s="208"/>
    </row>
    <row r="10" spans="1:11" ht="15.75">
      <c r="A10" s="65"/>
      <c r="B10" s="561" t="str">
        <f>CONCATENATE("for ",K1-1,"")</f>
        <v>for 2013</v>
      </c>
      <c r="C10" s="229"/>
      <c r="D10" s="118" t="str">
        <f>CONCATENATE("Amount for ",K1,"")</f>
        <v>Amount for 2014</v>
      </c>
      <c r="E10" s="796"/>
      <c r="F10" s="78"/>
      <c r="G10" s="78" t="s">
        <v>27</v>
      </c>
      <c r="H10" s="78"/>
      <c r="I10" s="78" t="s">
        <v>28</v>
      </c>
      <c r="J10" s="82" t="s">
        <v>70</v>
      </c>
      <c r="K10" s="208"/>
    </row>
    <row r="11" spans="1:11" ht="15.75">
      <c r="A11" s="65"/>
      <c r="B11" s="89" t="str">
        <f>inputPrYr!B20</f>
        <v>General</v>
      </c>
      <c r="C11" s="230"/>
      <c r="D11" s="89">
        <f>IF(inputPrYr!E20&gt;0,inputPrYr!E20,"  ")</f>
        <v>3574</v>
      </c>
      <c r="E11" s="231">
        <f>IF(inputOth!D37&gt;0,inputOth!D37,"  ")</f>
        <v>0.19</v>
      </c>
      <c r="F11" s="232"/>
      <c r="G11" s="89">
        <f>IF(inputPrYr!E20=0,0,G25-SUM(G12:G22))</f>
        <v>319</v>
      </c>
      <c r="H11" s="233"/>
      <c r="I11" s="89">
        <f>IF(inputPrYr!E20=0,0,I27-SUM(I12:I22))</f>
        <v>5</v>
      </c>
      <c r="J11" s="89">
        <f>IF(inputPrYr!E20=0,0,ROUND($D11*$J$35,0))</f>
        <v>29</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IF(inputPrYr!$E$21=0,0,ROUND($D$12*$I$33,0))</f>
        <v>0</v>
      </c>
      <c r="J13" s="89">
        <f>IF(inputPrYr!E22=0,0,ROUND($D13*$J$35,0))</f>
        <v>0</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Cemetery</v>
      </c>
      <c r="C18" s="230"/>
      <c r="D18" s="89" t="str">
        <f>IF(inputPrYr!E27&gt;0,inputPrYr!E27,"  ")</f>
        <v>  </v>
      </c>
      <c r="E18" s="231" t="str">
        <f>IF(inputOth!D44&gt;0,inputOth!D44,"  ")</f>
        <v>  </v>
      </c>
      <c r="F18" s="232"/>
      <c r="G18" s="89">
        <f>IF(inputPrYr!E27=0,0,ROUND(D18*$G$31,0))</f>
        <v>0</v>
      </c>
      <c r="H18" s="233"/>
      <c r="I18" s="89">
        <f>IF(inputPrYr!$E$26=0,0,ROUND($D$17*$I$33,0))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3574</v>
      </c>
      <c r="E23" s="236">
        <f>SUM(E11:E22)</f>
        <v>0.19</v>
      </c>
      <c r="F23" s="237"/>
      <c r="G23" s="235">
        <f t="shared" si="0"/>
        <v>319</v>
      </c>
      <c r="H23" s="235"/>
      <c r="I23" s="235">
        <f t="shared" si="0"/>
        <v>5</v>
      </c>
      <c r="J23" s="235">
        <f t="shared" si="0"/>
        <v>29</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319</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5</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29</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0.08925573587017348</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0.0013989927252378287</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0.008114157806379406</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Center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78" t="s">
        <v>115</v>
      </c>
      <c r="B5" s="778"/>
      <c r="C5" s="778"/>
      <c r="D5" s="778"/>
      <c r="E5" s="778"/>
      <c r="F5" s="778"/>
    </row>
    <row r="6" spans="1:6" ht="14.25" customHeight="1">
      <c r="A6" s="64"/>
      <c r="B6" s="246"/>
      <c r="C6" s="246"/>
      <c r="D6" s="246"/>
      <c r="E6" s="246"/>
      <c r="F6" s="246"/>
    </row>
    <row r="7" spans="1:6" ht="15" customHeight="1">
      <c r="A7" s="247" t="s">
        <v>249</v>
      </c>
      <c r="B7" s="247" t="s">
        <v>625</v>
      </c>
      <c r="C7" s="248" t="s">
        <v>292</v>
      </c>
      <c r="D7" s="248" t="s">
        <v>116</v>
      </c>
      <c r="E7" s="247" t="s">
        <v>117</v>
      </c>
      <c r="F7" s="247" t="s">
        <v>118</v>
      </c>
    </row>
    <row r="8" spans="1:6" ht="15" customHeight="1">
      <c r="A8" s="249" t="s">
        <v>626</v>
      </c>
      <c r="B8" s="249" t="s">
        <v>627</v>
      </c>
      <c r="C8" s="250" t="s">
        <v>119</v>
      </c>
      <c r="D8" s="250" t="s">
        <v>119</v>
      </c>
      <c r="E8" s="250" t="s">
        <v>119</v>
      </c>
      <c r="F8" s="250" t="s">
        <v>120</v>
      </c>
    </row>
    <row r="9" spans="1:6" s="253" customFormat="1" ht="15" customHeight="1" thickBot="1">
      <c r="A9" s="251" t="s">
        <v>121</v>
      </c>
      <c r="B9" s="252" t="s">
        <v>122</v>
      </c>
      <c r="C9" s="252">
        <f>F1-2</f>
        <v>2012</v>
      </c>
      <c r="D9" s="252">
        <f>F1-1</f>
        <v>2013</v>
      </c>
      <c r="E9" s="252">
        <f>F1</f>
        <v>2014</v>
      </c>
      <c r="F9" s="252" t="s">
        <v>236</v>
      </c>
    </row>
    <row r="10" spans="1:6" ht="15" customHeight="1" thickTop="1">
      <c r="A10" s="254"/>
      <c r="B10" s="254"/>
      <c r="C10" s="255"/>
      <c r="D10" s="255"/>
      <c r="E10" s="255"/>
      <c r="F10" s="254"/>
    </row>
    <row r="11" spans="1:6" ht="15" customHeight="1">
      <c r="A11" s="205" t="s">
        <v>191</v>
      </c>
      <c r="B11" s="205" t="s">
        <v>253</v>
      </c>
      <c r="C11" s="256">
        <f>gen!$C$34</f>
        <v>0</v>
      </c>
      <c r="D11" s="256">
        <f>gen!$D$34</f>
        <v>0</v>
      </c>
      <c r="E11" s="256">
        <f>gen!$E$34</f>
        <v>0</v>
      </c>
      <c r="F11" s="205">
        <f>IF(C11+D11+E11&gt;0,"80-1406b","")</f>
      </c>
    </row>
    <row r="12" spans="1:6" ht="15" customHeight="1">
      <c r="A12" s="205" t="s">
        <v>191</v>
      </c>
      <c r="B12" s="205" t="s">
        <v>253</v>
      </c>
      <c r="C12" s="256">
        <f>gen!$C$36</f>
        <v>0</v>
      </c>
      <c r="D12" s="256">
        <f>gen!$D$36</f>
        <v>0</v>
      </c>
      <c r="E12" s="256">
        <f>gen!$E$36</f>
        <v>0</v>
      </c>
      <c r="F12" s="205">
        <f>IF(C12+D12+E12&gt;0,"80-122","")</f>
      </c>
    </row>
    <row r="13" spans="1:6" ht="15" customHeight="1">
      <c r="A13" s="205" t="s">
        <v>240</v>
      </c>
      <c r="B13" s="205" t="s">
        <v>253</v>
      </c>
      <c r="C13" s="256">
        <f>road!$C$37</f>
        <v>0</v>
      </c>
      <c r="D13" s="256">
        <f>road!$D$37</f>
        <v>0</v>
      </c>
      <c r="E13" s="256">
        <f>road!$E$37</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0</v>
      </c>
      <c r="D27" s="259">
        <f>SUM(D10:D26)</f>
        <v>0</v>
      </c>
      <c r="E27" s="259">
        <f>SUM(E10:E26)</f>
        <v>0</v>
      </c>
      <c r="F27" s="190"/>
    </row>
    <row r="28" spans="1:6" ht="15.75">
      <c r="A28" s="190"/>
      <c r="B28" s="87" t="s">
        <v>624</v>
      </c>
      <c r="C28" s="65"/>
      <c r="D28" s="178"/>
      <c r="E28" s="178"/>
      <c r="F28" s="190"/>
    </row>
    <row r="29" spans="1:6" ht="15.75">
      <c r="A29" s="190"/>
      <c r="B29" s="87" t="s">
        <v>123</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628</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J33" sqref="J3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Center Township</v>
      </c>
      <c r="C1" s="273"/>
      <c r="D1" s="273"/>
      <c r="E1" s="273"/>
      <c r="F1" s="273"/>
      <c r="G1" s="273"/>
      <c r="H1" s="273"/>
      <c r="I1" s="273"/>
      <c r="J1" s="65"/>
      <c r="K1" s="65"/>
      <c r="L1" s="223">
        <f>inputPrYr!D9</f>
        <v>2014</v>
      </c>
    </row>
    <row r="2" spans="1:12" ht="15.75">
      <c r="A2" s="297"/>
      <c r="B2" s="272" t="str">
        <f>inputPrYr!$D$4</f>
        <v>Lyon County</v>
      </c>
      <c r="C2" s="273"/>
      <c r="D2" s="273"/>
      <c r="E2" s="273"/>
      <c r="F2" s="273"/>
      <c r="G2" s="273"/>
      <c r="H2" s="273"/>
      <c r="I2" s="273"/>
      <c r="J2" s="65"/>
      <c r="K2" s="65"/>
      <c r="L2" s="208"/>
    </row>
    <row r="3" spans="1:12" ht="15.75">
      <c r="A3" s="297"/>
      <c r="B3" s="800" t="s">
        <v>23</v>
      </c>
      <c r="C3" s="789"/>
      <c r="D3" s="789"/>
      <c r="E3" s="789"/>
      <c r="F3" s="789"/>
      <c r="G3" s="789"/>
      <c r="H3" s="789"/>
      <c r="I3" s="789"/>
      <c r="J3" s="789"/>
      <c r="K3" s="789"/>
      <c r="L3" s="789"/>
    </row>
    <row r="4" spans="1:12" ht="15.75">
      <c r="A4" s="297"/>
      <c r="B4" s="273"/>
      <c r="C4" s="273"/>
      <c r="D4" s="273"/>
      <c r="E4" s="273"/>
      <c r="F4" s="273"/>
      <c r="G4" s="273"/>
      <c r="H4" s="273"/>
      <c r="I4" s="273"/>
      <c r="J4" s="273"/>
      <c r="K4" s="273"/>
      <c r="L4" s="273"/>
    </row>
    <row r="5" spans="1:12" ht="15.75">
      <c r="A5" s="297"/>
      <c r="B5" s="227" t="s">
        <v>779</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2013</v>
      </c>
      <c r="J6" s="279"/>
      <c r="K6" s="278">
        <f>L1</f>
        <v>2014</v>
      </c>
      <c r="L6" s="279"/>
    </row>
    <row r="7" spans="1:12" ht="15.75">
      <c r="A7" s="297"/>
      <c r="B7" s="229" t="s">
        <v>780</v>
      </c>
      <c r="C7" s="229" t="s">
        <v>7</v>
      </c>
      <c r="D7" s="229" t="s">
        <v>289</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281</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3"/>
      <c r="D16" s="564"/>
      <c r="E16" s="565"/>
      <c r="F16" s="295">
        <f>SUM(F11+F15)</f>
        <v>0</v>
      </c>
      <c r="G16" s="563"/>
      <c r="H16" s="566"/>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0" t="s">
        <v>22</v>
      </c>
      <c r="C18" s="789"/>
      <c r="D18" s="789"/>
      <c r="E18" s="789"/>
      <c r="F18" s="789"/>
      <c r="G18" s="789"/>
      <c r="H18" s="789"/>
      <c r="I18" s="789"/>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781</v>
      </c>
      <c r="C22" s="277" t="s">
        <v>13</v>
      </c>
      <c r="D22" s="277" t="s">
        <v>14</v>
      </c>
      <c r="E22" s="277" t="s">
        <v>263</v>
      </c>
      <c r="F22" s="277" t="s">
        <v>15</v>
      </c>
      <c r="G22" s="277" t="s">
        <v>55</v>
      </c>
      <c r="H22" s="277" t="s">
        <v>16</v>
      </c>
      <c r="I22" s="277" t="s">
        <v>16</v>
      </c>
      <c r="J22" s="297"/>
      <c r="K22" s="297"/>
      <c r="L22" s="297"/>
    </row>
    <row r="23" spans="1:12" s="298" customFormat="1" ht="15.75">
      <c r="A23" s="297"/>
      <c r="B23" s="229" t="s">
        <v>782</v>
      </c>
      <c r="C23" s="229" t="s">
        <v>3</v>
      </c>
      <c r="D23" s="303" t="s">
        <v>17</v>
      </c>
      <c r="E23" s="229" t="s">
        <v>289</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950</v>
      </c>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7"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2013-07-22T20:28:17Z</cp:lastPrinted>
  <dcterms:created xsi:type="dcterms:W3CDTF">1998-08-26T16:30:41Z</dcterms:created>
  <dcterms:modified xsi:type="dcterms:W3CDTF">2013-07-22T20:31:23Z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