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100" tabRatio="850" firstSheet="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Mode="manual" fullCalcOnLoad="1"/>
</workbook>
</file>

<file path=xl/sharedStrings.xml><?xml version="1.0" encoding="utf-8"?>
<sst xmlns="http://schemas.openxmlformats.org/spreadsheetml/2006/main" count="1579" uniqueCount="951">
  <si>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</si>
  <si>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</si>
  <si>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</si>
  <si>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</si>
  <si>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</si>
  <si>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</si>
  <si>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</si>
  <si>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</si>
  <si>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</si>
  <si>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</si>
  <si>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</si>
  <si>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</si>
  <si>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</si>
  <si>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</si>
  <si>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</si>
  <si>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</si>
  <si>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</si>
  <si>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</si>
  <si>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</si>
  <si>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</si>
  <si>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</si>
  <si>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</si>
  <si>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</si>
  <si>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</si>
  <si>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</si>
  <si>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</si>
  <si>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</si>
  <si>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</si>
  <si>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</si>
  <si>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</si>
  <si>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</si>
  <si>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</si>
  <si>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</si>
  <si>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</si>
  <si>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</si>
  <si>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</si>
  <si>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</si>
  <si>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</si>
  <si>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</si>
  <si>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</si>
  <si>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</si>
  <si>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</si>
  <si>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</si>
  <si>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</si>
  <si>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</si>
  <si>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</si>
  <si>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</si>
  <si>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</si>
  <si>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</si>
  <si>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</si>
  <si>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</si>
  <si>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</si>
  <si>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</si>
  <si>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</si>
  <si>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</si>
  <si>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</si>
  <si>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</si>
  <si>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</si>
  <si>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</si>
  <si>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</si>
  <si>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</si>
  <si>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</si>
  <si>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</si>
  <si>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</si>
  <si>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</si>
  <si>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</si>
  <si>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</si>
  <si>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</si>
  <si>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</si>
  <si>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</si>
  <si>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</si>
  <si>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</si>
  <si>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</si>
  <si>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</si>
  <si>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</si>
  <si>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</si>
  <si>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</si>
  <si>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</si>
  <si>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</si>
  <si>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</si>
  <si>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</si>
  <si>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</si>
  <si>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</si>
  <si>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</si>
  <si>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</si>
  <si>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</si>
  <si>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</si>
  <si>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</si>
  <si>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</si>
  <si>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</si>
  <si>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</si>
  <si>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</si>
  <si>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</si>
  <si>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</si>
  <si>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</si>
  <si>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</si>
  <si>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</si>
  <si>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</si>
  <si>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</si>
  <si>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</si>
  <si>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</si>
  <si>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</si>
  <si>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</si>
  <si>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</si>
  <si>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</si>
  <si>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</si>
  <si>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</si>
  <si>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</si>
  <si>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</si>
  <si>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</si>
  <si>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</si>
  <si>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</si>
  <si>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</si>
  <si>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</si>
  <si>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</si>
  <si>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</si>
  <si>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</si>
  <si>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</si>
  <si>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</si>
  <si>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</si>
  <si>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</si>
  <si>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</si>
  <si>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</si>
  <si>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</si>
  <si>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</si>
  <si>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</si>
  <si>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</si>
  <si>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</si>
  <si>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</si>
  <si>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</si>
  <si>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</si>
  <si>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</si>
  <si>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</si>
  <si>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</si>
  <si>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</si>
  <si>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</si>
  <si>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</si>
  <si>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</si>
  <si>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</si>
  <si>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</si>
  <si>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</si>
  <si>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</si>
  <si>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</si>
  <si>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</si>
  <si>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</si>
  <si>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</si>
  <si>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</si>
  <si>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</si>
  <si>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</si>
  <si>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</si>
  <si>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</si>
  <si>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</si>
  <si>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</si>
  <si>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</si>
  <si>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</si>
  <si>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</si>
  <si>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</si>
  <si>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</si>
  <si>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</si>
  <si>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</si>
  <si>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</si>
  <si>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</si>
  <si>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</si>
  <si>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</si>
  <si>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</si>
  <si>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</si>
  <si>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</si>
  <si>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</si>
  <si>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</si>
  <si>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</si>
  <si>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</si>
  <si>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</si>
  <si>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</si>
  <si>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</si>
  <si>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</si>
  <si>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</si>
  <si>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</si>
  <si>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</si>
  <si>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</si>
  <si>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</si>
  <si>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</si>
  <si>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</si>
  <si>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</si>
  <si>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</si>
  <si>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</si>
  <si>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</si>
  <si>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</si>
  <si>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</si>
  <si>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</si>
  <si>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</si>
  <si>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</si>
  <si>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</si>
  <si>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</si>
  <si>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</si>
  <si>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</si>
  <si>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</si>
  <si>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</si>
  <si>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</si>
  <si>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</si>
  <si>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</si>
  <si>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</si>
  <si>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</si>
  <si>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</si>
  <si>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</si>
  <si>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</si>
  <si>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</si>
  <si>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</si>
  <si>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</si>
  <si>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</si>
  <si>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</si>
  <si>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</si>
  <si>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</si>
  <si>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</si>
  <si>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</si>
  <si>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</si>
  <si>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</si>
  <si>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</si>
  <si>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</si>
  <si>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</si>
  <si>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</si>
  <si>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</si>
  <si>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</si>
  <si>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</si>
  <si>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</si>
  <si>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</si>
  <si>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</si>
  <si>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</si>
  <si>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</si>
  <si>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</si>
  <si>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</si>
  <si>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</si>
  <si>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</si>
  <si>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</si>
  <si>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</si>
  <si>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</si>
  <si>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</si>
  <si>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</si>
  <si>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</si>
  <si>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</si>
  <si>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</si>
  <si>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</si>
  <si>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</si>
  <si>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</si>
  <si>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</si>
  <si>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</si>
  <si>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</si>
  <si>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</si>
  <si>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</si>
  <si>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</si>
  <si>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</si>
  <si>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</si>
  <si>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</si>
  <si>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</si>
  <si>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</si>
  <si>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</si>
  <si>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</si>
  <si>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</si>
  <si>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</si>
  <si>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</si>
  <si>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</si>
  <si>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</si>
  <si>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</si>
  <si>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</si>
  <si>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</si>
  <si>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</si>
  <si>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</si>
  <si>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</si>
  <si>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</si>
  <si>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</si>
  <si>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</si>
  <si>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</si>
  <si>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</si>
  <si>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</si>
  <si>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</si>
  <si>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</si>
  <si>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</si>
  <si>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</si>
  <si>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</si>
  <si>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</si>
  <si>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</si>
  <si>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</si>
  <si>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</si>
  <si>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</si>
  <si>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</si>
  <si>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</si>
  <si>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</si>
  <si>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</si>
  <si>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</si>
  <si>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</si>
  <si>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</si>
  <si>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</si>
  <si>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</si>
  <si>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</si>
  <si>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</si>
  <si>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</si>
  <si>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</si>
  <si>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</si>
  <si>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</si>
  <si>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</si>
  <si>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</si>
  <si>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</si>
  <si>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</si>
  <si>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</si>
  <si>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</si>
  <si>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</si>
  <si>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</si>
  <si>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</si>
  <si>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</si>
  <si>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</si>
  <si>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</si>
  <si>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</si>
  <si>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</si>
  <si>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</si>
  <si>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</si>
  <si>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</si>
  <si>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</si>
  <si>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</si>
  <si>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</si>
  <si>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</si>
  <si>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</si>
  <si>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</si>
  <si>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</si>
  <si>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</si>
  <si>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</si>
  <si>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</si>
  <si>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</si>
  <si>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</si>
  <si>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</si>
  <si>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</si>
  <si>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</si>
  <si>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</si>
  <si>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</si>
  <si>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</si>
  <si>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</si>
  <si>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</si>
  <si>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</si>
  <si>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</si>
  <si>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</si>
  <si>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</si>
  <si>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</si>
  <si>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</si>
  <si>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</si>
  <si>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</si>
  <si>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</si>
  <si>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</si>
  <si>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</si>
  <si>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</si>
  <si>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</si>
  <si>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</si>
  <si>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</si>
  <si>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</si>
  <si>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</si>
  <si>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</si>
  <si>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</si>
  <si>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</si>
  <si>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</si>
  <si>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</si>
  <si>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</si>
  <si>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</si>
  <si>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</si>
  <si>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</si>
  <si>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</si>
  <si>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</si>
  <si>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</si>
  <si>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</si>
  <si>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</si>
  <si>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</si>
  <si>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</si>
  <si>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</si>
  <si>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</si>
  <si>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</si>
  <si>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</si>
  <si>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</si>
  <si>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</si>
  <si>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</si>
  <si>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</si>
  <si>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</si>
  <si>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</si>
  <si>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</si>
  <si>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</si>
  <si>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</si>
  <si>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</si>
  <si>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</si>
  <si>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</si>
  <si>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</si>
  <si>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</si>
  <si>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</si>
  <si>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</si>
  <si>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</si>
  <si>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</si>
  <si>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</si>
  <si>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</si>
  <si>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</si>
  <si>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</si>
  <si>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</si>
  <si>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</si>
  <si>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</si>
  <si>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</si>
  <si>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</si>
  <si>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</si>
  <si>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</si>
  <si>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</si>
  <si>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</si>
  <si>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</si>
  <si>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</si>
  <si>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</si>
  <si>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</si>
  <si>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</si>
  <si>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</si>
  <si>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</si>
  <si>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</si>
  <si>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</si>
  <si>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</si>
  <si>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</si>
  <si>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</si>
  <si>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</si>
  <si>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</si>
  <si>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</si>
  <si>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</si>
  <si>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</si>
  <si>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</si>
  <si>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</si>
  <si>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</si>
  <si>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</si>
  <si>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</si>
  <si>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</si>
  <si>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</si>
  <si>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</si>
  <si>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</si>
  <si>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</si>
  <si>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</si>
  <si>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</si>
  <si>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</si>
  <si>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</si>
  <si>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</si>
  <si>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</si>
  <si>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</si>
  <si>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</si>
  <si>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</si>
  <si>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</si>
  <si>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</si>
  <si>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</si>
  <si>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</si>
  <si>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</si>
  <si>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</si>
  <si>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</si>
  <si>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</si>
  <si>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</si>
  <si>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</si>
  <si>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</si>
  <si>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</si>
  <si>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</si>
  <si>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</si>
  <si>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</si>
  <si>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</si>
  <si>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</si>
  <si>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</si>
  <si>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</si>
  <si>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</si>
  <si>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</si>
  <si>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</si>
  <si>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</si>
  <si>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</si>
  <si>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</si>
  <si>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</si>
  <si>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</si>
  <si>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</si>
  <si>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</si>
  <si>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</si>
  <si>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</si>
  <si>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</si>
  <si>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</si>
  <si>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</si>
  <si>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</si>
  <si>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</si>
  <si>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</si>
  <si>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</si>
  <si>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</si>
  <si>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</si>
  <si>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</si>
  <si>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</si>
  <si>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</si>
  <si>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</si>
  <si>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</si>
  <si>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</si>
  <si>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</si>
  <si>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</si>
  <si>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</si>
  <si>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</si>
  <si>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</si>
  <si>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</si>
  <si>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</si>
  <si>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</si>
  <si>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</si>
  <si>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</si>
  <si>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</si>
  <si>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</si>
  <si>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</si>
  <si>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</si>
  <si>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</si>
  <si>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</si>
  <si>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</si>
  <si>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</si>
  <si>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</si>
  <si>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</si>
  <si>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</si>
  <si>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</si>
  <si>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</si>
  <si>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</si>
  <si>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</si>
  <si>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</si>
  <si>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</si>
  <si>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</si>
  <si>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</si>
  <si>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</si>
  <si>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</si>
  <si>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</si>
  <si>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</si>
  <si>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</si>
  <si>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</si>
  <si>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</si>
  <si>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</si>
  <si>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</si>
  <si>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</si>
  <si>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</si>
  <si>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</si>
  <si>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</si>
  <si>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</si>
  <si>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</si>
  <si>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</si>
  <si>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</si>
  <si>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</si>
  <si>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</si>
  <si>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</si>
  <si>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</si>
  <si>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</si>
  <si>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</si>
  <si>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</si>
  <si>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</si>
  <si>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</si>
  <si>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</si>
  <si>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</si>
  <si>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</si>
  <si>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</si>
  <si>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</si>
  <si>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</si>
  <si>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</si>
  <si>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</si>
  <si>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</si>
  <si>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</si>
  <si>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</si>
  <si>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</si>
  <si>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</si>
  <si>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</si>
  <si>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</si>
  <si>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</si>
  <si>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</si>
  <si>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</si>
  <si>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</si>
  <si>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</si>
  <si>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</si>
  <si>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</si>
  <si>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</si>
  <si>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</si>
  <si>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</si>
  <si>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</si>
  <si>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</si>
  <si>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</si>
  <si>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</si>
  <si>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</si>
  <si>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</si>
  <si>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</si>
  <si>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</si>
  <si>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</si>
  <si>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</si>
  <si>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</si>
  <si>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</si>
  <si>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</si>
  <si>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</si>
  <si>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</si>
  <si>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</si>
  <si>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</si>
  <si>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</si>
  <si>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</si>
  <si>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</si>
  <si>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</si>
  <si>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</si>
  <si>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</si>
  <si>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</si>
  <si>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</si>
  <si>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</si>
  <si>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</si>
  <si>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</si>
  <si>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</si>
  <si>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</si>
  <si>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</si>
  <si>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</si>
  <si>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</si>
  <si>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</si>
  <si>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</si>
  <si>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</si>
  <si>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</si>
  <si>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</si>
  <si>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</si>
  <si>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</si>
  <si>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</si>
  <si>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</si>
  <si>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</si>
  <si>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</si>
  <si>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</si>
  <si>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</si>
  <si>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</si>
  <si>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</si>
  <si>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</si>
  <si>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</si>
  <si>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</si>
  <si>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</si>
  <si>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</si>
  <si>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</si>
  <si>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</si>
  <si>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</si>
  <si>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</si>
  <si>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</si>
  <si>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</si>
  <si>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</si>
  <si>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</si>
  <si>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</si>
  <si>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</si>
  <si>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</si>
  <si>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</si>
  <si>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</si>
  <si>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</si>
  <si>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</si>
  <si>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</si>
  <si>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</si>
  <si>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</si>
  <si>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</si>
  <si>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</si>
  <si>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</si>
  <si>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</si>
  <si>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</si>
  <si>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</si>
  <si>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</si>
  <si>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</si>
  <si>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</si>
  <si>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</si>
  <si>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</si>
  <si>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</si>
  <si>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</si>
  <si>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</si>
  <si>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</si>
  <si>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</si>
  <si>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</si>
  <si>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</si>
  <si>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</si>
  <si>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</si>
  <si>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</si>
  <si>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</si>
  <si>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</si>
  <si>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</si>
  <si>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</si>
  <si>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</si>
  <si>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</si>
  <si>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</si>
  <si>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</si>
  <si>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</si>
  <si>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</si>
  <si>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</si>
  <si>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</si>
  <si>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</si>
  <si>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</si>
  <si>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</si>
  <si>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</si>
  <si>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</si>
  <si>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</si>
  <si>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</si>
  <si>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</si>
  <si>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</si>
  <si>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</si>
  <si>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</si>
  <si>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</si>
  <si>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</si>
  <si>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</si>
  <si>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</si>
  <si>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</si>
  <si>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</si>
  <si>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</si>
  <si>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</si>
  <si>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</si>
  <si>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</si>
  <si>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</si>
  <si>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</si>
  <si>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</si>
  <si>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</si>
  <si>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</si>
  <si>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</si>
  <si>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</si>
  <si>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</si>
  <si>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</si>
  <si>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</si>
  <si>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</si>
  <si>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</si>
  <si>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</si>
  <si>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</si>
  <si>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</si>
  <si>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</si>
  <si>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</si>
  <si>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</si>
  <si>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</si>
  <si>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</si>
  <si>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</si>
  <si>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</si>
  <si>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</si>
  <si>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</si>
  <si>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</si>
  <si>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</si>
  <si>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</si>
  <si>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</si>
  <si>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</si>
  <si>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</si>
  <si>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</si>
  <si>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</si>
  <si>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</si>
  <si>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</si>
  <si>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</si>
  <si>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</si>
  <si>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</si>
  <si>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</si>
  <si>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</si>
  <si>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</si>
  <si>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</si>
  <si>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</si>
  <si>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</si>
  <si>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</si>
  <si>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</si>
  <si>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</si>
  <si>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</si>
  <si>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</si>
  <si>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</si>
  <si>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</si>
  <si>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</si>
  <si>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</si>
  <si>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</si>
  <si>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</si>
  <si>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</si>
  <si>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</si>
  <si>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</si>
  <si>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</si>
  <si>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</si>
  <si>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</si>
  <si>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</si>
  <si>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</si>
  <si>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</si>
  <si>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</si>
  <si>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</si>
  <si>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</si>
  <si>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</si>
  <si>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</si>
  <si>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</si>
  <si>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</si>
  <si>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</si>
  <si>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</si>
  <si>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</si>
  <si>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</si>
  <si>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</si>
  <si>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</si>
  <si>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</si>
  <si>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</si>
  <si>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</si>
  <si>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</si>
  <si>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</si>
  <si>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</si>
  <si>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</si>
  <si>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</si>
  <si>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</si>
  <si>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</si>
  <si>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</si>
  <si>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</si>
  <si>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</si>
  <si>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</si>
  <si>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</si>
  <si>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</si>
  <si>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</si>
  <si>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</si>
  <si>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</si>
  <si>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</si>
  <si>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</si>
  <si>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</si>
  <si>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</si>
  <si>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</si>
  <si>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</si>
  <si>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</si>
  <si>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</si>
  <si>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</si>
  <si>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</si>
  <si>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</si>
  <si>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</si>
  <si>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</si>
  <si>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</si>
  <si>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</si>
  <si>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</si>
  <si>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</si>
  <si>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</si>
  <si>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</si>
  <si>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</si>
  <si>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</si>
  <si>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</si>
  <si>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</si>
  <si>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</si>
  <si>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</si>
  <si>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</si>
  <si>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</si>
  <si>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</si>
  <si>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</si>
  <si>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</si>
  <si>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</si>
  <si>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</si>
  <si>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</si>
  <si>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</si>
  <si>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</si>
  <si>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</si>
  <si>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</si>
  <si>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</si>
  <si>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</si>
  <si>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</si>
  <si>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</si>
  <si>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</si>
  <si>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</si>
  <si>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</si>
  <si>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</si>
  <si>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</si>
  <si>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</si>
  <si>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</si>
  <si>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</si>
  <si>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</si>
  <si>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</si>
  <si>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</si>
  <si>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</si>
  <si>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</si>
  <si>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</si>
  <si>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</si>
  <si>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</si>
  <si>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</si>
  <si>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</si>
  <si>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</si>
  <si>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</si>
  <si>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</si>
  <si>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</si>
  <si>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</si>
  <si>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</si>
  <si>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</si>
  <si>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</si>
  <si>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</si>
  <si>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</si>
  <si>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</si>
  <si>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</si>
  <si>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</si>
  <si>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</si>
  <si>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</si>
  <si>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</si>
  <si>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</si>
  <si>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</si>
  <si>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</si>
  <si>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</si>
  <si>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</si>
  <si>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</si>
  <si>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</si>
  <si>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</si>
  <si>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</si>
  <si>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</si>
  <si>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</si>
  <si>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</si>
  <si>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</si>
  <si>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</si>
  <si>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</si>
  <si>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</si>
  <si>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</si>
  <si>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</si>
  <si>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</si>
  <si>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</si>
  <si>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</si>
  <si>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</si>
  <si>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</si>
  <si>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</si>
  <si>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</si>
  <si>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</si>
  <si>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</si>
  <si>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</si>
  <si>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</si>
  <si>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</si>
  <si>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</si>
  <si>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</si>
  <si>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</si>
  <si>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</si>
  <si>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</si>
  <si>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</si>
  <si>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</si>
  <si>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</si>
  <si>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</si>
  <si>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</si>
  <si>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</si>
  <si>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</si>
  <si>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</si>
  <si>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</si>
  <si>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</si>
  <si>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</si>
  <si>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</si>
  <si>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</si>
  <si>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</si>
  <si>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</si>
  <si>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</si>
  <si>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</si>
  <si>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</si>
  <si>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</si>
  <si>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</si>
  <si>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</si>
  <si>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</si>
  <si>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</si>
  <si>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</si>
  <si>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</si>
  <si>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</si>
  <si>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</si>
  <si>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</si>
  <si>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</si>
  <si>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</si>
  <si>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</si>
  <si>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</si>
  <si>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</si>
  <si>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</si>
  <si>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</si>
  <si>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</si>
  <si>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</si>
  <si>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</si>
  <si>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</si>
  <si>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</si>
  <si>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</si>
  <si>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</si>
  <si>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</si>
  <si>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</si>
  <si>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</si>
  <si>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</si>
  <si>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Blue Rapids Township</t>
  </si>
  <si>
    <t xml:space="preserve">Marshall County </t>
  </si>
  <si>
    <t>John Nordquist</t>
  </si>
  <si>
    <t>Treasurer</t>
  </si>
  <si>
    <t xml:space="preserve">Per Diem </t>
  </si>
  <si>
    <t>Per Diem</t>
  </si>
  <si>
    <t>Machine Hire</t>
  </si>
  <si>
    <t>August 28, 2013</t>
  </si>
  <si>
    <t>7:00 p.m</t>
  </si>
  <si>
    <t xml:space="preserve">1162 Cyclone Lane, Blue Rapids,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</si>
</sst>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C53" sqref="C5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Blue Rapids Township</v>
      </c>
      <c r="C1" s="167"/>
      <c r="D1" s="167"/>
      <c r="E1" s="167"/>
      <c r="F1" s="167"/>
      <c r="G1" s="167"/>
      <c r="H1" s="167"/>
      <c r="I1" s="167"/>
      <c r="J1" s="14"/>
      <c r="K1" s="14"/>
      <c r="L1" s="15">
        <f>inputPrYr!D5</f>
        <v>2014</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C53" sqref="C53"/>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Blue Rapids Township</v>
      </c>
      <c r="C7" s="556"/>
      <c r="D7" s="556"/>
      <c r="E7" s="556"/>
      <c r="F7" s="556"/>
      <c r="G7" s="556"/>
      <c r="H7" s="556"/>
      <c r="I7" s="556"/>
    </row>
    <row r="8" spans="2:9" ht="15.75">
      <c r="B8" s="557" t="str">
        <f>inputPrYr!D3</f>
        <v>Marshall County </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1200823</v>
      </c>
      <c r="F27" s="556"/>
      <c r="G27" s="561">
        <f>summ!G37</f>
        <v>1385815</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Blue Rapids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33.8</v>
      </c>
      <c r="D6" s="387">
        <f>C51</f>
        <v>33.8</v>
      </c>
      <c r="E6" s="32">
        <f>D51</f>
        <v>33.8</v>
      </c>
    </row>
    <row r="7" spans="2:5" ht="15.75">
      <c r="B7" s="27" t="s">
        <v>120</v>
      </c>
      <c r="C7" s="387"/>
      <c r="D7" s="387"/>
      <c r="E7" s="33"/>
    </row>
    <row r="8" spans="2:5" ht="15.75">
      <c r="B8" s="27" t="s">
        <v>16</v>
      </c>
      <c r="C8" s="29"/>
      <c r="D8" s="387">
        <f>IF(inputPrYr!H15&gt;0,inputPrYr!G16,inputPrYr!E16)</f>
        <v>0</v>
      </c>
      <c r="E8" s="33" t="s">
        <v>289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0</v>
      </c>
      <c r="D26" s="389">
        <f>SUM(D8:D24)</f>
        <v>0</v>
      </c>
      <c r="E26" s="42">
        <f>SUM(E8:E24)</f>
        <v>0</v>
      </c>
    </row>
    <row r="27" spans="2:5" ht="15.75">
      <c r="B27" s="43" t="s">
        <v>24</v>
      </c>
      <c r="C27" s="389">
        <f>C26+C6</f>
        <v>33.8</v>
      </c>
      <c r="D27" s="389">
        <f>D26+D6</f>
        <v>33.8</v>
      </c>
      <c r="E27" s="42">
        <f>E26+E6</f>
        <v>33.8</v>
      </c>
    </row>
    <row r="28" spans="2:5" ht="15.75">
      <c r="B28" s="27" t="s">
        <v>25</v>
      </c>
      <c r="C28" s="387"/>
      <c r="D28" s="387"/>
      <c r="E28" s="32"/>
    </row>
    <row r="29" spans="2:5" ht="15.75">
      <c r="B29" s="37" t="s">
        <v>945</v>
      </c>
      <c r="C29" s="29"/>
      <c r="D29" s="29"/>
      <c r="E29" s="34"/>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c r="D33" s="29"/>
      <c r="E33" s="34"/>
    </row>
    <row r="34" spans="2:5" ht="15.75">
      <c r="B34" s="37" t="s">
        <v>103</v>
      </c>
      <c r="C34" s="29"/>
      <c r="D34" s="29"/>
      <c r="E34" s="34"/>
    </row>
    <row r="35" spans="2:5" ht="15.75">
      <c r="B35" s="37" t="s">
        <v>126</v>
      </c>
      <c r="C35" s="29"/>
      <c r="D35" s="29"/>
      <c r="E35" s="34"/>
    </row>
    <row r="36" spans="2:5" ht="15.75">
      <c r="B36" s="38" t="s">
        <v>128</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0</v>
      </c>
      <c r="D50" s="381">
        <f>SUM(D29:D48)</f>
        <v>0</v>
      </c>
      <c r="E50" s="47">
        <f>SUM(E29:E43,E45,E47:E48)</f>
        <v>0</v>
      </c>
      <c r="G50" s="484">
        <f>D51</f>
        <v>33.8</v>
      </c>
      <c r="H50" s="485" t="str">
        <f>CONCATENATE("",E1-1," Ending Cash Balance (est.)")</f>
        <v>2013 Ending Cash Balance (est.)</v>
      </c>
      <c r="I50" s="486"/>
      <c r="J50" s="257"/>
    </row>
    <row r="51" spans="2:10" ht="15.75">
      <c r="B51" s="27" t="s">
        <v>119</v>
      </c>
      <c r="C51" s="382">
        <f>C27-C50</f>
        <v>33.8</v>
      </c>
      <c r="D51" s="382">
        <f>SUM(D27-D50)</f>
        <v>33.8</v>
      </c>
      <c r="E51" s="33" t="s">
        <v>289</v>
      </c>
      <c r="G51" s="484">
        <f>E26</f>
        <v>0</v>
      </c>
      <c r="H51" s="487" t="str">
        <f>CONCATENATE("",E1," Non-AV Receipts (est.)")</f>
        <v>2014 Non-AV Receipts (est.)</v>
      </c>
      <c r="I51" s="486"/>
      <c r="J51" s="257"/>
    </row>
    <row r="52" spans="2:11" ht="15.75">
      <c r="B52" s="48" t="str">
        <f>CONCATENATE("",E1-2,"/",E1-1," Budget Authority Amount:")</f>
        <v>2012/2013 Budget Authority Amount:</v>
      </c>
      <c r="C52" s="132">
        <f>inputOth!B46</f>
        <v>1200</v>
      </c>
      <c r="D52" s="161">
        <f>inputPrYr!D16</f>
        <v>1200</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33.8</v>
      </c>
      <c r="H53" s="487" t="str">
        <f>CONCATENATE("Total ",E1," Resources Available")</f>
        <v>Total 2014 Resources Available</v>
      </c>
      <c r="I53" s="486"/>
      <c r="J53" s="257"/>
    </row>
    <row r="54" spans="2:10" ht="15.75">
      <c r="B54" s="395" t="str">
        <f>CONCATENATE(C72,"     ",D72)</f>
        <v>     </v>
      </c>
      <c r="C54" s="803" t="s">
        <v>623</v>
      </c>
      <c r="D54" s="804"/>
      <c r="E54" s="32">
        <f>E50+E53</f>
        <v>0</v>
      </c>
      <c r="G54" s="489"/>
      <c r="H54" s="487"/>
      <c r="I54" s="487"/>
      <c r="J54" s="257"/>
    </row>
    <row r="55" spans="2:10" ht="15.75">
      <c r="B55" s="395" t="str">
        <f>CONCATENATE(C73,"     ",D73)</f>
        <v>     </v>
      </c>
      <c r="C55" s="60"/>
      <c r="D55" s="52" t="s">
        <v>28</v>
      </c>
      <c r="E55" s="46">
        <f>IF(E54-E27&gt;0,E54-E27,0)</f>
        <v>0</v>
      </c>
      <c r="G55" s="488">
        <f>ROUND(C50*0.05+C50,0)</f>
        <v>0</v>
      </c>
      <c r="H55" s="487" t="str">
        <f>CONCATENATE("Less ",E1-2," Expenditures + 5%")</f>
        <v>Less 2012 Expenditures + 5%</v>
      </c>
      <c r="I55" s="486"/>
      <c r="J55" s="257"/>
    </row>
    <row r="56" spans="2:10" ht="15.75">
      <c r="B56" s="52"/>
      <c r="C56" s="399" t="s">
        <v>624</v>
      </c>
      <c r="D56" s="689">
        <f>inputOth!$E$40</f>
        <v>0</v>
      </c>
      <c r="E56" s="32">
        <f>ROUND(IF(D56&gt;0,(E55*D56),0),0)</f>
        <v>0</v>
      </c>
      <c r="G56" s="490">
        <f>G53-G55</f>
        <v>33.8</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16.987</v>
      </c>
      <c r="H62" s="485" t="str">
        <f>CONCATENATE("Total ",E1," Mill Rate")</f>
        <v>Total 2014 Mill Rate</v>
      </c>
      <c r="I62" s="691"/>
      <c r="J62" s="703"/>
    </row>
    <row r="63" spans="2:10" ht="15.75">
      <c r="B63" s="12"/>
      <c r="G63" s="705">
        <f>summ!F32</f>
        <v>16.953</v>
      </c>
      <c r="H63" s="707" t="str">
        <f>CONCATENATE("Total ",E1-1," Mill Rate")</f>
        <v>Total 2013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C53" sqref="C5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Blue Rapids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16.987</v>
      </c>
      <c r="H45" s="632" t="str">
        <f>CONCATENATE("Total ",E1," Mill Rate")</f>
        <v>Total 2014 Mill Rate</v>
      </c>
      <c r="I45" s="656"/>
      <c r="J45" s="657"/>
    </row>
    <row r="46" spans="2:10" ht="15.75">
      <c r="B46" s="594" t="s">
        <v>144</v>
      </c>
      <c r="C46" s="599">
        <v>0</v>
      </c>
      <c r="D46" s="596">
        <f>C74</f>
        <v>0</v>
      </c>
      <c r="E46" s="597">
        <f>D74</f>
        <v>0</v>
      </c>
      <c r="F46" s="635"/>
      <c r="G46" s="659">
        <f>summ!F32</f>
        <v>16.953</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16.987</v>
      </c>
      <c r="H85" s="632" t="str">
        <f>CONCATENATE("Total ",E1," Mill Rate")</f>
        <v>Total 2014 Mill Rate</v>
      </c>
      <c r="I85" s="656"/>
      <c r="J85" s="657"/>
    </row>
    <row r="86" spans="7:10" ht="15.75">
      <c r="G86" s="659">
        <f>summ!F32</f>
        <v>16.953</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10"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9">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Blue Rapids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1307.49</v>
      </c>
      <c r="D6" s="387">
        <f>C44</f>
        <v>1693.8100000000013</v>
      </c>
      <c r="E6" s="32">
        <f>D44</f>
        <v>778.8100000000013</v>
      </c>
    </row>
    <row r="7" spans="2:5" ht="15.75">
      <c r="B7" s="27" t="s">
        <v>120</v>
      </c>
      <c r="C7" s="387"/>
      <c r="D7" s="387"/>
      <c r="E7" s="33"/>
    </row>
    <row r="8" spans="2:5" ht="15.75">
      <c r="B8" s="27" t="s">
        <v>16</v>
      </c>
      <c r="C8" s="29">
        <v>19757.28</v>
      </c>
      <c r="D8" s="387">
        <f>IF(inputPrYr!H15&gt;0,inputPrYr!G19,inputPrYr!E19)</f>
        <v>20358</v>
      </c>
      <c r="E8" s="33" t="s">
        <v>289</v>
      </c>
    </row>
    <row r="9" spans="2:5" ht="15.75">
      <c r="B9" s="27" t="s">
        <v>17</v>
      </c>
      <c r="C9" s="29">
        <v>499.25</v>
      </c>
      <c r="D9" s="29"/>
      <c r="E9" s="34"/>
    </row>
    <row r="10" spans="2:5" ht="15.75">
      <c r="B10" s="27" t="s">
        <v>18</v>
      </c>
      <c r="C10" s="29">
        <v>1483.55</v>
      </c>
      <c r="D10" s="29">
        <v>1521</v>
      </c>
      <c r="E10" s="32">
        <f>mvalloc!G14</f>
        <v>1513</v>
      </c>
    </row>
    <row r="11" spans="2:5" ht="15.75">
      <c r="B11" s="27" t="s">
        <v>19</v>
      </c>
      <c r="C11" s="29">
        <v>33.61</v>
      </c>
      <c r="D11" s="29">
        <v>17</v>
      </c>
      <c r="E11" s="32">
        <f>mvalloc!I14</f>
        <v>35</v>
      </c>
    </row>
    <row r="12" spans="2:5" ht="15.75">
      <c r="B12" s="27" t="s">
        <v>99</v>
      </c>
      <c r="C12" s="29">
        <v>737.57</v>
      </c>
      <c r="D12" s="29">
        <v>714</v>
      </c>
      <c r="E12" s="32">
        <f>mvalloc!J14</f>
        <v>783</v>
      </c>
    </row>
    <row r="13" spans="2:5" ht="15.75">
      <c r="B13" s="27" t="s">
        <v>100</v>
      </c>
      <c r="C13" s="29">
        <v>1546.23</v>
      </c>
      <c r="D13" s="29">
        <v>1100</v>
      </c>
      <c r="E13" s="32">
        <f>inputOth!E36</f>
        <v>1200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v>28.25</v>
      </c>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24085.739999999998</v>
      </c>
      <c r="D23" s="389">
        <f>SUM(D8:D21)</f>
        <v>23710</v>
      </c>
      <c r="E23" s="42">
        <f>SUM(E8:E21)</f>
        <v>3531</v>
      </c>
    </row>
    <row r="24" spans="2:5" ht="15.75">
      <c r="B24" s="43" t="s">
        <v>24</v>
      </c>
      <c r="C24" s="389">
        <f>C23+C6</f>
        <v>25393.23</v>
      </c>
      <c r="D24" s="389">
        <f>D23+D6</f>
        <v>25403.81</v>
      </c>
      <c r="E24" s="42">
        <f>E23+E6</f>
        <v>4309.810000000001</v>
      </c>
    </row>
    <row r="25" spans="2:5" ht="15.75">
      <c r="B25" s="27" t="s">
        <v>25</v>
      </c>
      <c r="C25" s="387"/>
      <c r="D25" s="387"/>
      <c r="E25" s="32"/>
    </row>
    <row r="26" spans="2:5" ht="15.75">
      <c r="B26" s="38" t="s">
        <v>946</v>
      </c>
      <c r="C26" s="29">
        <v>720</v>
      </c>
      <c r="D26" s="29">
        <v>1700</v>
      </c>
      <c r="E26" s="34">
        <v>1850</v>
      </c>
    </row>
    <row r="27" spans="2:5" ht="15.75">
      <c r="B27" s="38" t="s">
        <v>125</v>
      </c>
      <c r="C27" s="29">
        <v>851.04</v>
      </c>
      <c r="D27" s="29">
        <v>2000</v>
      </c>
      <c r="E27" s="34">
        <v>2000</v>
      </c>
    </row>
    <row r="28" spans="2:5" ht="15.75">
      <c r="B28" s="37" t="s">
        <v>102</v>
      </c>
      <c r="C28" s="29">
        <v>310.55</v>
      </c>
      <c r="D28" s="29"/>
      <c r="E28" s="34">
        <v>500</v>
      </c>
    </row>
    <row r="29" spans="2:5" ht="15.75">
      <c r="B29" s="38" t="s">
        <v>127</v>
      </c>
      <c r="C29" s="29">
        <v>7269.91</v>
      </c>
      <c r="D29" s="29">
        <v>4925</v>
      </c>
      <c r="E29" s="34">
        <v>7500</v>
      </c>
    </row>
    <row r="30" spans="2:5" ht="15.75">
      <c r="B30" s="38" t="s">
        <v>105</v>
      </c>
      <c r="C30" s="29">
        <v>7841.41</v>
      </c>
      <c r="D30" s="29">
        <v>8000</v>
      </c>
      <c r="E30" s="34">
        <v>8000</v>
      </c>
    </row>
    <row r="31" spans="2:5" ht="15.75">
      <c r="B31" s="38" t="s">
        <v>103</v>
      </c>
      <c r="C31" s="29"/>
      <c r="D31" s="29">
        <v>1000</v>
      </c>
      <c r="E31" s="34">
        <v>1000</v>
      </c>
    </row>
    <row r="32" spans="2:5" ht="15.75">
      <c r="B32" s="38" t="s">
        <v>128</v>
      </c>
      <c r="C32" s="29">
        <v>765</v>
      </c>
      <c r="D32" s="29">
        <v>2000</v>
      </c>
      <c r="E32" s="34">
        <v>2000</v>
      </c>
    </row>
    <row r="33" spans="2:5" ht="15.75">
      <c r="B33" s="38" t="s">
        <v>947</v>
      </c>
      <c r="C33" s="29">
        <v>3968.53</v>
      </c>
      <c r="D33" s="29">
        <v>3000</v>
      </c>
      <c r="E33" s="34">
        <v>3000</v>
      </c>
    </row>
    <row r="34" spans="2:10" ht="15.75">
      <c r="B34" s="37" t="s">
        <v>21</v>
      </c>
      <c r="C34" s="29">
        <v>1972.98</v>
      </c>
      <c r="D34" s="29">
        <v>2000</v>
      </c>
      <c r="E34" s="34">
        <v>2000</v>
      </c>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23699.42</v>
      </c>
      <c r="D43" s="389">
        <f>SUM(D26:D38,D40:D41)</f>
        <v>24625</v>
      </c>
      <c r="E43" s="42">
        <f>SUM(E26:E38,E40:E41)</f>
        <v>27850</v>
      </c>
      <c r="G43" s="484">
        <f>D44</f>
        <v>778.8100000000013</v>
      </c>
      <c r="H43" s="485" t="str">
        <f>CONCATENATE("",E1-1," Ending Cash Balance (est.)")</f>
        <v>2013 Ending Cash Balance (est.)</v>
      </c>
      <c r="I43" s="486"/>
      <c r="J43" s="257"/>
    </row>
    <row r="44" spans="2:10" ht="15.75">
      <c r="B44" s="27" t="s">
        <v>119</v>
      </c>
      <c r="C44" s="382">
        <f>C24-C43</f>
        <v>1693.8100000000013</v>
      </c>
      <c r="D44" s="382">
        <f>D24-D43</f>
        <v>778.8100000000013</v>
      </c>
      <c r="E44" s="33" t="s">
        <v>289</v>
      </c>
      <c r="G44" s="484">
        <f>E23</f>
        <v>3531</v>
      </c>
      <c r="H44" s="487" t="str">
        <f>CONCATENATE("",E1," Non-AV Receipts (est.)")</f>
        <v>2014 Non-AV Receipts (est.)</v>
      </c>
      <c r="I44" s="486"/>
      <c r="J44" s="257"/>
    </row>
    <row r="45" spans="2:11" ht="15.75">
      <c r="B45" s="48" t="str">
        <f>CONCATENATE("",E1-2,"/",E1-1," Budget Authority Amount:")</f>
        <v>2012/2013 Budget Authority Amount:</v>
      </c>
      <c r="C45" s="132">
        <f>inputOth!B49</f>
        <v>23700</v>
      </c>
      <c r="D45" s="161">
        <f>inputPrYr!D19</f>
        <v>24625</v>
      </c>
      <c r="E45" s="33" t="s">
        <v>289</v>
      </c>
      <c r="F45" s="50"/>
      <c r="G45" s="488">
        <f>IF(D49&gt;0,E48,E50)</f>
        <v>23540.19</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27850</v>
      </c>
      <c r="H46" s="487" t="str">
        <f>CONCATENATE("Total ",E1," Resources Available")</f>
        <v>Total 2014 Resources Available</v>
      </c>
      <c r="I46" s="486"/>
      <c r="J46" s="257"/>
    </row>
    <row r="47" spans="2:10" ht="15.75">
      <c r="B47" s="395" t="str">
        <f>CONCATENATE(C74,"     ",D74)</f>
        <v>     </v>
      </c>
      <c r="C47" s="803" t="s">
        <v>623</v>
      </c>
      <c r="D47" s="804"/>
      <c r="E47" s="32">
        <f>E43+E46</f>
        <v>27850</v>
      </c>
      <c r="G47" s="489"/>
      <c r="H47" s="487"/>
      <c r="I47" s="487"/>
      <c r="J47" s="257"/>
    </row>
    <row r="48" spans="2:10" ht="15.75">
      <c r="B48" s="395" t="str">
        <f>CONCATENATE(C75,"     ",D75)</f>
        <v>     </v>
      </c>
      <c r="C48" s="60"/>
      <c r="D48" s="52" t="s">
        <v>28</v>
      </c>
      <c r="E48" s="46">
        <f>IF(E47-E24&gt;0,E47-E24,0)</f>
        <v>23540.19</v>
      </c>
      <c r="G48" s="488">
        <f>ROUND(C43*0.05+C43,0)</f>
        <v>24884</v>
      </c>
      <c r="H48" s="487" t="str">
        <f>CONCATENATE("Less ",E1-2," Expenditures + 5%")</f>
        <v>Less 2012 Expenditures + 5%</v>
      </c>
      <c r="I48" s="486"/>
      <c r="J48" s="257"/>
    </row>
    <row r="49" spans="2:10" ht="15.75">
      <c r="B49" s="52"/>
      <c r="C49" s="399" t="s">
        <v>624</v>
      </c>
      <c r="D49" s="689">
        <f>inputOth!$E$40</f>
        <v>0</v>
      </c>
      <c r="E49" s="32">
        <f>ROUND(IF(D49&gt;0,(E48*D49),0),0)</f>
        <v>0</v>
      </c>
      <c r="G49" s="490">
        <f>G46-G48</f>
        <v>2966</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23540.19</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16.987</v>
      </c>
      <c r="H53" s="485" t="str">
        <f>CONCATENATE("",E1," Fund Mill Rate")</f>
        <v>2014 Fund Mill Rate</v>
      </c>
      <c r="I53" s="691"/>
      <c r="J53" s="703"/>
    </row>
    <row r="54" spans="2:10" ht="15.75">
      <c r="B54" s="71" t="s">
        <v>31</v>
      </c>
      <c r="C54" s="400" t="str">
        <f>CONCATENATE("",E1-2," Actual Year")</f>
        <v>2012 Actual Year</v>
      </c>
      <c r="D54" s="14"/>
      <c r="E54" s="14"/>
      <c r="G54" s="705">
        <f>summ!F21</f>
        <v>16.953</v>
      </c>
      <c r="H54" s="485" t="str">
        <f>CONCATENATE("",E1-1," Fund Mill Rate")</f>
        <v>2013 Fund Mill Rate</v>
      </c>
      <c r="I54" s="691"/>
      <c r="J54" s="703"/>
    </row>
    <row r="55" spans="2:10" ht="15.75">
      <c r="B55" s="72" t="s">
        <v>14</v>
      </c>
      <c r="C55" s="130">
        <v>40880.58</v>
      </c>
      <c r="D55" s="14"/>
      <c r="E55" s="14"/>
      <c r="G55" s="706">
        <f>summ!I32</f>
        <v>16.987</v>
      </c>
      <c r="H55" s="485" t="str">
        <f>CONCATENATE("Total ",E1," Mill Rate")</f>
        <v>Total 2014 Mill Rate</v>
      </c>
      <c r="I55" s="691"/>
      <c r="J55" s="703"/>
    </row>
    <row r="56" spans="2:10" ht="15.75">
      <c r="B56" s="72" t="s">
        <v>33</v>
      </c>
      <c r="C56" s="132"/>
      <c r="D56" s="14"/>
      <c r="E56" s="14"/>
      <c r="G56" s="705">
        <f>summ!F32</f>
        <v>16.953</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v>326.7</v>
      </c>
      <c r="D61" s="14"/>
      <c r="E61" s="14"/>
    </row>
    <row r="62" spans="2:5" ht="15.75">
      <c r="B62" s="76" t="s">
        <v>21</v>
      </c>
      <c r="C62" s="130"/>
      <c r="D62" s="14"/>
      <c r="E62" s="14"/>
    </row>
    <row r="63" spans="2:5" ht="15.75">
      <c r="B63" s="77" t="s">
        <v>24</v>
      </c>
      <c r="C63" s="132">
        <f>SUM(C55:C62)</f>
        <v>41207.28</v>
      </c>
      <c r="D63" s="14"/>
      <c r="E63" s="14"/>
    </row>
    <row r="64" spans="2:5" ht="15.75">
      <c r="B64" s="77" t="s">
        <v>26</v>
      </c>
      <c r="C64" s="130">
        <v>392.32</v>
      </c>
      <c r="D64" s="14"/>
      <c r="E64" s="14"/>
    </row>
    <row r="65" spans="2:5" ht="15.75">
      <c r="B65" s="77" t="s">
        <v>27</v>
      </c>
      <c r="C65" s="397">
        <f>SUM(C63-C64)</f>
        <v>40814.96</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10"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Blue Rapids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16.987</v>
      </c>
      <c r="H45" s="632" t="str">
        <f>CONCATENATE("Total ",E1," Mill Rate")</f>
        <v>Total 2014 Mill Rate</v>
      </c>
      <c r="I45" s="656"/>
      <c r="J45" s="657"/>
      <c r="K45" s="582"/>
    </row>
    <row r="46" spans="2:11" ht="15.75">
      <c r="B46" s="27" t="s">
        <v>118</v>
      </c>
      <c r="C46" s="29"/>
      <c r="D46" s="387">
        <f>C74</f>
        <v>0</v>
      </c>
      <c r="E46" s="32">
        <f>D74</f>
        <v>0</v>
      </c>
      <c r="G46" s="659">
        <f>summ!F32</f>
        <v>16.953</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16.987</v>
      </c>
      <c r="H85" s="632" t="str">
        <f>CONCATENATE("Total ",E1," Mill Rate")</f>
        <v>Total 2014 Mill Rate</v>
      </c>
      <c r="I85" s="656"/>
      <c r="J85" s="657"/>
      <c r="K85" s="582"/>
    </row>
    <row r="86" spans="7:11" ht="15.75">
      <c r="G86" s="659">
        <f>summ!F32</f>
        <v>16.953</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10"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Blue Rapids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16.987</v>
      </c>
      <c r="H45" s="632" t="str">
        <f>CONCATENATE("Total ",E1," Mill Rate")</f>
        <v>Total 2014 Mill Rate</v>
      </c>
      <c r="I45" s="656"/>
      <c r="J45" s="657"/>
      <c r="K45" s="582"/>
    </row>
    <row r="46" spans="2:11" ht="15.75">
      <c r="B46" s="27" t="s">
        <v>118</v>
      </c>
      <c r="C46" s="29"/>
      <c r="D46" s="387">
        <f>C74</f>
        <v>0</v>
      </c>
      <c r="E46" s="32">
        <f>D74</f>
        <v>0</v>
      </c>
      <c r="G46" s="659">
        <f>summ!F32</f>
        <v>16.953</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16.987</v>
      </c>
      <c r="H85" s="632" t="str">
        <f>CONCATENATE("Total ",E1," Mill Rate")</f>
        <v>Total 2014 Mill Rate</v>
      </c>
      <c r="I85" s="656"/>
      <c r="J85" s="657"/>
      <c r="K85" s="582"/>
    </row>
    <row r="86" spans="7:11" ht="15.75">
      <c r="G86" s="659">
        <f>summ!F32</f>
        <v>16.953</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10"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Blue Rapids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16.987</v>
      </c>
      <c r="H45" s="632" t="str">
        <f>CONCATENATE("Total ",E1," Mill Rate")</f>
        <v>Total 2014 Mill Rate</v>
      </c>
      <c r="I45" s="656"/>
      <c r="J45" s="657"/>
      <c r="K45" s="582"/>
    </row>
    <row r="46" spans="2:11" ht="15.75">
      <c r="B46" s="27" t="s">
        <v>118</v>
      </c>
      <c r="C46" s="29"/>
      <c r="D46" s="387">
        <f>C74</f>
        <v>0</v>
      </c>
      <c r="E46" s="32">
        <f>D74</f>
        <v>0</v>
      </c>
      <c r="G46" s="659">
        <f>summ!F32</f>
        <v>16.953</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16.987</v>
      </c>
      <c r="H85" s="632" t="str">
        <f>CONCATENATE("Total ",E1," Mill Rate")</f>
        <v>Total 2014 Mill Rate</v>
      </c>
      <c r="I85" s="656"/>
      <c r="J85" s="657"/>
      <c r="K85" s="582"/>
    </row>
    <row r="86" spans="7:11" ht="15.75">
      <c r="G86" s="659">
        <f>summ!F32</f>
        <v>16.953</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10"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3" sqref="C53"/>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Blue Rapids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53" sqref="C5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Blue Rapids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4">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1200</v>
      </c>
      <c r="E16" s="187"/>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24625</v>
      </c>
      <c r="E19" s="187">
        <v>20358</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20358</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25825</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18.241</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18.241</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19868</v>
      </c>
    </row>
    <row r="55" spans="1:5" ht="15.75">
      <c r="A55" s="327" t="str">
        <f>CONCATENATE("Assessed Valuation (",D5-2," budget column)")</f>
        <v>Assessed Valuation (2012 budget column)</v>
      </c>
      <c r="B55" s="328"/>
      <c r="C55" s="267"/>
      <c r="D55" s="28"/>
      <c r="E55" s="187">
        <v>1089221</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scale="10"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C53" sqref="C53"/>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J12" sqref="J1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75"/>
      <c r="D2" s="775"/>
      <c r="E2" s="775"/>
      <c r="F2" s="775"/>
      <c r="G2" s="775"/>
      <c r="H2" s="775"/>
      <c r="I2" s="775"/>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Blue Rapids Township</v>
      </c>
      <c r="C5" s="773"/>
      <c r="D5" s="773"/>
      <c r="E5" s="773"/>
      <c r="F5" s="773"/>
      <c r="G5" s="773"/>
      <c r="H5" s="773"/>
      <c r="I5" s="773"/>
    </row>
    <row r="6" spans="2:9" ht="15.75">
      <c r="B6" s="773" t="str">
        <f>inputPrYr!D3</f>
        <v>Marshall County </v>
      </c>
      <c r="C6" s="773"/>
      <c r="D6" s="773"/>
      <c r="E6" s="773"/>
      <c r="F6" s="773"/>
      <c r="G6" s="773"/>
      <c r="H6" s="773"/>
      <c r="I6" s="773"/>
    </row>
    <row r="7" spans="2:9" ht="15.75">
      <c r="B7" s="764" t="str">
        <f>CONCATENATE("will meet on ",inputBudSum!B8," at ",inputBudSum!B10," at ",inputBudSum!B12," for the purpose of hearing and")</f>
        <v>will meet on August 28, 2013 at 7:00 p.m at 1162 Cyclone Lane, Blue Rapids, KS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1162 Cyclone Lane, Blue Rapids,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t="str">
        <f>IF(gen!$C$50&lt;&gt;0,gen!$C$50,"  ")</f>
        <v>  </v>
      </c>
      <c r="D18" s="524" t="str">
        <f>IF(inputPrYr!D42&gt;0,inputPrYr!D42,"  ")</f>
        <v>  </v>
      </c>
      <c r="E18" s="32" t="str">
        <f>IF(gen!$D$50&lt;&gt;0,gen!$D$50,"  ")</f>
        <v>  </v>
      </c>
      <c r="F18" s="235" t="str">
        <f>IF(inputOth!D17&gt;0,inputOth!D17,"  ")</f>
        <v>  </v>
      </c>
      <c r="G18" s="32" t="str">
        <f>IF(gen!$E$50&lt;&gt;0,gen!$E$50,"  ")</f>
        <v>  </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23699.42</v>
      </c>
      <c r="D21" s="524">
        <f>IF(inputPrYr!D45&gt;0,inputPrYr!D45,"  ")</f>
        <v>18.241</v>
      </c>
      <c r="E21" s="32">
        <f>IF(road!$D$43&lt;&gt;0,road!$D$43,"  ")</f>
        <v>24625</v>
      </c>
      <c r="F21" s="235">
        <f>IF(inputOth!D20&gt;0,inputOth!D20,"  ")</f>
        <v>16.953</v>
      </c>
      <c r="G21" s="32">
        <f>IF(road!$E$43&lt;&gt;0,road!$E$43,"  ")</f>
        <v>27850</v>
      </c>
      <c r="H21" s="32">
        <f>IF(road!$E$50&lt;&gt;0,road!$E$50,"  ")</f>
        <v>23540.19</v>
      </c>
      <c r="I21" s="526">
        <f>IF(road!E50&gt;0,ROUND(H21/$G$37*1000,3)," ")</f>
        <v>16.987</v>
      </c>
      <c r="K21" s="833" t="str">
        <f>CONCATENATE("Estimated Value Of One Mill For ",I1,"")</f>
        <v>Estimated Value Of One Mill For 2014</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1386</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16.953</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-46.18999999999869</v>
      </c>
    </row>
    <row r="31" spans="2:14" ht="16.5" thickBot="1">
      <c r="B31" s="72" t="s">
        <v>287</v>
      </c>
      <c r="C31" s="479">
        <f>IF(road!C64&lt;&gt;0,road!C64,"  ")</f>
        <v>392.32</v>
      </c>
      <c r="D31" s="480"/>
      <c r="E31" s="525"/>
      <c r="F31" s="480"/>
      <c r="G31" s="525"/>
      <c r="H31" s="525"/>
      <c r="I31" s="480"/>
      <c r="K31" s="514"/>
      <c r="L31" s="514"/>
      <c r="M31" s="514"/>
      <c r="N31" s="514"/>
    </row>
    <row r="32" spans="2:14" ht="15.75">
      <c r="B32" s="72" t="s">
        <v>288</v>
      </c>
      <c r="C32" s="527">
        <f aca="true" t="shared" si="0" ref="C32:I32">SUM(C18:C31)</f>
        <v>24091.739999999998</v>
      </c>
      <c r="D32" s="478">
        <f t="shared" si="0"/>
        <v>18.241</v>
      </c>
      <c r="E32" s="527">
        <f t="shared" si="0"/>
        <v>24625</v>
      </c>
      <c r="F32" s="478">
        <f t="shared" si="0"/>
        <v>16.953</v>
      </c>
      <c r="G32" s="527">
        <f t="shared" si="0"/>
        <v>27850</v>
      </c>
      <c r="H32" s="527">
        <f t="shared" si="0"/>
        <v>23540.19</v>
      </c>
      <c r="I32" s="530">
        <f t="shared" si="0"/>
        <v>16.987</v>
      </c>
      <c r="K32" s="833" t="str">
        <f>CONCATENATE("Impact On Keeping The Same Mill Rate As For ",I1-1,"")</f>
        <v>Impact On Keeping The Same Mill Rate As For 2013</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24091.739999999998</v>
      </c>
      <c r="D34" s="14"/>
      <c r="E34" s="528">
        <f>E32-E33</f>
        <v>24625</v>
      </c>
      <c r="F34" s="14"/>
      <c r="G34" s="528">
        <f>G32-G33</f>
        <v>27850</v>
      </c>
      <c r="H34" s="14"/>
      <c r="I34" s="14"/>
      <c r="K34" s="507" t="str">
        <f>CONCATENATE("",I1," Ad Valorem Tax Revenue:")</f>
        <v>2014 Ad Valorem Tax Revenue:</v>
      </c>
      <c r="L34" s="501"/>
      <c r="M34" s="501"/>
      <c r="N34" s="502">
        <f>H32</f>
        <v>23540.19</v>
      </c>
    </row>
    <row r="35" spans="2:14" ht="16.5" thickTop="1">
      <c r="B35" s="274" t="s">
        <v>46</v>
      </c>
      <c r="C35" s="529">
        <f>inputPrYr!E54</f>
        <v>19868</v>
      </c>
      <c r="D35" s="61"/>
      <c r="E35" s="529">
        <f>inputPrYr!E26</f>
        <v>20358</v>
      </c>
      <c r="F35" s="14"/>
      <c r="G35" s="520" t="s">
        <v>289</v>
      </c>
      <c r="H35" s="14"/>
      <c r="I35" s="14"/>
      <c r="K35" s="507" t="str">
        <f>CONCATENATE("",I1-1," Ad Valorem Tax Revenue:")</f>
        <v>2013 Ad Valorem Tax Revenue:</v>
      </c>
      <c r="L35" s="501"/>
      <c r="M35" s="501"/>
      <c r="N35" s="515">
        <f>ROUND(G37*N27/1000,0)</f>
        <v>23494</v>
      </c>
    </row>
    <row r="36" spans="2:14" ht="15.75">
      <c r="B36" s="274" t="s">
        <v>47</v>
      </c>
      <c r="C36" s="55"/>
      <c r="D36" s="61"/>
      <c r="E36" s="55"/>
      <c r="F36" s="61"/>
      <c r="G36" s="14"/>
      <c r="H36" s="14"/>
      <c r="I36" s="14"/>
      <c r="K36" s="512" t="s">
        <v>717</v>
      </c>
      <c r="L36" s="513"/>
      <c r="M36" s="513"/>
      <c r="N36" s="505">
        <f>N34-N35</f>
        <v>46.18999999999869</v>
      </c>
    </row>
    <row r="37" spans="2:14" ht="15.75">
      <c r="B37" s="274" t="s">
        <v>48</v>
      </c>
      <c r="C37" s="32">
        <f>inputPrYr!E55</f>
        <v>1089221</v>
      </c>
      <c r="D37" s="14"/>
      <c r="E37" s="32">
        <f>inputOth!E29</f>
        <v>1200823</v>
      </c>
      <c r="F37" s="14"/>
      <c r="G37" s="32">
        <f>inputOth!E7</f>
        <v>1385815</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16.987</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John Nordquist</v>
      </c>
      <c r="C46" s="832"/>
      <c r="D46" s="14"/>
      <c r="E46" s="14"/>
      <c r="F46" s="14"/>
      <c r="G46" s="14"/>
      <c r="H46" s="14"/>
      <c r="I46" s="14"/>
    </row>
    <row r="47" spans="2:9" ht="15.75">
      <c r="B47" s="830" t="str">
        <f>inputBudSum!B6</f>
        <v>Treasurer</v>
      </c>
      <c r="C47" s="831"/>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10"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C53" sqref="C5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Blue Rapids Township</v>
      </c>
      <c r="B1" s="14"/>
      <c r="C1" s="14"/>
      <c r="D1" s="14"/>
      <c r="E1" s="14"/>
      <c r="F1" s="14">
        <f>inputPrYr!D5</f>
        <v>2014</v>
      </c>
    </row>
    <row r="2" spans="1:6" ht="15.75">
      <c r="A2" s="14"/>
      <c r="B2" s="14"/>
      <c r="C2" s="14"/>
      <c r="D2" s="14"/>
      <c r="E2" s="14"/>
      <c r="F2" s="14"/>
    </row>
    <row r="3" spans="1:6" ht="15.75">
      <c r="A3" s="14"/>
      <c r="B3" s="776" t="str">
        <f>CONCATENATE("",F1," Neighborhood Revitalization Rebate")</f>
        <v>2014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1385815</v>
      </c>
      <c r="E19" s="14"/>
      <c r="F19" s="129"/>
    </row>
    <row r="20" spans="1:6" ht="15.75">
      <c r="A20" s="14"/>
      <c r="B20" s="14"/>
      <c r="C20" s="14"/>
      <c r="D20" s="14"/>
      <c r="E20" s="14"/>
      <c r="F20" s="129"/>
    </row>
    <row r="21" spans="1:6" ht="15.75">
      <c r="A21" s="14"/>
      <c r="B21" s="842" t="s">
        <v>365</v>
      </c>
      <c r="C21" s="842"/>
      <c r="D21" s="137">
        <f>IF(D19&gt;0,(D19*0.001),"")</f>
        <v>1385.815</v>
      </c>
      <c r="E21" s="14"/>
      <c r="F21" s="129"/>
    </row>
    <row r="22" spans="1:6" ht="15.75">
      <c r="A22" s="14"/>
      <c r="B22" s="48"/>
      <c r="C22" s="48"/>
      <c r="D22" s="138"/>
      <c r="E22" s="14"/>
      <c r="F22" s="129"/>
    </row>
    <row r="23" spans="1:6" ht="15.75">
      <c r="A23" s="840" t="s">
        <v>367</v>
      </c>
      <c r="B23" s="775"/>
      <c r="C23" s="775"/>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20"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C53" sqref="C53"/>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Blue Rapids Township </v>
      </c>
      <c r="I6">
        <f>CONCATENATE(I7)</f>
      </c>
    </row>
    <row r="7" spans="1:7" ht="15.75">
      <c r="A7" s="852" t="str">
        <f>CONCATENATE("   with respect to financing the ",inputPrYr!D5," annual budget for ",(inputPrYr!D2)," , ",(inputPrYr!D3)," , Kansas.")</f>
        <v>   with respect to financing the 2014 annual budget for Blue Rapids Township , Marshall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Blue Rapids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Blue Rapids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Blue Rapids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Blue Rapids Township of Marshall County , Kansas that is our desire to notify the public of increased property taxes to finance the 2014 Blue Rapids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Blue Rapids Township Board, Marshall County ,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Blue Rapids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2">
      <selection activeCell="B50" sqref="B5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Blue Rapids Township</v>
      </c>
      <c r="B1" s="90"/>
      <c r="C1" s="90"/>
      <c r="D1" s="90"/>
      <c r="E1" s="90">
        <f>inputPrYr!D5</f>
        <v>2014</v>
      </c>
    </row>
    <row r="2" spans="1:5" ht="15.75">
      <c r="A2" s="88" t="str">
        <f>inputPrYr!D3</f>
        <v>Marshall County </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1385815</v>
      </c>
    </row>
    <row r="8" spans="1:5" ht="15.75">
      <c r="A8" s="22" t="str">
        <f>CONCATENATE("New Improvements for ",E1-1,"")</f>
        <v>New Improvements for 2013</v>
      </c>
      <c r="B8" s="19"/>
      <c r="C8" s="19"/>
      <c r="D8" s="19"/>
      <c r="E8" s="283">
        <v>39827</v>
      </c>
    </row>
    <row r="9" spans="1:5" ht="15.75">
      <c r="A9" s="22" t="str">
        <f>CONCATENATE("Personal Property excluding oil, gas, and mobile homes - ",E1-1,"")</f>
        <v>Personal Property excluding oil, gas, and mobile homes - 2013</v>
      </c>
      <c r="B9" s="19"/>
      <c r="C9" s="19"/>
      <c r="D9" s="19"/>
      <c r="E9" s="283">
        <v>49758</v>
      </c>
    </row>
    <row r="10" spans="1:5" ht="15.75">
      <c r="A10" s="22" t="str">
        <f>CONCATENATE("Property that has changed in use for ",E1-1,"")</f>
        <v>Property that has changed in use for 2013</v>
      </c>
      <c r="B10" s="19"/>
      <c r="C10" s="19"/>
      <c r="D10" s="19"/>
      <c r="E10" s="283">
        <v>7561</v>
      </c>
    </row>
    <row r="11" spans="1:5" ht="15.75">
      <c r="A11" s="22" t="str">
        <f>CONCATENATE("Personal Property excluding oil, gas, and mobile homes- ",E1-2,"")</f>
        <v>Personal Property excluding oil, gas, and mobile homes- 2012</v>
      </c>
      <c r="B11" s="19"/>
      <c r="C11" s="19"/>
      <c r="D11" s="19"/>
      <c r="E11" s="283">
        <v>59459</v>
      </c>
    </row>
    <row r="12" spans="1:5" ht="15.75">
      <c r="A12" s="22" t="str">
        <f>CONCATENATE("Gross earnings (intangible) tax estimate for ",E1,"")</f>
        <v>Gross earnings (intangible) tax estimate for 2014</v>
      </c>
      <c r="B12" s="19"/>
      <c r="C12" s="19"/>
      <c r="D12" s="19"/>
      <c r="E12" s="283"/>
    </row>
    <row r="13" spans="1:5" ht="15.75">
      <c r="A13" s="22" t="str">
        <f>CONCATENATE("Neighborhood Revitalization - ",E1,"")</f>
        <v>Neighborhood Revitalization - 2014</v>
      </c>
      <c r="B13" s="19"/>
      <c r="C13" s="19"/>
      <c r="D13" s="19"/>
      <c r="E13" s="283"/>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16.953</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16.953</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1200823</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1512.76</v>
      </c>
    </row>
    <row r="33" spans="1:5" ht="15.75">
      <c r="A33" s="296" t="s">
        <v>276</v>
      </c>
      <c r="B33" s="267"/>
      <c r="C33" s="267"/>
      <c r="D33" s="31"/>
      <c r="E33" s="34">
        <v>35.23</v>
      </c>
    </row>
    <row r="34" spans="1:5" ht="15.75">
      <c r="A34" s="296" t="s">
        <v>160</v>
      </c>
      <c r="B34" s="267"/>
      <c r="C34" s="267"/>
      <c r="D34" s="31"/>
      <c r="E34" s="34">
        <v>782.58</v>
      </c>
    </row>
    <row r="35" spans="1:5" ht="15.75">
      <c r="A35" s="296" t="s">
        <v>161</v>
      </c>
      <c r="B35" s="267"/>
      <c r="C35" s="267"/>
      <c r="D35" s="31"/>
      <c r="E35" s="34"/>
    </row>
    <row r="36" spans="1:5" ht="15.75">
      <c r="A36" s="296" t="s">
        <v>100</v>
      </c>
      <c r="B36" s="20"/>
      <c r="C36" s="20"/>
      <c r="D36" s="295"/>
      <c r="E36" s="34">
        <v>1200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1200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23700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10" sqref="D10"/>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943</v>
      </c>
      <c r="C4" s="710"/>
      <c r="J4" s="711" t="s">
        <v>843</v>
      </c>
    </row>
    <row r="5" spans="1:10" ht="15.75">
      <c r="A5" s="474"/>
      <c r="B5" s="710"/>
      <c r="J5" s="711" t="s">
        <v>844</v>
      </c>
    </row>
    <row r="6" spans="1:10" ht="15.75">
      <c r="A6" s="474" t="s">
        <v>839</v>
      </c>
      <c r="B6" s="356" t="s">
        <v>944</v>
      </c>
      <c r="J6" s="711" t="s">
        <v>845</v>
      </c>
    </row>
    <row r="7" spans="1:10" ht="15.75">
      <c r="A7" s="353"/>
      <c r="B7" s="353"/>
      <c r="C7" s="353"/>
      <c r="D7" s="355"/>
      <c r="E7" s="353"/>
      <c r="F7" s="353"/>
      <c r="J7" s="711" t="s">
        <v>846</v>
      </c>
    </row>
    <row r="8" spans="1:10" ht="15.75">
      <c r="A8" s="354" t="s">
        <v>372</v>
      </c>
      <c r="B8" s="356" t="s">
        <v>948</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18, 2013</v>
      </c>
      <c r="E9" s="353"/>
      <c r="F9" s="353"/>
      <c r="J9" s="711" t="s">
        <v>848</v>
      </c>
    </row>
    <row r="10" spans="1:10" ht="15.75">
      <c r="A10" s="354" t="s">
        <v>373</v>
      </c>
      <c r="B10" s="356" t="s">
        <v>949</v>
      </c>
      <c r="C10" s="360"/>
      <c r="D10" s="354"/>
      <c r="E10" s="353"/>
      <c r="F10" s="353"/>
      <c r="J10" s="711" t="s">
        <v>849</v>
      </c>
    </row>
    <row r="11" spans="1:10" ht="15.75">
      <c r="A11" s="354"/>
      <c r="B11" s="354"/>
      <c r="C11" s="354"/>
      <c r="D11" s="354"/>
      <c r="E11" s="353"/>
      <c r="F11" s="353"/>
      <c r="J11" s="711" t="s">
        <v>850</v>
      </c>
    </row>
    <row r="12" spans="1:10" ht="15.75">
      <c r="A12" s="354" t="s">
        <v>374</v>
      </c>
      <c r="B12" s="361" t="s">
        <v>950</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950</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41504</v>
      </c>
    </row>
    <row r="22" spans="1:7" ht="15.75">
      <c r="A22" s="354" t="s">
        <v>373</v>
      </c>
      <c r="B22" s="354" t="s">
        <v>378</v>
      </c>
      <c r="C22" s="354"/>
      <c r="D22" s="354"/>
      <c r="E22" s="354"/>
      <c r="G22" s="714">
        <f>IF(B8="","",MONTH(G21))</f>
        <v>8</v>
      </c>
    </row>
    <row r="23" spans="1:7" ht="15.75">
      <c r="A23" s="354"/>
      <c r="B23" s="354"/>
      <c r="C23" s="354"/>
      <c r="D23" s="354"/>
      <c r="E23" s="354"/>
      <c r="G23" s="715">
        <f>IF(B8="","",DAY(G21))</f>
        <v>18</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6" t="s">
        <v>70</v>
      </c>
      <c r="C1" s="776"/>
      <c r="D1" s="776"/>
      <c r="E1" s="776"/>
      <c r="F1" s="776"/>
      <c r="G1" s="776"/>
      <c r="H1" s="14">
        <f>inputPrYr!D5</f>
        <v>2014</v>
      </c>
    </row>
    <row r="2" spans="3:7" s="14" customFormat="1" ht="15.75">
      <c r="C2" s="145"/>
      <c r="D2" s="145"/>
      <c r="E2" s="145"/>
      <c r="F2" s="145"/>
      <c r="G2" s="62"/>
    </row>
    <row r="3" spans="2:8" s="14" customFormat="1" ht="15.75">
      <c r="B3" s="764" t="str">
        <f>CONCATENATE("To the Clerk of ",inputPrYr!D3,", State of Kansas")</f>
        <v>To the Clerk of Marshall County , State of Kansas</v>
      </c>
      <c r="C3" s="765"/>
      <c r="D3" s="765"/>
      <c r="E3" s="765"/>
      <c r="F3" s="765"/>
      <c r="G3" s="765"/>
      <c r="H3" s="765"/>
    </row>
    <row r="4" spans="2:7" s="14" customFormat="1" ht="15.75">
      <c r="B4" s="764" t="s">
        <v>152</v>
      </c>
      <c r="C4" s="772"/>
      <c r="D4" s="772"/>
      <c r="E4" s="772"/>
      <c r="F4" s="772"/>
      <c r="G4" s="772"/>
    </row>
    <row r="5" spans="2:7" s="14" customFormat="1" ht="15.75">
      <c r="B5" s="773" t="str">
        <f>inputPrYr!D2</f>
        <v>Blue Rapids Township</v>
      </c>
      <c r="C5" s="772"/>
      <c r="D5" s="772"/>
      <c r="E5" s="772"/>
      <c r="F5" s="772"/>
      <c r="G5" s="772"/>
    </row>
    <row r="6" spans="2:7" s="14" customFormat="1" ht="15.75">
      <c r="B6" s="783" t="s">
        <v>150</v>
      </c>
      <c r="C6" s="765"/>
      <c r="D6" s="765"/>
      <c r="E6" s="765"/>
      <c r="F6" s="765"/>
      <c r="G6" s="765"/>
    </row>
    <row r="7" spans="2:7" s="14" customFormat="1" ht="15.75" customHeight="1">
      <c r="B7" s="764" t="s">
        <v>151</v>
      </c>
      <c r="C7" s="784"/>
      <c r="D7" s="784"/>
      <c r="E7" s="784"/>
      <c r="F7" s="784"/>
      <c r="G7" s="784"/>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75">
      <c r="D11" s="19"/>
      <c r="E11" s="780" t="str">
        <f>CONCATENATE("",H1," Adopted Budget")</f>
        <v>2014 Adopted Budget</v>
      </c>
      <c r="F11" s="781"/>
      <c r="G11" s="782"/>
    </row>
    <row r="12" spans="2:7" s="14" customFormat="1" ht="15.75">
      <c r="B12" s="22"/>
      <c r="D12" s="66"/>
      <c r="E12" s="255" t="s">
        <v>277</v>
      </c>
      <c r="F12" s="777" t="str">
        <f>CONCATENATE("Amount of ",H1-1," Ad Valorem Tax")</f>
        <v>Amount of 2013 Ad Valorem Tax</v>
      </c>
      <c r="G12" s="23" t="s">
        <v>278</v>
      </c>
    </row>
    <row r="13" spans="4:7" s="14" customFormat="1" ht="15.75">
      <c r="D13" s="23" t="s">
        <v>279</v>
      </c>
      <c r="E13" s="522" t="s">
        <v>208</v>
      </c>
      <c r="F13" s="778"/>
      <c r="G13" s="156" t="s">
        <v>280</v>
      </c>
    </row>
    <row r="14" spans="2:7" s="14" customFormat="1" ht="15.75">
      <c r="B14" s="71" t="s">
        <v>281</v>
      </c>
      <c r="C14" s="20"/>
      <c r="D14" s="26" t="s">
        <v>282</v>
      </c>
      <c r="E14" s="523" t="s">
        <v>719</v>
      </c>
      <c r="F14" s="77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t="str">
        <f>IF(gen!$E$50&lt;&gt;0,gen!$E$50,"  ")</f>
        <v>  </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27850</v>
      </c>
      <c r="F24" s="722">
        <f>IF(road!$E$50&lt;&gt;0,road!$E$50,"  ")</f>
        <v>23540.19</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f>IF(road!C67&gt;0,road!C67,"  ")</f>
        <v>7</v>
      </c>
      <c r="E34" s="236"/>
      <c r="F34" s="236"/>
      <c r="G34" s="723"/>
    </row>
    <row r="35" spans="2:7" s="14" customFormat="1" ht="16.5" thickBot="1">
      <c r="B35" s="266" t="s">
        <v>288</v>
      </c>
      <c r="C35" s="267"/>
      <c r="D35" s="159" t="s">
        <v>289</v>
      </c>
      <c r="E35" s="724">
        <f>SUM(E21:E30)</f>
        <v>27850</v>
      </c>
      <c r="F35" s="724">
        <f>SUM(F21:F30)</f>
        <v>23540.19</v>
      </c>
      <c r="G35" s="725">
        <f>IF(SUM(G21:G30)&gt;0,SUM(G21:G30),"")</f>
      </c>
    </row>
    <row r="36" spans="2:4" s="14" customFormat="1" ht="16.5" thickTop="1">
      <c r="B36" s="27" t="s">
        <v>168</v>
      </c>
      <c r="C36" s="259"/>
      <c r="D36" s="264">
        <f>summ!D49</f>
        <v>8</v>
      </c>
    </row>
    <row r="37" spans="2:6" s="14" customFormat="1" ht="15.75">
      <c r="B37" s="27" t="s">
        <v>214</v>
      </c>
      <c r="C37" s="28"/>
      <c r="D37" s="264">
        <f>IF(nhood!C38&gt;0,nhood!C38,"")</f>
      </c>
      <c r="E37" s="268" t="s">
        <v>157</v>
      </c>
      <c r="F37" s="269" t="str">
        <f>IF(F35&gt;computation!J34,"Yes","No")</f>
        <v>Yes</v>
      </c>
    </row>
    <row r="38" spans="2:6" s="14" customFormat="1" ht="15.75">
      <c r="B38" s="27" t="s">
        <v>156</v>
      </c>
      <c r="C38" s="28"/>
      <c r="D38" s="264">
        <f>IF(Resolution!D50&gt;0,Resolution!D50,"")</f>
      </c>
      <c r="E38" s="270"/>
      <c r="F38" s="271"/>
    </row>
    <row r="39" spans="2:7" s="14" customFormat="1" ht="15.75">
      <c r="B39" s="64" t="s">
        <v>97</v>
      </c>
      <c r="C39" s="766" t="s">
        <v>124</v>
      </c>
      <c r="D39" s="767"/>
      <c r="E39" s="272"/>
      <c r="G39" s="22" t="s">
        <v>290</v>
      </c>
    </row>
    <row r="40" spans="2:7" s="14" customFormat="1" ht="15.75">
      <c r="B40" s="27" t="s">
        <v>98</v>
      </c>
      <c r="C40" s="768"/>
      <c r="D40" s="769"/>
      <c r="E40" s="273"/>
      <c r="G40" s="22"/>
    </row>
    <row r="41" spans="2:7" s="14" customFormat="1" ht="15.75">
      <c r="B41" s="274"/>
      <c r="C41" s="770" t="str">
        <f>CONCATENATE("Nov. 1, ",H1-1," Valuation")</f>
        <v>Nov. 1, 2013 Valuation</v>
      </c>
      <c r="D41" s="771"/>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74" t="s">
        <v>292</v>
      </c>
      <c r="F54" s="775"/>
      <c r="G54" s="77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1200" verticalDpi="1200" orientation="portrait" scale="10"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C53" sqref="C5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Blue Rapids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76"/>
      <c r="C3" s="776"/>
      <c r="D3" s="776"/>
      <c r="E3" s="776"/>
      <c r="F3" s="776"/>
      <c r="G3" s="776"/>
      <c r="H3" s="776"/>
      <c r="I3" s="776"/>
      <c r="J3" s="776"/>
    </row>
    <row r="4" spans="1:10" ht="15.75">
      <c r="A4" s="14"/>
      <c r="B4" s="14"/>
      <c r="C4" s="14"/>
      <c r="D4" s="14"/>
      <c r="E4" s="776"/>
      <c r="F4" s="776"/>
      <c r="G4" s="77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20358</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20358</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39827</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49758</v>
      </c>
      <c r="F14" s="246"/>
      <c r="G14" s="55"/>
      <c r="H14" s="55"/>
      <c r="I14" s="53"/>
      <c r="J14" s="55"/>
    </row>
    <row r="15" spans="1:10" ht="15.75">
      <c r="A15" s="245"/>
      <c r="B15" s="14" t="s">
        <v>87</v>
      </c>
      <c r="C15" s="14" t="str">
        <f>CONCATENATE("Personal Property ",J1-2,"")</f>
        <v>Personal Property 2012</v>
      </c>
      <c r="D15" s="245" t="s">
        <v>82</v>
      </c>
      <c r="E15" s="249">
        <f>inputOth!E11</f>
        <v>59459</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7561</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47388</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1385815</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1338427</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0.035405741217115316</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721</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21079</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21079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C53" sqref="C5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Blue Rapids Township</v>
      </c>
      <c r="C1" s="14"/>
      <c r="D1" s="14"/>
      <c r="E1" s="14"/>
      <c r="F1" s="14"/>
      <c r="G1" s="14"/>
      <c r="H1" s="14"/>
      <c r="I1" s="14"/>
      <c r="J1" s="15">
        <f>inputPrYr!D5</f>
        <v>2014</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20358</v>
      </c>
      <c r="E14" s="131">
        <f>IF(inputOth!D20&gt;0,inputOth!D20,"  ")</f>
        <v>16.953</v>
      </c>
      <c r="F14" s="717"/>
      <c r="G14" s="161">
        <f>IF(inputPrYr!E19=0,0,ROUND(D14*$G$30,0))</f>
        <v>1513</v>
      </c>
      <c r="H14" s="718"/>
      <c r="I14" s="161">
        <f>IF(inputPrYr!$E$19=0,0,ROUND($D$14*$I$32,0))</f>
        <v>35</v>
      </c>
      <c r="J14" s="161">
        <f>IF(inputPrYr!E19=0,0,ROUND($D14*$J$34,0))</f>
        <v>783</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20358</v>
      </c>
      <c r="E21" s="720">
        <f>SUM(E11:E20)</f>
        <v>16.953</v>
      </c>
      <c r="F21" s="721"/>
      <c r="G21" s="719">
        <f>SUM(G11:G20)</f>
        <v>1513</v>
      </c>
      <c r="H21" s="719"/>
      <c r="I21" s="719">
        <f>SUM(I11:I20)</f>
        <v>35</v>
      </c>
      <c r="J21" s="719">
        <f>SUM(J11:J20)</f>
        <v>783</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1512.76</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35.23</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782.58</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0.07430788879064741</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0.0017305236270753512</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0.038440907751252584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53" sqref="C5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Blue Rapids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6" t="s">
        <v>169</v>
      </c>
      <c r="B5" s="776"/>
      <c r="C5" s="776"/>
      <c r="D5" s="776"/>
      <c r="E5" s="776"/>
      <c r="F5" s="77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C53" sqref="C53"/>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Sonya Stohs</cp:lastModifiedBy>
  <cp:lastPrinted>2013-07-28T16:49:00Z</cp:lastPrinted>
  <dcterms:created xsi:type="dcterms:W3CDTF">1998-08-26T16:30:41Z</dcterms:created>
  <dcterms:modified xsi:type="dcterms:W3CDTF">2013-08-12T17:56:36Z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