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Sheet1"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<sst xmlns="http://schemas.openxmlformats.org/spreadsheetml/2006/main" count="1728" uniqueCount="982">
  <si>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</si>
  <si>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</si>
  <si>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</si>
  <si>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</si>
  <si>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</si>
  <si>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</si>
  <si>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</si>
  <si>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</si>
  <si>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</si>
  <si>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</si>
  <si>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</si>
  <si>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</si>
  <si>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</si>
  <si>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</si>
  <si>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</si>
  <si>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</si>
  <si>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</si>
  <si>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</si>
  <si>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</si>
  <si>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</si>
  <si>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</si>
  <si>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</si>
  <si>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</si>
  <si>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</si>
  <si>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</si>
  <si>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</si>
  <si>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</si>
  <si>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</si>
  <si>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</si>
  <si>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</si>
  <si>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</si>
  <si>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</si>
  <si>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</si>
  <si>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</si>
  <si>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</si>
  <si>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</si>
  <si>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</si>
  <si>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</si>
  <si>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</si>
  <si>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</si>
  <si>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</si>
  <si>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</si>
  <si>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</si>
  <si>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</si>
  <si>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</si>
  <si>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</si>
  <si>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</si>
  <si>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</si>
  <si>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</si>
  <si>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</si>
  <si>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</si>
  <si>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</si>
  <si>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</si>
  <si>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</si>
  <si>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</si>
  <si>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</si>
  <si>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</si>
  <si>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</si>
  <si>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</si>
  <si>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</si>
  <si>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</si>
  <si>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</si>
  <si>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</si>
  <si>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</si>
  <si>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</si>
  <si>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</si>
  <si>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</si>
  <si>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</si>
  <si>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</si>
  <si>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</si>
  <si>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</si>
  <si>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</si>
  <si>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</si>
  <si>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</si>
  <si>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</si>
  <si>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</si>
  <si>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</si>
  <si>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</si>
  <si>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</si>
  <si>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</si>
  <si>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</si>
  <si>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</si>
  <si>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</si>
  <si>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</si>
  <si>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</si>
  <si>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</si>
  <si>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</si>
  <si>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</si>
  <si>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</si>
  <si>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</si>
  <si>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</si>
  <si>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</si>
  <si>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</si>
  <si>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</si>
  <si>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</si>
  <si>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</si>
  <si>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</si>
  <si>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</si>
  <si>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</si>
  <si>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</si>
  <si>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</si>
  <si>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</si>
  <si>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</si>
  <si>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</si>
  <si>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</si>
  <si>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</si>
  <si>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</si>
  <si>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</si>
  <si>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</si>
  <si>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</si>
  <si>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</si>
  <si>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</si>
  <si>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</si>
  <si>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</si>
  <si>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</si>
  <si>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</si>
  <si>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</si>
  <si>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</si>
  <si>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</si>
  <si>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</si>
  <si>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</si>
  <si>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</si>
  <si>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</si>
  <si>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</si>
  <si>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</si>
  <si>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</si>
  <si>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</si>
  <si>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</si>
  <si>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</si>
  <si>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</si>
  <si>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</si>
  <si>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</si>
  <si>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</si>
  <si>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</si>
  <si>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</si>
  <si>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</si>
  <si>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</si>
  <si>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</si>
  <si>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</si>
  <si>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</si>
  <si>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</si>
  <si>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</si>
  <si>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</si>
  <si>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</si>
  <si>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</si>
  <si>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</si>
  <si>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</si>
  <si>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</si>
  <si>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</si>
  <si>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</si>
  <si>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</si>
  <si>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</si>
  <si>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</si>
  <si>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</si>
  <si>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</si>
  <si>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</si>
  <si>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</si>
  <si>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</si>
  <si>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</si>
  <si>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</si>
  <si>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</si>
  <si>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</si>
  <si>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</si>
  <si>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</si>
  <si>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</si>
  <si>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</si>
  <si>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</si>
  <si>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</si>
  <si>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</si>
  <si>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</si>
  <si>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</si>
  <si>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</si>
  <si>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</si>
  <si>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</si>
  <si>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</si>
  <si>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</si>
  <si>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</si>
  <si>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</si>
  <si>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</si>
  <si>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</si>
  <si>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</si>
  <si>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</si>
  <si>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</si>
  <si>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</si>
  <si>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</si>
  <si>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</si>
  <si>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</si>
  <si>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</si>
  <si>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</si>
  <si>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</si>
  <si>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</si>
  <si>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</si>
  <si>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</si>
  <si>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</si>
  <si>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</si>
  <si>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</si>
  <si>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</si>
  <si>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</si>
  <si>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</si>
  <si>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</si>
  <si>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</si>
  <si>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</si>
  <si>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</si>
  <si>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</si>
  <si>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</si>
  <si>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</si>
  <si>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</si>
  <si>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</si>
  <si>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</si>
  <si>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</si>
  <si>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</si>
  <si>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</si>
  <si>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</si>
  <si>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</si>
  <si>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</si>
  <si>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</si>
  <si>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</si>
  <si>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</si>
  <si>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</si>
  <si>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</si>
  <si>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</si>
  <si>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</si>
  <si>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</si>
  <si>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</si>
  <si>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</si>
  <si>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</si>
  <si>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</si>
  <si>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</si>
  <si>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</si>
  <si>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</si>
  <si>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</si>
  <si>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</si>
  <si>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</si>
  <si>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</si>
  <si>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</si>
  <si>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</si>
  <si>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</si>
  <si>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</si>
  <si>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</si>
  <si>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</si>
  <si>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</si>
  <si>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</si>
  <si>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</si>
  <si>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</si>
  <si>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</si>
  <si>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</si>
  <si>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</si>
  <si>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</si>
  <si>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</si>
  <si>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</si>
  <si>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</si>
  <si>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</si>
  <si>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</si>
  <si>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</si>
  <si>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</si>
  <si>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</si>
  <si>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</si>
  <si>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</si>
  <si>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</si>
  <si>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</si>
  <si>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</si>
  <si>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</si>
  <si>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</si>
  <si>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</si>
  <si>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</si>
  <si>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</si>
  <si>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</si>
  <si>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</si>
  <si>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</si>
  <si>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</si>
  <si>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</si>
  <si>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</si>
  <si>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</si>
  <si>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</si>
  <si>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</si>
  <si>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</si>
  <si>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</si>
  <si>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</si>
  <si>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</si>
  <si>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</si>
  <si>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</si>
  <si>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</si>
  <si>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</si>
  <si>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</si>
  <si>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</si>
  <si>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</si>
  <si>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</si>
  <si>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</si>
  <si>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</si>
  <si>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</si>
  <si>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</si>
  <si>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</si>
  <si>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</si>
  <si>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</si>
  <si>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</si>
  <si>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</si>
  <si>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</si>
  <si>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</si>
  <si>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</si>
  <si>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</si>
  <si>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</si>
  <si>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</si>
  <si>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</si>
  <si>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</si>
  <si>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</si>
  <si>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</si>
  <si>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</si>
  <si>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</si>
  <si>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</si>
  <si>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</si>
  <si>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</si>
  <si>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</si>
  <si>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</si>
  <si>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</si>
  <si>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</si>
  <si>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</si>
  <si>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</si>
  <si>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</si>
  <si>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</si>
  <si>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</si>
  <si>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</si>
  <si>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</si>
  <si>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</si>
  <si>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</si>
  <si>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</si>
  <si>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</si>
  <si>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</si>
  <si>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</si>
  <si>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</si>
  <si>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</si>
  <si>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</si>
  <si>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</si>
  <si>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</si>
  <si>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</si>
  <si>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</si>
  <si>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</si>
  <si>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</si>
  <si>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</si>
  <si>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</si>
  <si>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</si>
  <si>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</si>
  <si>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</si>
  <si>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</si>
  <si>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</si>
  <si>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</si>
  <si>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</si>
  <si>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</si>
  <si>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</si>
  <si>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</si>
  <si>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</si>
  <si>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</si>
  <si>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</si>
  <si>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</si>
  <si>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</si>
  <si>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</si>
  <si>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</si>
  <si>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</si>
  <si>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</si>
  <si>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</si>
  <si>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</si>
  <si>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</si>
  <si>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</si>
  <si>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</si>
  <si>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</si>
  <si>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</si>
  <si>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</si>
  <si>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</si>
  <si>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</si>
  <si>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</si>
  <si>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</si>
  <si>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</si>
  <si>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</si>
  <si>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</si>
  <si>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</si>
  <si>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</si>
  <si>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</si>
  <si>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</si>
  <si>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</si>
  <si>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</si>
  <si>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</si>
  <si>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</si>
  <si>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</si>
  <si>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</si>
  <si>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</si>
  <si>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</si>
  <si>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</si>
  <si>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</si>
  <si>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</si>
  <si>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</si>
  <si>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</si>
  <si>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</si>
  <si>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</si>
  <si>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</si>
  <si>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</si>
  <si>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</si>
  <si>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</si>
  <si>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</si>
  <si>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</si>
  <si>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</si>
  <si>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</si>
  <si>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</si>
  <si>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</si>
  <si>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</si>
  <si>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</si>
  <si>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</si>
  <si>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</si>
  <si>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</si>
  <si>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</si>
  <si>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</si>
  <si>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</si>
  <si>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</si>
  <si>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</si>
  <si>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</si>
  <si>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</si>
  <si>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</si>
  <si>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</si>
  <si>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</si>
  <si>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</si>
  <si>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</si>
  <si>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</si>
  <si>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</si>
  <si>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</si>
  <si>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</si>
  <si>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</si>
  <si>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</si>
  <si>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</si>
  <si>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</si>
  <si>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</si>
  <si>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</si>
  <si>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</si>
  <si>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</si>
  <si>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</si>
  <si>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</si>
  <si>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</si>
  <si>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</si>
  <si>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</si>
  <si>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</si>
  <si>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</si>
  <si>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</si>
  <si>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</si>
  <si>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</si>
  <si>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</si>
  <si>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</si>
  <si>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</si>
  <si>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</si>
  <si>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</si>
  <si>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</si>
  <si>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</si>
  <si>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</si>
  <si>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</si>
  <si>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</si>
  <si>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</si>
  <si>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</si>
  <si>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</si>
  <si>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</si>
  <si>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</si>
  <si>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</si>
  <si>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</si>
  <si>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</si>
  <si>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</si>
  <si>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</si>
  <si>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</si>
  <si>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</si>
  <si>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</si>
  <si>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</si>
  <si>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</si>
  <si>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</si>
  <si>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</si>
  <si>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</si>
  <si>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</si>
  <si>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</si>
  <si>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</si>
  <si>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</si>
  <si>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</si>
  <si>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</si>
  <si>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</si>
  <si>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</si>
  <si>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</si>
  <si>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</si>
  <si>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</si>
  <si>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</si>
  <si>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</si>
  <si>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</si>
  <si>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</si>
  <si>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</si>
  <si>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</si>
  <si>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</si>
  <si>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</si>
  <si>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</si>
  <si>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</si>
  <si>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</si>
  <si>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</si>
  <si>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</si>
  <si>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</si>
  <si>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</si>
  <si>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</si>
  <si>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</si>
  <si>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</si>
  <si>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</si>
  <si>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</si>
  <si>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</si>
  <si>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</si>
  <si>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</si>
  <si>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</si>
  <si>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</si>
  <si>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</si>
  <si>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</si>
  <si>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</si>
  <si>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</si>
  <si>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</si>
  <si>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</si>
  <si>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</si>
  <si>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</si>
  <si>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</si>
  <si>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</si>
  <si>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</si>
  <si>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</si>
  <si>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</si>
  <si>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</si>
  <si>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</si>
  <si>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</si>
  <si>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</si>
  <si>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</si>
  <si>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</si>
  <si>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</si>
  <si>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</si>
  <si>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</si>
  <si>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</si>
  <si>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</si>
  <si>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</si>
  <si>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</si>
  <si>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</si>
  <si>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</si>
  <si>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</si>
  <si>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</si>
  <si>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</si>
  <si>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</si>
  <si>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</si>
  <si>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</si>
  <si>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</si>
  <si>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</si>
  <si>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</si>
  <si>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</si>
  <si>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</si>
  <si>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</si>
  <si>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</si>
  <si>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</si>
  <si>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</si>
  <si>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</si>
  <si>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</si>
  <si>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</si>
  <si>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</si>
  <si>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</si>
  <si>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</si>
  <si>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</si>
  <si>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</si>
  <si>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</si>
  <si>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</si>
  <si>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</si>
  <si>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</si>
  <si>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</si>
  <si>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</si>
  <si>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</si>
  <si>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</si>
  <si>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</si>
  <si>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</si>
  <si>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</si>
  <si>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</si>
  <si>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</si>
  <si>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</si>
  <si>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</si>
  <si>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</si>
  <si>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</si>
  <si>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</si>
  <si>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</si>
  <si>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</si>
  <si>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</si>
  <si>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</si>
  <si>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</si>
  <si>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</si>
  <si>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</si>
  <si>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</si>
  <si>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</si>
  <si>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</si>
  <si>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</si>
  <si>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</si>
  <si>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</si>
  <si>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</si>
  <si>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</si>
  <si>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</si>
  <si>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</si>
  <si>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</si>
  <si>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</si>
  <si>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</si>
  <si>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</si>
  <si>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</si>
  <si>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</si>
  <si>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</si>
  <si>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</si>
  <si>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</si>
  <si>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</si>
  <si>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</si>
  <si>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</si>
  <si>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</si>
  <si>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</si>
  <si>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</si>
  <si>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</si>
  <si>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</si>
  <si>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</si>
  <si>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</si>
  <si>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</si>
  <si>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</si>
  <si>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</si>
  <si>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</si>
  <si>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</si>
  <si>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</si>
  <si>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</si>
  <si>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</si>
  <si>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</si>
  <si>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</si>
  <si>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</si>
  <si>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</si>
  <si>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</si>
  <si>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</si>
  <si>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</si>
  <si>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</si>
  <si>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</si>
  <si>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</si>
  <si>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</si>
  <si>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</si>
  <si>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</si>
  <si>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</si>
  <si>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</si>
  <si>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</si>
  <si>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</si>
  <si>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</si>
  <si>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</si>
  <si>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</si>
  <si>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</si>
  <si>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</si>
  <si>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</si>
  <si>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</si>
  <si>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</si>
  <si>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</si>
  <si>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</si>
  <si>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</si>
  <si>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</si>
  <si>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</si>
  <si>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</si>
  <si>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</si>
  <si>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</si>
  <si>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</si>
  <si>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</si>
  <si>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</si>
  <si>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</si>
  <si>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</si>
  <si>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</si>
  <si>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</si>
  <si>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</si>
  <si>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</si>
  <si>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</si>
  <si>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</si>
  <si>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</si>
  <si>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</si>
  <si>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</si>
  <si>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</si>
  <si>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</si>
  <si>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</si>
  <si>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</si>
  <si>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</si>
  <si>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</si>
  <si>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</si>
  <si>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</si>
  <si>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</si>
  <si>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</si>
  <si>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</si>
  <si>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</si>
  <si>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</si>
  <si>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</si>
  <si>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</si>
  <si>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</si>
  <si>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</si>
  <si>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</si>
  <si>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</si>
  <si>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</si>
  <si>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</si>
  <si>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</si>
  <si>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</si>
  <si>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</si>
  <si>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</si>
  <si>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</si>
  <si>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</si>
  <si>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</si>
  <si>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</si>
  <si>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</si>
  <si>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</si>
  <si>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</si>
  <si>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</si>
  <si>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</si>
  <si>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</si>
  <si>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</si>
  <si>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</si>
  <si>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</si>
  <si>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</si>
  <si>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</si>
  <si>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</si>
  <si>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</si>
  <si>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</si>
  <si>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</si>
  <si>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</si>
  <si>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</si>
  <si>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</si>
  <si>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</si>
  <si>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</si>
  <si>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</si>
  <si>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</si>
  <si>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</si>
  <si>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</si>
  <si>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</si>
  <si>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</si>
  <si>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</si>
  <si>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</si>
  <si>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</si>
  <si>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</si>
  <si>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</si>
  <si>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</si>
  <si>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</si>
  <si>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</si>
  <si>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</si>
  <si>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</si>
  <si>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</si>
  <si>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</si>
  <si>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</si>
  <si>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</si>
  <si>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</si>
  <si>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</si>
  <si>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</si>
  <si>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</si>
  <si>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</si>
  <si>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</si>
  <si>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</si>
  <si>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</si>
  <si>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</si>
  <si>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</si>
  <si>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</si>
  <si>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</si>
  <si>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</si>
  <si>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</si>
  <si>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</si>
  <si>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</si>
  <si>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</si>
  <si>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</si>
  <si>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</si>
  <si>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</si>
  <si>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</si>
  <si>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</si>
  <si>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</si>
  <si>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</si>
  <si>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</si>
  <si>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</si>
  <si>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</si>
  <si>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</si>
  <si>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</si>
  <si>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</si>
  <si>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</si>
  <si>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</si>
  <si>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</si>
  <si>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</si>
  <si>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</si>
  <si>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</si>
  <si>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</si>
  <si>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</si>
  <si>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</si>
  <si>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</si>
  <si>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</si>
  <si>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</si>
  <si>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</si>
  <si>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</si>
  <si>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</si>
  <si>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</si>
  <si>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</si>
  <si>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</si>
  <si>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</si>
  <si>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</si>
  <si>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</si>
  <si>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</si>
  <si>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</si>
  <si>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</si>
  <si>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</si>
  <si>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</si>
  <si>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</si>
  <si>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</si>
  <si>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</si>
  <si>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</si>
  <si>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</si>
  <si>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</si>
  <si>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</si>
  <si>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</si>
  <si>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</si>
  <si>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</si>
  <si>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</si>
  <si>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</si>
  <si>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</si>
  <si>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</si>
  <si>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</si>
  <si>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</si>
  <si>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</si>
  <si>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</si>
  <si>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</si>
  <si>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</si>
  <si>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</si>
  <si>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</si>
  <si>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</si>
  <si>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</si>
  <si>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</si>
  <si>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</si>
  <si>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</si>
  <si>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</si>
  <si>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</si>
  <si>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</si>
  <si>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</si>
  <si>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</si>
  <si>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</si>
  <si>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</si>
  <si>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</si>
  <si>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</si>
  <si>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</si>
  <si>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</si>
  <si>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</si>
  <si>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</si>
  <si>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</si>
  <si>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</si>
  <si>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</si>
  <si>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</si>
  <si>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</si>
  <si>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</si>
  <si>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</si>
  <si>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</si>
  <si>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</si>
  <si>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</si>
  <si>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</si>
  <si>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</si>
  <si>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</si>
  <si>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</si>
  <si>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</si>
  <si>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</si>
  <si>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</si>
  <si>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</si>
  <si>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</si>
  <si>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</si>
  <si>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</si>
  <si>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</si>
  <si>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</si>
  <si>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</si>
  <si>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</si>
  <si>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</si>
  <si>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</si>
  <si>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</si>
  <si>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</si>
  <si>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</si>
  <si>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</si>
  <si>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</si>
  <si>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</si>
  <si>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</si>
  <si>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</si>
  <si>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</si>
  <si>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</si>
  <si>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</si>
  <si>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</si>
  <si>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</si>
  <si>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</si>
  <si>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</si>
  <si>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</si>
  <si>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</si>
  <si>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</si>
  <si>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</si>
  <si>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</si>
  <si>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</si>
  <si>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</si>
  <si>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</si>
  <si>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</si>
  <si>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</si>
  <si>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</si>
  <si>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</si>
  <si>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</si>
  <si>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</si>
  <si>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</si>
  <si>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</si>
  <si>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</si>
  <si>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</si>
  <si>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</si>
  <si>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</si>
  <si>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</si>
  <si>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</si>
  <si>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</si>
  <si>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</si>
  <si>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</si>
  <si>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</si>
  <si>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</si>
  <si>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</si>
  <si>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</si>
  <si>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</si>
  <si>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</si>
  <si>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</si>
  <si>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</si>
  <si>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</si>
  <si>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</si>
  <si>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</si>
  <si>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</si>
  <si>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</si>
  <si>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</si>
  <si>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</si>
  <si>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</si>
  <si>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</si>
  <si>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</si>
  <si>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</si>
  <si>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</si>
  <si>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</si>
  <si>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</si>
  <si>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</si>
  <si>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</si>
  <si>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</si>
  <si>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</si>
  <si>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</si>
  <si>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</si>
  <si>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</si>
  <si>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</si>
  <si>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</si>
  <si>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</si>
  <si>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</si>
  <si>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</si>
  <si>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</si>
  <si>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</si>
  <si>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</si>
  <si>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</si>
  <si>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</si>
  <si>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</si>
  <si>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</si>
  <si>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</si>
  <si>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</si>
  <si>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</si>
  <si>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</si>
  <si>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</si>
  <si>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</si>
  <si>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</si>
  <si>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</si>
  <si>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</si>
  <si>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</si>
  <si>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</si>
  <si>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</si>
  <si>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</si>
  <si>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</si>
  <si>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</si>
  <si>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</si>
  <si>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</si>
  <si>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Tonganoxie Township</t>
  </si>
  <si>
    <t>Leavenworth</t>
  </si>
  <si>
    <t>Fire Maintenance</t>
  </si>
  <si>
    <t>Fire Equipment</t>
  </si>
  <si>
    <t>Union Fire Dist. #9</t>
  </si>
  <si>
    <t>Tonganoxie City</t>
  </si>
  <si>
    <t>Steve LaForge Residence, 25563 Evans Rd., Tonganoxie, KS</t>
  </si>
  <si>
    <t>Janet Klasinski</t>
  </si>
  <si>
    <t>Leavenworth County Clerk</t>
  </si>
  <si>
    <t>300 Walnut St.</t>
  </si>
  <si>
    <t>Leavenworth, KS  66048</t>
  </si>
  <si>
    <t>none</t>
  </si>
  <si>
    <t>Station &amp; Truck</t>
  </si>
  <si>
    <t>10 yrs.</t>
  </si>
  <si>
    <t>Insurance Reimbursement</t>
  </si>
  <si>
    <t>Worker's Comp</t>
  </si>
  <si>
    <t>Utilities</t>
  </si>
  <si>
    <t>Mileage Reimbursement</t>
  </si>
  <si>
    <t>Equipment - to Fire Department</t>
  </si>
  <si>
    <t>Buildings Maint.</t>
  </si>
  <si>
    <t>Operating Expenses</t>
  </si>
  <si>
    <t>Fire Operations</t>
  </si>
  <si>
    <t>Lease Payment</t>
  </si>
  <si>
    <t>Building Expenses</t>
  </si>
  <si>
    <t>July 25, 2013</t>
  </si>
  <si>
    <t>6:30 p.m.</t>
  </si>
  <si>
    <t>Tonganoxie Township Fire Station, 19009 McLouth Rd., Tonganoxie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</si>
</sst>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scheer\Download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09">
      <selection activeCell="A119" sqref="A119"/>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127</v>
      </c>
    </row>
    <row r="12" ht="15.75">
      <c r="A12" s="213" t="s">
        <v>183</v>
      </c>
    </row>
    <row r="14" ht="15.75">
      <c r="A14" s="214" t="s">
        <v>184</v>
      </c>
    </row>
    <row r="17" ht="38.25" customHeight="1">
      <c r="A17" s="216" t="s">
        <v>308</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397</v>
      </c>
    </row>
    <row r="39" ht="15.75">
      <c r="A39" s="213" t="s">
        <v>133</v>
      </c>
    </row>
    <row r="41" ht="70.5" customHeight="1">
      <c r="A41" s="215" t="s">
        <v>773</v>
      </c>
    </row>
    <row r="42" ht="52.5" customHeight="1">
      <c r="A42" s="222" t="s">
        <v>134</v>
      </c>
    </row>
    <row r="43" ht="33" customHeight="1">
      <c r="A43" s="215" t="s">
        <v>163</v>
      </c>
    </row>
    <row r="44" ht="106.5" customHeight="1">
      <c r="A44" s="735" t="s">
        <v>872</v>
      </c>
    </row>
    <row r="45" ht="10.5" customHeight="1">
      <c r="A45" s="215"/>
    </row>
    <row r="46" ht="108" customHeight="1">
      <c r="A46" s="215" t="s">
        <v>774</v>
      </c>
    </row>
    <row r="47" ht="59.25" customHeight="1">
      <c r="A47" s="215" t="s">
        <v>135</v>
      </c>
    </row>
    <row r="48" ht="101.25" customHeight="1">
      <c r="A48" s="215" t="s">
        <v>223</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I25" sqref="I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Tonganoxie Township</v>
      </c>
      <c r="C1" s="275"/>
      <c r="D1" s="275"/>
      <c r="E1" s="275"/>
      <c r="F1" s="275"/>
      <c r="G1" s="275"/>
      <c r="H1" s="275"/>
      <c r="I1" s="275"/>
      <c r="J1" s="65"/>
      <c r="K1" s="65"/>
      <c r="L1" s="225">
        <f>inputPrYr!D9</f>
        <v>2014</v>
      </c>
    </row>
    <row r="2" spans="1:12" ht="15.75">
      <c r="A2" s="299"/>
      <c r="B2" s="274" t="str">
        <f>inputPrYr!$D$4</f>
        <v>Leavenworth</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2013</v>
      </c>
      <c r="J6" s="281"/>
      <c r="K6" s="280">
        <f>L1</f>
        <v>2014</v>
      </c>
      <c r="L6" s="281"/>
    </row>
    <row r="7" spans="1:12" ht="15.75">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966</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t="s">
        <v>966</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790</v>
      </c>
      <c r="C22" s="279" t="s">
        <v>16</v>
      </c>
      <c r="D22" s="279" t="s">
        <v>17</v>
      </c>
      <c r="E22" s="279" t="s">
        <v>265</v>
      </c>
      <c r="F22" s="279" t="s">
        <v>18</v>
      </c>
      <c r="G22" s="279" t="s">
        <v>58</v>
      </c>
      <c r="H22" s="279" t="s">
        <v>19</v>
      </c>
      <c r="I22" s="279" t="s">
        <v>19</v>
      </c>
      <c r="J22" s="299"/>
      <c r="K22" s="299"/>
      <c r="L22" s="299"/>
    </row>
    <row r="23" spans="1:12" s="300" customFormat="1" ht="15.75">
      <c r="A23" s="299"/>
      <c r="B23" s="231" t="s">
        <v>791</v>
      </c>
      <c r="C23" s="231" t="s">
        <v>6</v>
      </c>
      <c r="D23" s="305" t="s">
        <v>20</v>
      </c>
      <c r="E23" s="231" t="s">
        <v>291</v>
      </c>
      <c r="F23" s="305" t="s">
        <v>75</v>
      </c>
      <c r="G23" s="282" t="str">
        <f>CONCATENATE("Jan 1,",L1-1,"")</f>
        <v>Jan 1,2013</v>
      </c>
      <c r="H23" s="231">
        <f>L1-1</f>
        <v>2013</v>
      </c>
      <c r="I23" s="231">
        <f>L1</f>
        <v>2014</v>
      </c>
      <c r="J23" s="299"/>
      <c r="K23" s="299"/>
      <c r="L23" s="299"/>
    </row>
    <row r="24" spans="1:12" s="300" customFormat="1" ht="15.75">
      <c r="A24" s="299"/>
      <c r="B24" s="286" t="s">
        <v>967</v>
      </c>
      <c r="C24" s="287">
        <v>40774</v>
      </c>
      <c r="D24" s="306" t="s">
        <v>968</v>
      </c>
      <c r="E24" s="288">
        <v>4.403</v>
      </c>
      <c r="F24" s="171">
        <v>489163.68</v>
      </c>
      <c r="G24" s="171">
        <v>406999</v>
      </c>
      <c r="H24" s="171">
        <v>54500</v>
      </c>
      <c r="I24" s="171">
        <v>54500</v>
      </c>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406999</v>
      </c>
      <c r="H36" s="297">
        <f>SUM(H24:H35)</f>
        <v>54500</v>
      </c>
      <c r="I36" s="297">
        <f>SUM(I24:I35)</f>
        <v>54500</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Tonganoxie Township</v>
      </c>
      <c r="C7" s="589"/>
      <c r="D7" s="589"/>
      <c r="E7" s="589"/>
      <c r="F7" s="589"/>
      <c r="G7" s="589"/>
      <c r="H7" s="589"/>
      <c r="I7" s="589"/>
    </row>
    <row r="8" spans="2:9" ht="15.75">
      <c r="B8" s="590" t="str">
        <f>inputPrYr!D4</f>
        <v>Leavenworth</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57534974</v>
      </c>
      <c r="F27" s="589"/>
      <c r="G27" s="594">
        <f>summ!F40</f>
        <v>56881882</v>
      </c>
      <c r="H27" s="589"/>
      <c r="I27" s="589"/>
    </row>
    <row r="28" spans="2:9" ht="15.75">
      <c r="B28" s="589" t="s">
        <v>822</v>
      </c>
      <c r="C28" s="589"/>
      <c r="D28" s="589"/>
      <c r="E28" s="599" t="str">
        <f>IF(G27-E27&gt;=0,"No","Yes")</f>
        <v>Yes</v>
      </c>
      <c r="F28" s="589"/>
      <c r="G28" s="589"/>
      <c r="H28" s="589"/>
      <c r="I28" s="589"/>
    </row>
    <row r="29" spans="2:9" ht="15.75">
      <c r="B29" s="589" t="s">
        <v>823</v>
      </c>
      <c r="C29" s="589"/>
      <c r="D29" s="589"/>
      <c r="E29" s="600" t="str">
        <f>summ!E20</f>
        <v>  </v>
      </c>
      <c r="F29" s="589"/>
      <c r="G29" s="600">
        <f>summ!H36</f>
        <v>5.586</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E38" sqref="E3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Tonganoxie Township</v>
      </c>
      <c r="C1" s="65"/>
      <c r="D1" s="65"/>
      <c r="E1" s="225">
        <f>inputPrYr!D9</f>
        <v>2014</v>
      </c>
    </row>
    <row r="2" spans="2:5" ht="15.75">
      <c r="B2" s="544" t="s">
        <v>772</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12618</v>
      </c>
      <c r="D6" s="390">
        <f>C51</f>
        <v>12</v>
      </c>
      <c r="E6" s="261">
        <f>D51</f>
        <v>12</v>
      </c>
    </row>
    <row r="7" spans="2:5" ht="15.75">
      <c r="B7" s="80" t="s">
        <v>72</v>
      </c>
      <c r="C7" s="390"/>
      <c r="D7" s="390"/>
      <c r="E7" s="315"/>
    </row>
    <row r="8" spans="2:5" ht="15.75">
      <c r="B8" s="80" t="s">
        <v>278</v>
      </c>
      <c r="C8" s="313">
        <v>25037</v>
      </c>
      <c r="D8" s="390">
        <f>IF(inputPrYr!H19&gt;0,inputPrYr!G20,inputPrYr!E20)</f>
        <v>30445</v>
      </c>
      <c r="E8" s="315" t="s">
        <v>257</v>
      </c>
    </row>
    <row r="9" spans="2:5" ht="15.75">
      <c r="B9" s="80" t="s">
        <v>279</v>
      </c>
      <c r="C9" s="313">
        <v>1590</v>
      </c>
      <c r="D9" s="313">
        <v>0</v>
      </c>
      <c r="E9" s="171"/>
    </row>
    <row r="10" spans="2:5" ht="15.75">
      <c r="B10" s="80" t="s">
        <v>280</v>
      </c>
      <c r="C10" s="313">
        <v>5098</v>
      </c>
      <c r="D10" s="313">
        <v>3432</v>
      </c>
      <c r="E10" s="261">
        <f>mvalloc!G11</f>
        <v>5034</v>
      </c>
    </row>
    <row r="11" spans="2:5" ht="15.75">
      <c r="B11" s="80" t="s">
        <v>281</v>
      </c>
      <c r="C11" s="313">
        <v>71</v>
      </c>
      <c r="D11" s="313">
        <v>68</v>
      </c>
      <c r="E11" s="261">
        <f>mvalloc!I11</f>
        <v>80</v>
      </c>
    </row>
    <row r="12" spans="2:5" ht="15.75">
      <c r="B12" s="316" t="s">
        <v>21</v>
      </c>
      <c r="C12" s="313">
        <v>84</v>
      </c>
      <c r="D12" s="313">
        <v>101</v>
      </c>
      <c r="E12" s="261">
        <f>mvalloc!J11</f>
        <v>98</v>
      </c>
    </row>
    <row r="13" spans="2:5" ht="15.75">
      <c r="B13" s="316" t="s">
        <v>112</v>
      </c>
      <c r="C13" s="313"/>
      <c r="D13" s="313">
        <v>0</v>
      </c>
      <c r="E13" s="261">
        <f>inputOth!E71</f>
        <v>0</v>
      </c>
    </row>
    <row r="14" spans="2:5" ht="15.75">
      <c r="B14" s="80" t="s">
        <v>282</v>
      </c>
      <c r="C14" s="313"/>
      <c r="D14" s="313"/>
      <c r="E14" s="261">
        <f>inputOth!E32</f>
        <v>0</v>
      </c>
    </row>
    <row r="15" spans="2:5" ht="15.75">
      <c r="B15" s="318"/>
      <c r="C15" s="313"/>
      <c r="D15" s="313"/>
      <c r="E15" s="171"/>
    </row>
    <row r="16" spans="2:5" ht="15.75">
      <c r="B16" s="317" t="s">
        <v>969</v>
      </c>
      <c r="C16" s="313">
        <v>4928</v>
      </c>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36808</v>
      </c>
      <c r="D26" s="393">
        <f>SUM(D8:D24)</f>
        <v>34046</v>
      </c>
      <c r="E26" s="322">
        <f>SUM(E8:E24)</f>
        <v>5212</v>
      </c>
    </row>
    <row r="27" spans="2:5" ht="15.75">
      <c r="B27" s="98" t="s">
        <v>286</v>
      </c>
      <c r="C27" s="393">
        <f>C26+C6</f>
        <v>49426</v>
      </c>
      <c r="D27" s="393">
        <f>D26+D6</f>
        <v>34058</v>
      </c>
      <c r="E27" s="322">
        <f>E26+E6</f>
        <v>5224</v>
      </c>
    </row>
    <row r="28" spans="2:5" ht="15.75">
      <c r="B28" s="80" t="s">
        <v>287</v>
      </c>
      <c r="C28" s="390"/>
      <c r="D28" s="390"/>
      <c r="E28" s="261"/>
    </row>
    <row r="29" spans="2:5" ht="15.75">
      <c r="B29" s="317"/>
      <c r="C29" s="313"/>
      <c r="D29" s="313"/>
      <c r="E29" s="171"/>
    </row>
    <row r="30" spans="2:5" ht="15.75">
      <c r="B30" s="318" t="s">
        <v>53</v>
      </c>
      <c r="C30" s="313">
        <v>4145</v>
      </c>
      <c r="D30" s="313">
        <v>3330</v>
      </c>
      <c r="E30" s="171">
        <v>4150</v>
      </c>
    </row>
    <row r="31" spans="2:5" ht="15.75">
      <c r="B31" s="318" t="s">
        <v>77</v>
      </c>
      <c r="C31" s="313"/>
      <c r="D31" s="313"/>
      <c r="E31" s="171"/>
    </row>
    <row r="32" spans="2:5" ht="15.75">
      <c r="B32" s="318" t="s">
        <v>970</v>
      </c>
      <c r="C32" s="313">
        <v>1000</v>
      </c>
      <c r="D32" s="313">
        <v>1000</v>
      </c>
      <c r="E32" s="171">
        <v>1000</v>
      </c>
    </row>
    <row r="33" spans="2:5" ht="15.75">
      <c r="B33" s="318" t="s">
        <v>298</v>
      </c>
      <c r="C33" s="313">
        <v>90</v>
      </c>
      <c r="D33" s="313"/>
      <c r="E33" s="171"/>
    </row>
    <row r="34" spans="2:5" ht="15.75">
      <c r="B34" s="317" t="s">
        <v>973</v>
      </c>
      <c r="C34" s="313">
        <v>26000</v>
      </c>
      <c r="D34" s="313"/>
      <c r="E34" s="171">
        <v>26000</v>
      </c>
    </row>
    <row r="35" spans="2:5" ht="15.75">
      <c r="B35" s="317" t="s">
        <v>972</v>
      </c>
      <c r="C35" s="313">
        <v>2916</v>
      </c>
      <c r="D35" s="313"/>
      <c r="E35" s="171">
        <v>4000</v>
      </c>
    </row>
    <row r="36" spans="2:5" ht="15.75">
      <c r="B36" s="318" t="s">
        <v>79</v>
      </c>
      <c r="C36" s="313">
        <v>7617</v>
      </c>
      <c r="D36" s="313">
        <v>9200</v>
      </c>
      <c r="E36" s="171">
        <v>9200</v>
      </c>
    </row>
    <row r="37" spans="2:5" ht="15.75">
      <c r="B37" s="318" t="s">
        <v>283</v>
      </c>
      <c r="C37" s="313">
        <v>7646</v>
      </c>
      <c r="D37" s="313">
        <v>2000</v>
      </c>
      <c r="E37" s="171">
        <v>10192</v>
      </c>
    </row>
    <row r="38" spans="2:5" ht="15.75">
      <c r="B38" s="318" t="s">
        <v>974</v>
      </c>
      <c r="C38" s="313"/>
      <c r="D38" s="313">
        <v>5000</v>
      </c>
      <c r="E38" s="171">
        <v>13654</v>
      </c>
    </row>
    <row r="39" spans="2:5" ht="15.75">
      <c r="B39" s="318" t="s">
        <v>971</v>
      </c>
      <c r="C39" s="313"/>
      <c r="D39" s="313">
        <v>13516</v>
      </c>
      <c r="E39" s="171">
        <v>24000</v>
      </c>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190</v>
      </c>
      <c r="C43" s="313"/>
      <c r="D43" s="313"/>
      <c r="E43" s="171"/>
      <c r="G43" s="508" t="s">
        <v>735</v>
      </c>
      <c r="H43" s="548"/>
      <c r="I43" s="548"/>
      <c r="J43" s="509">
        <v>0</v>
      </c>
    </row>
    <row r="44" spans="2:10" ht="15.75">
      <c r="B44" s="316" t="s">
        <v>191</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192</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232</v>
      </c>
      <c r="C47" s="313"/>
      <c r="D47" s="313"/>
      <c r="E47" s="182">
        <f>nhood!E6</f>
      </c>
    </row>
    <row r="48" spans="2:10" ht="15.75">
      <c r="B48" s="316" t="s">
        <v>230</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288</v>
      </c>
      <c r="C50" s="393">
        <f>SUM(C29:C43,C45,C47:C48)</f>
        <v>49414</v>
      </c>
      <c r="D50" s="393">
        <f>SUM(D29:D43,D45,D47:D48)</f>
        <v>34046</v>
      </c>
      <c r="E50" s="322">
        <f>SUM(E29:E43,E47:E48,E45)</f>
        <v>92196</v>
      </c>
      <c r="G50" s="545">
        <f>D51</f>
        <v>12</v>
      </c>
      <c r="H50" s="546" t="str">
        <f>CONCATENATE("",E1-1," Ending Cash Balance (est.)")</f>
        <v>2013 Ending Cash Balance (est.)</v>
      </c>
      <c r="I50" s="547"/>
      <c r="J50" s="84"/>
    </row>
    <row r="51" spans="2:10" ht="15.75">
      <c r="B51" s="80" t="s">
        <v>71</v>
      </c>
      <c r="C51" s="394">
        <f>C27-C50</f>
        <v>12</v>
      </c>
      <c r="D51" s="394">
        <f>D27-D50</f>
        <v>12</v>
      </c>
      <c r="E51" s="315" t="s">
        <v>257</v>
      </c>
      <c r="G51" s="545">
        <f>E26</f>
        <v>5212</v>
      </c>
      <c r="H51" s="548" t="str">
        <f>CONCATENATE("",E1," Non-AV Receipts (est.)")</f>
        <v>2014 Non-AV Receipts (est.)</v>
      </c>
      <c r="I51" s="547"/>
      <c r="J51" s="84"/>
    </row>
    <row r="52" spans="2:11" ht="15.75">
      <c r="B52" s="117" t="str">
        <f>CONCATENATE("",E1-2,"/",E1-1," Budget Authority Amount:")</f>
        <v>2012/2013 Budget Authority Amount:</v>
      </c>
      <c r="C52" s="338">
        <f>inputOth!B83</f>
        <v>44658</v>
      </c>
      <c r="D52" s="68">
        <f>inputPrYr!D20</f>
        <v>34046</v>
      </c>
      <c r="E52" s="315" t="s">
        <v>257</v>
      </c>
      <c r="F52" s="324"/>
      <c r="G52" s="549">
        <f>IF(D56&gt;0,E55,E57)</f>
        <v>86972</v>
      </c>
      <c r="H52" s="548" t="str">
        <f>CONCATENATE("",E1," Ad Valorem Tax (est.)")</f>
        <v>2014 Ad Valorem Tax (est.)</v>
      </c>
      <c r="I52" s="547"/>
      <c r="J52" s="84"/>
      <c r="K52" s="724">
        <f>IF(G52=E57,"","Note: Does not include Delinquent Taxes")</f>
      </c>
    </row>
    <row r="53" spans="2:10" ht="15.75">
      <c r="B53" s="117"/>
      <c r="C53" s="811" t="s">
        <v>729</v>
      </c>
      <c r="D53" s="812"/>
      <c r="E53" s="171"/>
      <c r="F53" s="324">
        <f>IF(E50/0.95-E50&lt;E53,"Exceeds 5%","")</f>
      </c>
      <c r="G53" s="545">
        <f>SUM(G50:G52)</f>
        <v>92196</v>
      </c>
      <c r="H53" s="548" t="str">
        <f>CONCATENATE("Total ",E1," Resources Available")</f>
        <v>Total 2014 Resources Available</v>
      </c>
      <c r="I53" s="547"/>
      <c r="J53" s="84"/>
    </row>
    <row r="54" spans="2:10" ht="15.75">
      <c r="B54" s="499" t="str">
        <f>CONCATENATE(C74,"      ",D74)</f>
        <v>See Tab A      </v>
      </c>
      <c r="C54" s="813" t="s">
        <v>730</v>
      </c>
      <c r="D54" s="814"/>
      <c r="E54" s="261">
        <f>E50+E53</f>
        <v>92196</v>
      </c>
      <c r="G54" s="550"/>
      <c r="H54" s="548"/>
      <c r="I54" s="548"/>
      <c r="J54" s="84"/>
    </row>
    <row r="55" spans="2:10" ht="15.75">
      <c r="B55" s="499" t="str">
        <f>CONCATENATE(C75,"       ",D75)</f>
        <v>       </v>
      </c>
      <c r="C55" s="502"/>
      <c r="D55" s="501" t="s">
        <v>290</v>
      </c>
      <c r="E55" s="182">
        <f>IF(E54-E27&gt;0,E54-E27,0)</f>
        <v>86972</v>
      </c>
      <c r="G55" s="549">
        <f>ROUND(C50*0.05+C50,0)</f>
        <v>51885</v>
      </c>
      <c r="H55" s="548" t="str">
        <f>CONCATENATE("Less ",E1-2," Expenditures + 5%")</f>
        <v>Less 2012 Expenditures + 5%</v>
      </c>
      <c r="I55" s="547"/>
      <c r="J55" s="84"/>
    </row>
    <row r="56" spans="2:10" ht="15.75">
      <c r="B56" s="211"/>
      <c r="C56" s="500" t="s">
        <v>731</v>
      </c>
      <c r="D56" s="717">
        <f>inputOth!$E$77</f>
        <v>0</v>
      </c>
      <c r="E56" s="261">
        <f>ROUND(IF(D56&gt;0,(E55*D56),0),0)</f>
        <v>0</v>
      </c>
      <c r="G56" s="551">
        <f>G53-G55</f>
        <v>40311</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86972</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1.529</v>
      </c>
      <c r="H60" s="546" t="str">
        <f>CONCATENATE("",E1," Fund Mill Rate")</f>
        <v>2014 Fund Mill Rate</v>
      </c>
      <c r="I60" s="716"/>
      <c r="J60" s="726"/>
      <c r="K60" s="156"/>
    </row>
    <row r="61" spans="2:10" ht="15.75">
      <c r="B61" s="211" t="s">
        <v>271</v>
      </c>
      <c r="C61" s="153">
        <v>6</v>
      </c>
      <c r="D61" s="65"/>
      <c r="E61" s="65"/>
      <c r="G61" s="728">
        <f>summ!E18</f>
        <v>0.529</v>
      </c>
      <c r="H61" s="546" t="str">
        <f>CONCATENATE("",E1-1," Fund Mill Rate")</f>
        <v>2013 Fund Mill Rate</v>
      </c>
      <c r="I61" s="716"/>
      <c r="J61" s="726"/>
    </row>
    <row r="62" spans="7:10" ht="15.75">
      <c r="G62" s="729">
        <f>summ!H36</f>
        <v>5.586</v>
      </c>
      <c r="H62" s="546" t="str">
        <f>CONCATENATE("Total ",E1," Mill Rate")</f>
        <v>Total 2014 Mill Rate</v>
      </c>
      <c r="I62" s="716"/>
      <c r="J62" s="726"/>
    </row>
    <row r="63" spans="2:10" ht="15.75">
      <c r="B63" s="109"/>
      <c r="G63" s="728">
        <f>summ!E36</f>
        <v>4.513</v>
      </c>
      <c r="H63" s="730" t="str">
        <f>CONCATENATE("Total ",E1-1," Mill Rate")</f>
        <v>Total 2013 Mill Rate</v>
      </c>
      <c r="I63" s="731"/>
      <c r="J63" s="732"/>
    </row>
    <row r="65" spans="7:9" ht="15.75">
      <c r="G65" s="745" t="s">
        <v>946</v>
      </c>
      <c r="H65" s="744"/>
      <c r="I65" s="743" t="str">
        <f>cert!E41</f>
        <v>Yes</v>
      </c>
    </row>
    <row r="74" spans="3:4" ht="15.75" hidden="1">
      <c r="C74" s="156" t="str">
        <f>IF(C50&gt;C52,"See Tab A","")</f>
        <v>See Tab A</v>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Tonganoxie Township</v>
      </c>
      <c r="C1" s="611"/>
      <c r="D1" s="612"/>
      <c r="E1" s="613">
        <f>inputPrYr!D9</f>
        <v>2014</v>
      </c>
    </row>
    <row r="2" spans="2:5" ht="15.75">
      <c r="B2" s="612"/>
      <c r="C2" s="612"/>
      <c r="D2" s="612"/>
      <c r="E2" s="615"/>
    </row>
    <row r="3" spans="2:5" ht="15.75">
      <c r="B3" s="616" t="s">
        <v>772</v>
      </c>
      <c r="C3" s="616"/>
      <c r="D3" s="617"/>
      <c r="E3" s="618"/>
    </row>
    <row r="4" spans="2:5" ht="15.75">
      <c r="B4" s="619" t="s">
        <v>272</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867</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232</v>
      </c>
      <c r="C30" s="632"/>
      <c r="D30" s="634"/>
      <c r="E30" s="630">
        <f>nhood!E7</f>
      </c>
    </row>
    <row r="31" spans="2:10" ht="15.75">
      <c r="B31" s="660" t="s">
        <v>230</v>
      </c>
      <c r="C31" s="640"/>
      <c r="D31" s="634"/>
      <c r="E31" s="635"/>
      <c r="G31" s="823" t="str">
        <f>CONCATENATE("Projected Carryover Into ",E1+1,"")</f>
        <v>Projected Carryover Into 2015</v>
      </c>
      <c r="H31" s="833"/>
      <c r="I31" s="833"/>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257</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2012 Expenditures</v>
      </c>
      <c r="I38" s="648"/>
      <c r="J38" s="661"/>
    </row>
    <row r="39" spans="2:10" ht="15.75">
      <c r="B39" s="615"/>
      <c r="C39" s="500" t="s">
        <v>731</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272</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5.586</v>
      </c>
      <c r="H45" s="665" t="str">
        <f>CONCATENATE("Total ",E1," Mill Rate")</f>
        <v>Total 2014 Mill Rate</v>
      </c>
      <c r="I45" s="689"/>
      <c r="J45" s="690"/>
    </row>
    <row r="46" spans="2:10" ht="15.75">
      <c r="B46" s="627" t="s">
        <v>95</v>
      </c>
      <c r="C46" s="632">
        <v>0</v>
      </c>
      <c r="D46" s="629">
        <f>C74</f>
        <v>0</v>
      </c>
      <c r="E46" s="630">
        <f>D74</f>
        <v>0</v>
      </c>
      <c r="F46" s="668"/>
      <c r="G46" s="692">
        <f>summ!E36</f>
        <v>4.513</v>
      </c>
      <c r="H46" s="695" t="str">
        <f>CONCATENATE("Total ",E1-1," Mill Rate")</f>
        <v>Total 2013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946</v>
      </c>
      <c r="H48" s="744"/>
      <c r="I48" s="743" t="str">
        <f>cert!E41</f>
        <v>Yes</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867</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3" t="str">
        <f>CONCATENATE("Projected Carryover Into ",E1+1,"")</f>
        <v>Projected Carryover Into 2015</v>
      </c>
      <c r="H71" s="826"/>
      <c r="I71" s="826"/>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257</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5.586</v>
      </c>
      <c r="H85" s="665" t="str">
        <f>CONCATENATE("Total ",E1," Mill Rate")</f>
        <v>Total 2014 Mill Rate</v>
      </c>
      <c r="I85" s="689"/>
      <c r="J85" s="690"/>
    </row>
    <row r="86" spans="7:10" ht="15.75">
      <c r="G86" s="692">
        <f>summ!E36</f>
        <v>4.513</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Yes</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Tonganoxie Township</v>
      </c>
      <c r="C1" s="65"/>
      <c r="D1" s="65"/>
      <c r="E1" s="225">
        <f>inputPrYr!D9</f>
        <v>2014</v>
      </c>
    </row>
    <row r="2" spans="2:5" ht="15.75">
      <c r="B2" s="544" t="s">
        <v>772</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2012</v>
      </c>
      <c r="D5" s="389" t="str">
        <f>gen!D5</f>
        <v>Estimate for 2013</v>
      </c>
      <c r="E5" s="79" t="str">
        <f>gen!E5</f>
        <v>Year for 2014</v>
      </c>
    </row>
    <row r="6" spans="2:5" ht="15.75">
      <c r="B6" s="80" t="s">
        <v>70</v>
      </c>
      <c r="C6" s="313"/>
      <c r="D6" s="390">
        <f>C44</f>
        <v>0</v>
      </c>
      <c r="E6" s="261">
        <f>D44</f>
        <v>0</v>
      </c>
    </row>
    <row r="7" spans="2:5" ht="15.75">
      <c r="B7" s="80" t="s">
        <v>72</v>
      </c>
      <c r="C7" s="390"/>
      <c r="D7" s="390"/>
      <c r="E7" s="315"/>
    </row>
    <row r="8" spans="2:5" ht="15.75">
      <c r="B8" s="80" t="s">
        <v>278</v>
      </c>
      <c r="C8" s="313"/>
      <c r="D8" s="390">
        <f>IF(inputPrYr!H19&gt;0,inputPrYr!G23,inputPrYr!E23)</f>
        <v>0</v>
      </c>
      <c r="E8" s="315" t="s">
        <v>257</v>
      </c>
    </row>
    <row r="9" spans="2:5" ht="15.75">
      <c r="B9" s="80" t="s">
        <v>279</v>
      </c>
      <c r="C9" s="313"/>
      <c r="D9" s="313"/>
      <c r="E9" s="171"/>
    </row>
    <row r="10" spans="2:5" ht="15.75">
      <c r="B10" s="80" t="s">
        <v>280</v>
      </c>
      <c r="C10" s="313"/>
      <c r="D10" s="313"/>
      <c r="E10" s="261">
        <f>mvalloc!G14</f>
        <v>0</v>
      </c>
    </row>
    <row r="11" spans="2:5" ht="15.75">
      <c r="B11" s="80" t="s">
        <v>281</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0</v>
      </c>
      <c r="D23" s="393">
        <f>SUM(D8:D21)</f>
        <v>0</v>
      </c>
      <c r="E23" s="322">
        <f>SUM(E8:E21)</f>
        <v>0</v>
      </c>
    </row>
    <row r="24" spans="2:5" ht="15.75">
      <c r="B24" s="98" t="s">
        <v>286</v>
      </c>
      <c r="C24" s="393">
        <f>C23+C6</f>
        <v>0</v>
      </c>
      <c r="D24" s="393">
        <f>D23+D6</f>
        <v>0</v>
      </c>
      <c r="E24" s="322">
        <f>E23+E6</f>
        <v>0</v>
      </c>
    </row>
    <row r="25" spans="2:5" ht="15.75">
      <c r="B25" s="80" t="s">
        <v>287</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78</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232</v>
      </c>
      <c r="C40" s="313"/>
      <c r="D40" s="313"/>
      <c r="E40" s="182">
        <f>nhood!E9</f>
      </c>
    </row>
    <row r="41" spans="2:10" ht="15.75">
      <c r="B41" s="316" t="s">
        <v>230</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288</v>
      </c>
      <c r="C43" s="393">
        <f>SUM(C26:C41)</f>
        <v>0</v>
      </c>
      <c r="D43" s="393">
        <f>SUM(D26:D41)</f>
        <v>0</v>
      </c>
      <c r="E43" s="322">
        <f>SUM(E26:E38,E41)</f>
        <v>0</v>
      </c>
      <c r="G43" s="545">
        <f>D44</f>
        <v>0</v>
      </c>
      <c r="H43" s="546" t="str">
        <f>CONCATENATE("",E1-1," Ending Cash Balance (est.)")</f>
        <v>2013 Ending Cash Balance (est.)</v>
      </c>
      <c r="I43" s="547"/>
      <c r="J43" s="84"/>
    </row>
    <row r="44" spans="2:10" ht="15.75">
      <c r="B44" s="80" t="s">
        <v>71</v>
      </c>
      <c r="C44" s="394">
        <f>C24-C43</f>
        <v>0</v>
      </c>
      <c r="D44" s="394">
        <f>D24-D43</f>
        <v>0</v>
      </c>
      <c r="E44" s="315" t="s">
        <v>257</v>
      </c>
      <c r="G44" s="545">
        <f>E23</f>
        <v>0</v>
      </c>
      <c r="H44" s="548" t="str">
        <f>CONCATENATE("",E1," Non-AV Receipts (est.)")</f>
        <v>2014 Non-AV Receipts (est.)</v>
      </c>
      <c r="I44" s="547"/>
      <c r="J44" s="84"/>
    </row>
    <row r="45" spans="2:11" ht="15.75">
      <c r="B45" s="117" t="str">
        <f>CONCATENATE("",$E$1-2,"/",$E$1-1," Budget Authority Amount:")</f>
        <v>2012/2013 Budget Authority Amount:</v>
      </c>
      <c r="C45" s="338">
        <f>inputOth!B86</f>
        <v>0</v>
      </c>
      <c r="D45" s="83">
        <f>inputPrYr!D23</f>
        <v>0</v>
      </c>
      <c r="E45" s="315" t="s">
        <v>257</v>
      </c>
      <c r="F45" s="324"/>
      <c r="G45" s="549">
        <f>IF(D49&gt;0,E48,E50)</f>
        <v>0</v>
      </c>
      <c r="H45" s="548" t="str">
        <f>CONCATENATE("",E1," Ad Valorem Tax (est.)")</f>
        <v>2014 Ad Valorem Tax (est.)</v>
      </c>
      <c r="I45" s="547"/>
      <c r="J45" s="84"/>
      <c r="K45" s="724">
        <f>IF(G45=E50,"","Note: Does not include Delinquent Taxes")</f>
      </c>
    </row>
    <row r="46" spans="2:10" ht="15.75">
      <c r="B46" s="117"/>
      <c r="C46" s="811" t="s">
        <v>729</v>
      </c>
      <c r="D46" s="812"/>
      <c r="E46" s="171"/>
      <c r="F46" s="733">
        <f>IF(E43/0.95-E43&lt;E46,"Exceeds 5%","")</f>
      </c>
      <c r="G46" s="545">
        <f>SUM(G43:G45)</f>
        <v>0</v>
      </c>
      <c r="H46" s="548" t="str">
        <f>CONCATENATE("Total ",E1," Resources Available")</f>
        <v>Total 2014 Resources Available</v>
      </c>
      <c r="I46" s="547"/>
      <c r="J46" s="84"/>
    </row>
    <row r="47" spans="2:10" ht="15.75">
      <c r="B47" s="499" t="str">
        <f>CONCATENATE(C72,"     ",D72)</f>
        <v>     </v>
      </c>
      <c r="C47" s="813" t="s">
        <v>730</v>
      </c>
      <c r="D47" s="814"/>
      <c r="E47" s="261">
        <f>E43+E46</f>
        <v>0</v>
      </c>
      <c r="G47" s="550"/>
      <c r="H47" s="548"/>
      <c r="I47" s="548"/>
      <c r="J47" s="84"/>
    </row>
    <row r="48" spans="2:10" ht="15.75">
      <c r="B48" s="499" t="str">
        <f>CONCATENATE(C73,"     ",D73)</f>
        <v>     </v>
      </c>
      <c r="C48" s="502"/>
      <c r="D48" s="501" t="s">
        <v>290</v>
      </c>
      <c r="E48" s="182">
        <f>IF(E47-E24&gt;0,E47-E24,0)</f>
        <v>0</v>
      </c>
      <c r="G48" s="549">
        <f>ROUND(C43*0.05+C43,0)</f>
        <v>0</v>
      </c>
      <c r="H48" s="548" t="str">
        <f>CONCATENATE("Less ",E1-2," Expenditures + 5%")</f>
        <v>Less 2012 Expenditures + 5%</v>
      </c>
      <c r="I48" s="547"/>
      <c r="J48" s="84"/>
    </row>
    <row r="49" spans="2:10" ht="15.75">
      <c r="B49" s="211"/>
      <c r="C49" s="500" t="s">
        <v>731</v>
      </c>
      <c r="D49" s="717">
        <f>inputOth!$E$77</f>
        <v>0</v>
      </c>
      <c r="E49" s="261">
        <f>ROUND(IF(D49&gt;0,(E48*D49),0),0)</f>
        <v>0</v>
      </c>
      <c r="G49" s="551">
        <f>G46-G48</f>
        <v>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0</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292</v>
      </c>
      <c r="C53" s="205">
        <f>E1-2</f>
        <v>2012</v>
      </c>
      <c r="D53" s="65"/>
      <c r="E53" s="65"/>
      <c r="G53" s="727" t="str">
        <f>summ!H21</f>
        <v> </v>
      </c>
      <c r="H53" s="546" t="str">
        <f>CONCATENATE("",E1," Fund Mill Rate")</f>
        <v>2014 Fund Mill Rate</v>
      </c>
      <c r="I53" s="716"/>
      <c r="J53" s="726"/>
    </row>
    <row r="54" spans="2:10" ht="15.75">
      <c r="B54" s="77" t="s">
        <v>293</v>
      </c>
      <c r="C54" s="79" t="s">
        <v>294</v>
      </c>
      <c r="D54" s="65"/>
      <c r="E54" s="65"/>
      <c r="G54" s="728" t="str">
        <f>summ!E21</f>
        <v>  </v>
      </c>
      <c r="H54" s="546" t="str">
        <f>CONCATENATE("",E1-1," Fund Mill Rate")</f>
        <v>2013 Fund Mill Rate</v>
      </c>
      <c r="I54" s="716"/>
      <c r="J54" s="726"/>
    </row>
    <row r="55" spans="2:10" ht="15.75">
      <c r="B55" s="105" t="s">
        <v>276</v>
      </c>
      <c r="C55" s="498"/>
      <c r="D55" s="65"/>
      <c r="E55" s="65"/>
      <c r="G55" s="729">
        <f>summ!H36</f>
        <v>5.586</v>
      </c>
      <c r="H55" s="546" t="str">
        <f>CONCATENATE("Total ",E1," Mill Rate")</f>
        <v>Total 2014 Mill Rate</v>
      </c>
      <c r="I55" s="716"/>
      <c r="J55" s="726"/>
    </row>
    <row r="56" spans="2:10" ht="15.75">
      <c r="B56" s="105" t="s">
        <v>295</v>
      </c>
      <c r="C56" s="338"/>
      <c r="D56" s="65"/>
      <c r="E56" s="65"/>
      <c r="G56" s="728">
        <f>summ!E36</f>
        <v>4.513</v>
      </c>
      <c r="H56" s="730" t="str">
        <f>CONCATENATE("Total ",E1-1," Mill Rate")</f>
        <v>Total 2013 Mill Rate</v>
      </c>
      <c r="I56" s="731"/>
      <c r="J56" s="732"/>
    </row>
    <row r="57" spans="2:5" ht="15.75">
      <c r="B57" s="105" t="s">
        <v>296</v>
      </c>
      <c r="C57" s="493">
        <f>IF(C38&gt;0,C38,0)</f>
        <v>0</v>
      </c>
      <c r="D57" s="329">
        <f>IF(C38&gt;(C24*0.25),"Exceeds 25% of Resources Available","")</f>
      </c>
      <c r="E57" s="65"/>
    </row>
    <row r="58" spans="2:9" ht="15.75">
      <c r="B58" s="105" t="s">
        <v>194</v>
      </c>
      <c r="C58" s="492">
        <f>IF(gen!C43&gt;0,gen!C43,0)</f>
        <v>0</v>
      </c>
      <c r="D58" s="834">
        <f>IF(AND(gen!C43&gt;0,gen!C45&gt;0),"Not Auth. Two General Transfers - Only One","")</f>
      </c>
      <c r="E58" s="65"/>
      <c r="G58" s="745" t="s">
        <v>946</v>
      </c>
      <c r="H58" s="744"/>
      <c r="I58" s="743" t="str">
        <f>cert!E41</f>
        <v>Yes</v>
      </c>
    </row>
    <row r="59" spans="2:5" ht="15.75">
      <c r="B59" s="105" t="s">
        <v>195</v>
      </c>
      <c r="C59" s="493">
        <f>IF(gen!C45&gt;0,gen!C45,0)</f>
        <v>0</v>
      </c>
      <c r="D59" s="835"/>
      <c r="E59" s="65"/>
    </row>
    <row r="60" spans="2:5" ht="15.75">
      <c r="B60" s="173"/>
      <c r="C60" s="498"/>
      <c r="D60" s="65"/>
      <c r="E60" s="65"/>
    </row>
    <row r="61" spans="2:5" ht="15.75">
      <c r="B61" s="173" t="s">
        <v>284</v>
      </c>
      <c r="C61" s="498"/>
      <c r="D61" s="65"/>
      <c r="E61" s="65"/>
    </row>
    <row r="62" spans="2:5" ht="15.75">
      <c r="B62" s="173" t="s">
        <v>283</v>
      </c>
      <c r="C62" s="498"/>
      <c r="D62" s="65"/>
      <c r="E62" s="65"/>
    </row>
    <row r="63" spans="2:5" ht="15.75">
      <c r="B63" s="330" t="s">
        <v>286</v>
      </c>
      <c r="C63" s="491">
        <f>SUM(C55,C57:C62)</f>
        <v>0</v>
      </c>
      <c r="D63" s="65"/>
      <c r="E63" s="65"/>
    </row>
    <row r="64" spans="2:5" ht="15.75">
      <c r="B64" s="330" t="s">
        <v>288</v>
      </c>
      <c r="C64" s="498"/>
      <c r="D64" s="65"/>
      <c r="E64" s="65"/>
    </row>
    <row r="65" spans="2:5" ht="15.75">
      <c r="B65" s="330" t="s">
        <v>289</v>
      </c>
      <c r="C65" s="491">
        <f>C63-C64</f>
        <v>0</v>
      </c>
      <c r="D65" s="65"/>
      <c r="E65" s="65"/>
    </row>
    <row r="66" spans="2:5" ht="15.75">
      <c r="B66" s="65"/>
      <c r="C66" s="65"/>
      <c r="D66" s="65"/>
      <c r="E66" s="65"/>
    </row>
    <row r="67" spans="2:5" ht="15.75">
      <c r="B67" s="211" t="s">
        <v>271</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Tonganoxie Township</v>
      </c>
      <c r="C1" s="72" t="s">
        <v>297</v>
      </c>
      <c r="D1" s="65"/>
      <c r="E1" s="225">
        <f>inputPrYr!D9</f>
        <v>2014</v>
      </c>
    </row>
    <row r="2" spans="2:5" ht="15.75">
      <c r="B2" s="544" t="s">
        <v>772</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2014 Fund Mill Rate</v>
      </c>
      <c r="I43" s="689"/>
      <c r="J43" s="690"/>
      <c r="K43" s="614"/>
    </row>
    <row r="44" spans="2:11" ht="15.75">
      <c r="B44" s="65"/>
      <c r="C44" s="388" t="s">
        <v>273</v>
      </c>
      <c r="D44" s="391" t="s">
        <v>274</v>
      </c>
      <c r="E44" s="74" t="s">
        <v>275</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5.586</v>
      </c>
      <c r="H45" s="665" t="str">
        <f>CONCATENATE("Total ",E1," Mill Rate")</f>
        <v>Total 2014 Mill Rate</v>
      </c>
      <c r="I45" s="689"/>
      <c r="J45" s="690"/>
      <c r="K45" s="614"/>
    </row>
    <row r="46" spans="2:11" ht="15.75">
      <c r="B46" s="80" t="s">
        <v>70</v>
      </c>
      <c r="C46" s="313"/>
      <c r="D46" s="390">
        <f>C74</f>
        <v>0</v>
      </c>
      <c r="E46" s="261">
        <f>D74</f>
        <v>0</v>
      </c>
      <c r="G46" s="692">
        <f>summ!E36</f>
        <v>4.513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5.586</v>
      </c>
      <c r="H89" s="665" t="str">
        <f>CONCATENATE("Total ",E1," Mill Rate")</f>
        <v>Total 2014 Mill Rate</v>
      </c>
      <c r="I89" s="689"/>
      <c r="J89" s="690"/>
    </row>
    <row r="90" spans="7:10" ht="15.75">
      <c r="G90" s="692">
        <f>summ!E36</f>
        <v>4.513</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9">
      <selection activeCell="E65" sqref="E6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Tonganoxie Township</v>
      </c>
      <c r="C1" s="65"/>
      <c r="D1" s="65"/>
      <c r="E1" s="225">
        <f>inputPrYr!D9</f>
        <v>2014</v>
      </c>
    </row>
    <row r="2" spans="2:5" ht="15.75">
      <c r="B2" s="544" t="s">
        <v>772</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2014 Fund Mill Rate</v>
      </c>
      <c r="I43" s="689"/>
      <c r="J43" s="690"/>
      <c r="K43" s="614"/>
    </row>
    <row r="44" spans="2:11" ht="15.75">
      <c r="B44" s="65"/>
      <c r="C44" s="388" t="s">
        <v>273</v>
      </c>
      <c r="D44" s="391" t="s">
        <v>274</v>
      </c>
      <c r="E44" s="74" t="s">
        <v>275</v>
      </c>
      <c r="G44" s="692" t="str">
        <f>summ!E24</f>
        <v>  </v>
      </c>
      <c r="H44" s="665" t="str">
        <f>CONCATENATE("",E1-1," Fund Mill Rate")</f>
        <v>2013 Fund Mill Rate</v>
      </c>
      <c r="I44" s="689"/>
      <c r="J44" s="690"/>
      <c r="K44" s="614"/>
    </row>
    <row r="45" spans="2:11" ht="15.75">
      <c r="B45" s="485" t="str">
        <f>inputPrYr!B27</f>
        <v>Fire Maintenance</v>
      </c>
      <c r="C45" s="389" t="str">
        <f>C5</f>
        <v>Actual for 2012</v>
      </c>
      <c r="D45" s="389" t="str">
        <f>D5</f>
        <v>Estimate for 2013</v>
      </c>
      <c r="E45" s="79" t="str">
        <f>E5</f>
        <v>Year for 2014</v>
      </c>
      <c r="G45" s="694">
        <f>summ!H36</f>
        <v>5.586</v>
      </c>
      <c r="H45" s="665" t="str">
        <f>CONCATENATE("Total ",E1," Mill Rate")</f>
        <v>Total 2014 Mill Rate</v>
      </c>
      <c r="I45" s="689"/>
      <c r="J45" s="690"/>
      <c r="K45" s="614"/>
    </row>
    <row r="46" spans="2:11" ht="15.75">
      <c r="B46" s="80" t="s">
        <v>70</v>
      </c>
      <c r="C46" s="313">
        <v>14902</v>
      </c>
      <c r="D46" s="390">
        <f>C74</f>
        <v>29664</v>
      </c>
      <c r="E46" s="261">
        <f>D74</f>
        <v>23130</v>
      </c>
      <c r="G46" s="692">
        <f>summ!E36</f>
        <v>4.513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v>25360</v>
      </c>
      <c r="D48" s="390">
        <f>IF(inputPrYr!H19&gt;0,inputPrYr!G27,inputPrYr!E27)</f>
        <v>20000</v>
      </c>
      <c r="E48" s="315" t="s">
        <v>257</v>
      </c>
      <c r="G48" s="745" t="s">
        <v>946</v>
      </c>
      <c r="H48" s="744"/>
      <c r="I48" s="743" t="str">
        <f>cert!E41</f>
        <v>Yes</v>
      </c>
      <c r="J48" s="614"/>
      <c r="K48" s="614"/>
    </row>
    <row r="49" spans="2:11" ht="15.75">
      <c r="B49" s="80" t="s">
        <v>279</v>
      </c>
      <c r="C49" s="313">
        <v>498</v>
      </c>
      <c r="D49" s="313">
        <v>0</v>
      </c>
      <c r="E49" s="171"/>
      <c r="G49" s="614"/>
      <c r="H49" s="614"/>
      <c r="I49" s="614"/>
      <c r="J49" s="614"/>
      <c r="K49" s="614"/>
    </row>
    <row r="50" spans="2:11" ht="15.75">
      <c r="B50" s="80" t="s">
        <v>280</v>
      </c>
      <c r="C50" s="313">
        <v>4442</v>
      </c>
      <c r="D50" s="313">
        <v>3425</v>
      </c>
      <c r="E50" s="261">
        <f>mvalloc!G18</f>
        <v>3307</v>
      </c>
      <c r="G50" s="614"/>
      <c r="H50" s="614"/>
      <c r="I50" s="614"/>
      <c r="J50" s="614"/>
      <c r="K50" s="614"/>
    </row>
    <row r="51" spans="2:11" ht="15.75">
      <c r="B51" s="80" t="s">
        <v>281</v>
      </c>
      <c r="C51" s="313">
        <v>74</v>
      </c>
      <c r="D51" s="313">
        <v>68</v>
      </c>
      <c r="E51" s="261">
        <f>mvalloc!I18</f>
        <v>52</v>
      </c>
      <c r="G51" s="614"/>
      <c r="H51" s="614"/>
      <c r="I51" s="614"/>
      <c r="J51" s="614"/>
      <c r="K51" s="614"/>
    </row>
    <row r="52" spans="2:11" ht="15.75">
      <c r="B52" s="80" t="s">
        <v>51</v>
      </c>
      <c r="C52" s="313">
        <v>118</v>
      </c>
      <c r="D52" s="313">
        <v>101</v>
      </c>
      <c r="E52" s="261">
        <f>mvalloc!J18</f>
        <v>65</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30492</v>
      </c>
      <c r="D60" s="393">
        <f>SUM(D48:D58)</f>
        <v>23594</v>
      </c>
      <c r="E60" s="322">
        <f>SUM(E48:E58)</f>
        <v>3424</v>
      </c>
      <c r="G60" s="614"/>
      <c r="H60" s="614"/>
      <c r="I60" s="614"/>
      <c r="J60" s="614"/>
      <c r="K60" s="614"/>
    </row>
    <row r="61" spans="2:11" ht="15.75">
      <c r="B61" s="98" t="s">
        <v>286</v>
      </c>
      <c r="C61" s="393">
        <f>C60+C46</f>
        <v>45394</v>
      </c>
      <c r="D61" s="393">
        <f>D60+D46</f>
        <v>53258</v>
      </c>
      <c r="E61" s="322">
        <f>E60+E46</f>
        <v>26554</v>
      </c>
      <c r="G61" s="614"/>
      <c r="H61" s="614"/>
      <c r="I61" s="614"/>
      <c r="J61" s="614"/>
      <c r="K61" s="614"/>
    </row>
    <row r="62" spans="2:11" ht="15.75">
      <c r="B62" s="80" t="s">
        <v>287</v>
      </c>
      <c r="C62" s="390"/>
      <c r="D62" s="390"/>
      <c r="E62" s="261"/>
      <c r="G62" s="614"/>
      <c r="H62" s="614"/>
      <c r="I62" s="614"/>
      <c r="J62" s="614"/>
      <c r="K62" s="614"/>
    </row>
    <row r="63" spans="2:11" ht="15.75">
      <c r="B63" s="318" t="s">
        <v>975</v>
      </c>
      <c r="C63" s="313">
        <v>12324</v>
      </c>
      <c r="D63" s="313">
        <v>18128</v>
      </c>
      <c r="E63" s="171">
        <v>20000</v>
      </c>
      <c r="G63" s="614"/>
      <c r="H63" s="614"/>
      <c r="I63" s="614"/>
      <c r="J63" s="614"/>
      <c r="K63" s="614"/>
    </row>
    <row r="64" spans="2:11" ht="15.75">
      <c r="B64" s="318" t="s">
        <v>976</v>
      </c>
      <c r="C64" s="313">
        <v>3406</v>
      </c>
      <c r="D64" s="313">
        <v>12000</v>
      </c>
      <c r="E64" s="171">
        <v>26554</v>
      </c>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15730</v>
      </c>
      <c r="D73" s="393">
        <f>SUM(D63:D71)</f>
        <v>30128</v>
      </c>
      <c r="E73" s="322">
        <f>SUM(E63:E71)</f>
        <v>46554</v>
      </c>
      <c r="G73" s="664">
        <f>D74</f>
        <v>23130</v>
      </c>
      <c r="H73" s="665" t="str">
        <f>CONCATENATE("",E1-1," Ending Cash Balance (est.)")</f>
        <v>2013 Ending Cash Balance (est.)</v>
      </c>
      <c r="I73" s="666"/>
      <c r="J73" s="701"/>
      <c r="K73" s="614"/>
    </row>
    <row r="74" spans="2:11" ht="15.75">
      <c r="B74" s="80" t="s">
        <v>71</v>
      </c>
      <c r="C74" s="394">
        <f>C61-C73</f>
        <v>29664</v>
      </c>
      <c r="D74" s="394">
        <f>D61-D73</f>
        <v>23130</v>
      </c>
      <c r="E74" s="315" t="s">
        <v>257</v>
      </c>
      <c r="G74" s="664">
        <f>E60</f>
        <v>3424</v>
      </c>
      <c r="H74" s="648" t="str">
        <f>CONCATENATE("",E1," Non-AV Receipts (est.)")</f>
        <v>2014 Non-AV Receipts (est.)</v>
      </c>
      <c r="I74" s="666"/>
      <c r="J74" s="701"/>
      <c r="K74" s="614"/>
    </row>
    <row r="75" spans="2:11" ht="15.75">
      <c r="B75" s="117" t="str">
        <f>CONCATENATE("",$E$1-2,"/",$E$1-1," Budget Authority Amount:")</f>
        <v>2012/2013 Budget Authority Amount:</v>
      </c>
      <c r="C75" s="338">
        <f>inputOth!$B90</f>
        <v>39000</v>
      </c>
      <c r="D75" s="83">
        <f>inputPrYr!$D27</f>
        <v>30128</v>
      </c>
      <c r="E75" s="315" t="s">
        <v>257</v>
      </c>
      <c r="F75" s="324"/>
      <c r="G75" s="673">
        <f>IF(E79&gt;0,E78,E80)</f>
        <v>20000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46554</v>
      </c>
      <c r="H76" s="648" t="str">
        <f>CONCATENATE("Total ",E1," Resources Available")</f>
        <v>Total 2014 Resources Available</v>
      </c>
      <c r="I76" s="704"/>
      <c r="J76" s="701"/>
      <c r="K76" s="614"/>
    </row>
    <row r="77" spans="2:11" ht="15.75">
      <c r="B77" s="499" t="str">
        <f>CONCATENATE(C87,"     ",D87)</f>
        <v>     </v>
      </c>
      <c r="C77" s="813" t="s">
        <v>730</v>
      </c>
      <c r="D77" s="814"/>
      <c r="E77" s="261">
        <f>E73+E76</f>
        <v>46554</v>
      </c>
      <c r="G77" s="705"/>
      <c r="H77" s="706"/>
      <c r="I77" s="647"/>
      <c r="J77" s="701"/>
      <c r="K77" s="614"/>
    </row>
    <row r="78" spans="2:11" ht="15.75">
      <c r="B78" s="499" t="str">
        <f>CONCATENATE(C88,"     ",D88)</f>
        <v>     </v>
      </c>
      <c r="C78" s="502"/>
      <c r="D78" s="501" t="s">
        <v>290</v>
      </c>
      <c r="E78" s="182">
        <f>IF(E77-E61&gt;0,E77-E61,0)</f>
        <v>20000</v>
      </c>
      <c r="G78" s="673">
        <f>ROUND(C73*0.05+C73,0)</f>
        <v>16517</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30037</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20000</v>
      </c>
      <c r="G80" s="614"/>
      <c r="H80" s="614"/>
      <c r="I80" s="614"/>
      <c r="J80" s="614"/>
      <c r="K80" s="614"/>
    </row>
    <row r="81" spans="2:11" ht="15.75">
      <c r="B81" s="211" t="s">
        <v>271</v>
      </c>
      <c r="C81" s="328">
        <v>7</v>
      </c>
      <c r="D81" s="65"/>
      <c r="E81" s="65"/>
      <c r="G81" s="830" t="s">
        <v>869</v>
      </c>
      <c r="H81" s="831"/>
      <c r="I81" s="831"/>
      <c r="J81" s="832"/>
      <c r="K81" s="614"/>
    </row>
    <row r="82" spans="2:11" ht="15.75">
      <c r="B82" s="113"/>
      <c r="G82" s="688"/>
      <c r="H82" s="665"/>
      <c r="I82" s="689"/>
      <c r="J82" s="690"/>
      <c r="K82" s="614"/>
    </row>
    <row r="83" spans="7:11" ht="15.75">
      <c r="G83" s="691">
        <f>summ!H25</f>
        <v>1.056</v>
      </c>
      <c r="H83" s="665" t="str">
        <f>CONCATENATE("",E1," Fund Mill Rate")</f>
        <v>2014 Fund Mill Rate</v>
      </c>
      <c r="I83" s="689"/>
      <c r="J83" s="690"/>
      <c r="K83" s="614"/>
    </row>
    <row r="84" spans="7:11" ht="15.75">
      <c r="G84" s="692">
        <f>summ!E25</f>
        <v>1.055</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5.586</v>
      </c>
      <c r="H89" s="665" t="str">
        <f>CONCATENATE("Total ",E1," Mill Rate")</f>
        <v>Total 2014 Mill Rate</v>
      </c>
      <c r="I89" s="689"/>
      <c r="J89" s="690"/>
    </row>
    <row r="90" spans="7:10" ht="15.75">
      <c r="G90" s="692">
        <f>summ!E36</f>
        <v>4.513</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E24" sqref="E2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Tonganoxie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t="str">
        <f>inputPrYr!B28</f>
        <v>Fire Equipment</v>
      </c>
      <c r="C5" s="389" t="str">
        <f>gen!C5</f>
        <v>Actual for 2012</v>
      </c>
      <c r="D5" s="389" t="str">
        <f>gen!D5</f>
        <v>Estimate for 2013</v>
      </c>
      <c r="E5" s="79" t="str">
        <f>gen!E5</f>
        <v>Year for 2014</v>
      </c>
    </row>
    <row r="6" spans="2:5" ht="15.75">
      <c r="B6" s="80" t="s">
        <v>70</v>
      </c>
      <c r="C6" s="313">
        <v>0</v>
      </c>
      <c r="D6" s="390">
        <f>C34</f>
        <v>3969</v>
      </c>
      <c r="E6" s="261">
        <f>D34</f>
        <v>3969</v>
      </c>
    </row>
    <row r="7" spans="2:5" ht="15.75">
      <c r="B7" s="80" t="s">
        <v>72</v>
      </c>
      <c r="C7" s="390"/>
      <c r="D7" s="390"/>
      <c r="E7" s="315"/>
    </row>
    <row r="8" spans="2:5" ht="15.75">
      <c r="B8" s="80" t="s">
        <v>278</v>
      </c>
      <c r="C8" s="313">
        <v>50116</v>
      </c>
      <c r="D8" s="390">
        <f>IF(inputPrYr!H19&gt;0,inputPrYr!G28,inputPrYr!E28)</f>
        <v>55500</v>
      </c>
      <c r="E8" s="315" t="s">
        <v>257</v>
      </c>
    </row>
    <row r="9" spans="2:5" ht="15.75">
      <c r="B9" s="80" t="s">
        <v>279</v>
      </c>
      <c r="C9" s="313">
        <v>977</v>
      </c>
      <c r="D9" s="313">
        <v>0</v>
      </c>
      <c r="E9" s="171"/>
    </row>
    <row r="10" spans="2:5" ht="15.75">
      <c r="B10" s="80" t="s">
        <v>280</v>
      </c>
      <c r="C10" s="313">
        <v>7783</v>
      </c>
      <c r="D10" s="313">
        <v>6762</v>
      </c>
      <c r="E10" s="261">
        <f>mvalloc!G19</f>
        <v>9176</v>
      </c>
    </row>
    <row r="11" spans="2:5" ht="15.75">
      <c r="B11" s="80" t="s">
        <v>281</v>
      </c>
      <c r="C11" s="313">
        <v>130</v>
      </c>
      <c r="D11" s="313">
        <v>135</v>
      </c>
      <c r="E11" s="261">
        <f>mvalloc!I19</f>
        <v>145</v>
      </c>
    </row>
    <row r="12" spans="2:5" ht="15.75">
      <c r="B12" s="80" t="s">
        <v>51</v>
      </c>
      <c r="C12" s="313">
        <v>212</v>
      </c>
      <c r="D12" s="313">
        <v>199</v>
      </c>
      <c r="E12" s="261">
        <f>mvalloc!J19</f>
        <v>179</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v>55</v>
      </c>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59273</v>
      </c>
      <c r="D20" s="393">
        <f>SUM(D8:D18)</f>
        <v>62596</v>
      </c>
      <c r="E20" s="322">
        <f>SUM(E8:E18)</f>
        <v>9500</v>
      </c>
    </row>
    <row r="21" spans="2:5" ht="15.75">
      <c r="B21" s="98" t="s">
        <v>286</v>
      </c>
      <c r="C21" s="393">
        <f>C20+C6</f>
        <v>59273</v>
      </c>
      <c r="D21" s="393">
        <f>D20+D6</f>
        <v>66565</v>
      </c>
      <c r="E21" s="322">
        <f>E20+E6</f>
        <v>13469</v>
      </c>
    </row>
    <row r="22" spans="2:5" ht="15.75">
      <c r="B22" s="80" t="s">
        <v>287</v>
      </c>
      <c r="C22" s="390"/>
      <c r="D22" s="390"/>
      <c r="E22" s="261"/>
    </row>
    <row r="23" spans="2:5" ht="15.75">
      <c r="B23" s="318" t="s">
        <v>975</v>
      </c>
      <c r="C23" s="313">
        <v>804</v>
      </c>
      <c r="D23" s="313">
        <v>8096</v>
      </c>
      <c r="E23" s="171">
        <v>15832</v>
      </c>
    </row>
    <row r="24" spans="2:11" ht="15.75">
      <c r="B24" s="318" t="s">
        <v>55</v>
      </c>
      <c r="C24" s="313"/>
      <c r="D24" s="313"/>
      <c r="E24" s="171"/>
      <c r="G24" s="823" t="str">
        <f>CONCATENATE("Desired Carryover Into ",E1+1,"")</f>
        <v>Desired Carryover Into 2015</v>
      </c>
      <c r="H24" s="824"/>
      <c r="I24" s="824"/>
      <c r="J24" s="825"/>
      <c r="K24" s="614"/>
    </row>
    <row r="25" spans="2:11" ht="15.75">
      <c r="B25" s="318" t="s">
        <v>977</v>
      </c>
      <c r="C25" s="313">
        <v>54500</v>
      </c>
      <c r="D25" s="313">
        <v>54500</v>
      </c>
      <c r="E25" s="171">
        <v>54500</v>
      </c>
      <c r="G25" s="646"/>
      <c r="H25" s="647"/>
      <c r="I25" s="648"/>
      <c r="J25" s="649"/>
      <c r="K25" s="614"/>
    </row>
    <row r="26" spans="2:11" ht="15.75">
      <c r="B26" s="318" t="s">
        <v>978</v>
      </c>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55304</v>
      </c>
      <c r="D33" s="393">
        <f>SUM(D23:D31)</f>
        <v>62596</v>
      </c>
      <c r="E33" s="322">
        <f>SUM(E23:E31)</f>
        <v>70332</v>
      </c>
      <c r="G33" s="664">
        <f>D34</f>
        <v>3969</v>
      </c>
      <c r="H33" s="665" t="str">
        <f>CONCATENATE("",E1-1," Ending Cash Balance (est.)")</f>
        <v>2013 Ending Cash Balance (est.)</v>
      </c>
      <c r="I33" s="666"/>
      <c r="J33" s="661"/>
      <c r="K33" s="614"/>
    </row>
    <row r="34" spans="2:11" ht="15.75">
      <c r="B34" s="80" t="s">
        <v>71</v>
      </c>
      <c r="C34" s="394">
        <f>C21-C33</f>
        <v>3969</v>
      </c>
      <c r="D34" s="394">
        <f>D21-D33</f>
        <v>3969</v>
      </c>
      <c r="E34" s="315" t="s">
        <v>257</v>
      </c>
      <c r="G34" s="664">
        <f>E20</f>
        <v>9500</v>
      </c>
      <c r="H34" s="648" t="str">
        <f>CONCATENATE("",E1," Non-AV Receipts (est.)")</f>
        <v>2014 Non-AV Receipts (est.)</v>
      </c>
      <c r="I34" s="666"/>
      <c r="J34" s="661"/>
      <c r="K34" s="614"/>
    </row>
    <row r="35" spans="2:11" ht="15.75">
      <c r="B35" s="117" t="str">
        <f>CONCATENATE("",$E$1-2,"/",$E$1-1," Budget Authority Amount:")</f>
        <v>2012/2013 Budget Authority Amount:</v>
      </c>
      <c r="C35" s="338">
        <f>inputOth!$B91</f>
        <v>59573</v>
      </c>
      <c r="D35" s="83">
        <f>inputPrYr!$D28</f>
        <v>62596</v>
      </c>
      <c r="E35" s="315" t="s">
        <v>257</v>
      </c>
      <c r="F35" s="324"/>
      <c r="G35" s="673">
        <f>IF(E39&gt;0,E38,E40)</f>
        <v>56863</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70332</v>
      </c>
      <c r="H36" s="648" t="str">
        <f>CONCATENATE("Total ",E1," Resources Available")</f>
        <v>Total 2014 Resources Available</v>
      </c>
      <c r="I36" s="666"/>
      <c r="J36" s="661"/>
      <c r="K36" s="614"/>
    </row>
    <row r="37" spans="2:11" ht="15.75">
      <c r="B37" s="499" t="str">
        <f>CONCATENATE(C85,"     ",D85)</f>
        <v>     </v>
      </c>
      <c r="C37" s="813" t="s">
        <v>730</v>
      </c>
      <c r="D37" s="814"/>
      <c r="E37" s="261">
        <f>E33+E36</f>
        <v>70332</v>
      </c>
      <c r="G37" s="677"/>
      <c r="H37" s="648"/>
      <c r="I37" s="648"/>
      <c r="J37" s="661"/>
      <c r="K37" s="614"/>
    </row>
    <row r="38" spans="2:11" ht="15.75">
      <c r="B38" s="499" t="str">
        <f>CONCATENATE(C86,"     ",D86)</f>
        <v>     </v>
      </c>
      <c r="C38" s="502"/>
      <c r="D38" s="501" t="s">
        <v>290</v>
      </c>
      <c r="E38" s="182">
        <f>IF(E37-E21&gt;0,E37-E21,0)</f>
        <v>56863</v>
      </c>
      <c r="G38" s="673">
        <f>C33*0.05+C33</f>
        <v>58069.2</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12262.800000000003</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56863</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f>summ!H26</f>
        <v>3.001</v>
      </c>
      <c r="H43" s="665" t="str">
        <f>CONCATENATE("",E1," Fund Mill Rate")</f>
        <v>2014 Fund Mill Rate</v>
      </c>
      <c r="I43" s="689"/>
      <c r="J43" s="690"/>
      <c r="K43" s="614"/>
    </row>
    <row r="44" spans="2:11" ht="15.75">
      <c r="B44" s="65"/>
      <c r="C44" s="388" t="s">
        <v>273</v>
      </c>
      <c r="D44" s="391" t="s">
        <v>274</v>
      </c>
      <c r="E44" s="74" t="s">
        <v>275</v>
      </c>
      <c r="G44" s="692">
        <f>summ!E26</f>
        <v>2.929</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5.586</v>
      </c>
      <c r="H45" s="665" t="str">
        <f>CONCATENATE("Total ",E1," Mill Rate")</f>
        <v>Total 2014 Mill Rate</v>
      </c>
      <c r="I45" s="689"/>
      <c r="J45" s="690"/>
      <c r="K45" s="614"/>
    </row>
    <row r="46" spans="2:11" ht="15.75">
      <c r="B46" s="80" t="s">
        <v>70</v>
      </c>
      <c r="C46" s="313"/>
      <c r="D46" s="390">
        <f>C74</f>
        <v>0</v>
      </c>
      <c r="E46" s="261">
        <f>D74</f>
        <v>0</v>
      </c>
      <c r="G46" s="692">
        <f>summ!E36</f>
        <v>4.513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v>8</v>
      </c>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5.586</v>
      </c>
      <c r="H89" s="665" t="str">
        <f>CONCATENATE("Total ",E1," Mill Rate")</f>
        <v>Total 2014 Mill Rate</v>
      </c>
      <c r="I89" s="689"/>
      <c r="J89" s="690"/>
    </row>
    <row r="90" spans="7:10" ht="15.75">
      <c r="G90" s="692">
        <f>summ!E36</f>
        <v>4.513</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Tonganoxie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3" t="str">
        <f>CONCATENATE("Projected Carryover Into ",E1+1,"")</f>
        <v>Projected Carryover Into 2015</v>
      </c>
      <c r="H31" s="833"/>
      <c r="I31" s="833"/>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2014 Fund Mill Rate</v>
      </c>
      <c r="I43" s="689"/>
      <c r="J43" s="690"/>
      <c r="K43" s="614"/>
    </row>
    <row r="44" spans="2:11" ht="15.75">
      <c r="B44" s="65"/>
      <c r="C44" s="388" t="s">
        <v>273</v>
      </c>
      <c r="D44" s="391" t="s">
        <v>274</v>
      </c>
      <c r="E44" s="74" t="s">
        <v>275</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5.586</v>
      </c>
      <c r="H45" s="665" t="str">
        <f>CONCATENATE("Total ",E1," Mill Rate")</f>
        <v>Total 2014 Mill Rate</v>
      </c>
      <c r="I45" s="689"/>
      <c r="J45" s="690"/>
      <c r="K45" s="614"/>
    </row>
    <row r="46" spans="2:11" ht="15.75">
      <c r="B46" s="80" t="s">
        <v>70</v>
      </c>
      <c r="C46" s="313"/>
      <c r="D46" s="390">
        <f>C74</f>
        <v>0</v>
      </c>
      <c r="E46" s="261">
        <f>D74</f>
        <v>0</v>
      </c>
      <c r="G46" s="692">
        <f>summ!E36</f>
        <v>4.513</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3" t="str">
        <f>CONCATENATE("Projected Carryover Into ",E1+1,"")</f>
        <v>Projected Carryover Into 2015</v>
      </c>
      <c r="H71" s="826"/>
      <c r="I71" s="826"/>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5.586</v>
      </c>
      <c r="H89" s="665" t="str">
        <f>CONCATENATE("Total ",E1," Mill Rate")</f>
        <v>Total 2014 Mill Rate</v>
      </c>
      <c r="I89" s="689"/>
      <c r="J89" s="690"/>
    </row>
    <row r="90" spans="7:10" ht="15.75">
      <c r="G90" s="692">
        <f>summ!E36</f>
        <v>4.513</v>
      </c>
      <c r="H90" s="695" t="str">
        <f>CONCATENATE("Total ",E1-1," Mill Rate")</f>
        <v>Total 2013 Mill Rate</v>
      </c>
      <c r="I90" s="696"/>
      <c r="J90" s="697"/>
    </row>
    <row r="92" spans="7:9" ht="15.75">
      <c r="G92" s="745" t="s">
        <v>946</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Tonganoxie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8" width="9.59765625" style="156" bestFit="1" customWidth="1"/>
    <col min="9"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955</v>
      </c>
      <c r="E3" s="71"/>
    </row>
    <row r="4" spans="1:5" ht="15.75">
      <c r="A4" s="157" t="s">
        <v>226</v>
      </c>
      <c r="B4" s="65"/>
      <c r="C4" s="65"/>
      <c r="D4" s="158" t="s">
        <v>956</v>
      </c>
      <c r="E4" s="71"/>
    </row>
    <row r="5" spans="1:5" ht="15.75">
      <c r="A5" s="65"/>
      <c r="B5" s="65"/>
      <c r="C5" s="65"/>
      <c r="D5" s="65"/>
      <c r="E5" s="65"/>
    </row>
    <row r="6" spans="1:5" ht="15.75">
      <c r="A6" s="159" t="s">
        <v>148</v>
      </c>
      <c r="B6" s="65"/>
      <c r="C6" s="65"/>
      <c r="D6" s="110" t="s">
        <v>960</v>
      </c>
      <c r="E6" s="65"/>
    </row>
    <row r="7" spans="1:5" ht="15.75">
      <c r="A7" s="159" t="s">
        <v>149</v>
      </c>
      <c r="B7" s="65"/>
      <c r="C7" s="65"/>
      <c r="D7" s="111" t="s">
        <v>959</v>
      </c>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810</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291</v>
      </c>
    </row>
    <row r="19" spans="1:8" ht="15.75">
      <c r="A19" s="72" t="s">
        <v>239</v>
      </c>
      <c r="B19" s="65"/>
      <c r="C19" s="169" t="s">
        <v>238</v>
      </c>
      <c r="D19" s="170" t="s">
        <v>354</v>
      </c>
      <c r="E19" s="170" t="s">
        <v>278</v>
      </c>
      <c r="G19" s="231" t="str">
        <f>CONCATENATE("",E18," Ad Valorem Tax")</f>
        <v>2012 Ad Valorem Tax</v>
      </c>
      <c r="H19" s="585"/>
    </row>
    <row r="20" spans="1:7" ht="15.75">
      <c r="A20" s="65"/>
      <c r="B20" s="105" t="s">
        <v>240</v>
      </c>
      <c r="C20" s="83" t="s">
        <v>241</v>
      </c>
      <c r="D20" s="171">
        <v>34046</v>
      </c>
      <c r="E20" s="171">
        <v>30445</v>
      </c>
      <c r="G20" s="261">
        <f>IF(H19&gt;0,ROUND(E20-(E20*H19),0),0)</f>
        <v>0</v>
      </c>
    </row>
    <row r="21" spans="1:7" ht="15.75">
      <c r="A21" s="65"/>
      <c r="B21" s="105" t="s">
        <v>312</v>
      </c>
      <c r="C21" s="83" t="s">
        <v>104</v>
      </c>
      <c r="D21" s="171"/>
      <c r="E21" s="171"/>
      <c r="G21" s="261">
        <f>IF(H19&gt;0,ROUND(E21-(E21*H19),0),0)</f>
        <v>0</v>
      </c>
    </row>
    <row r="22" spans="1:7" ht="15.75">
      <c r="A22" s="65"/>
      <c r="B22" s="105" t="s">
        <v>783</v>
      </c>
      <c r="C22" s="83" t="s">
        <v>784</v>
      </c>
      <c r="D22" s="171"/>
      <c r="E22" s="171"/>
      <c r="G22" s="261">
        <f>IF(H19&gt;0,ROUND(E22-(E22*H19),0),0)</f>
        <v>0</v>
      </c>
    </row>
    <row r="23" spans="1:7" ht="15.75">
      <c r="A23" s="65"/>
      <c r="B23" s="105" t="s">
        <v>242</v>
      </c>
      <c r="C23" s="172" t="s">
        <v>228</v>
      </c>
      <c r="D23" s="171"/>
      <c r="E23" s="171"/>
      <c r="G23" s="261">
        <f>IF(H19&gt;0,ROUND(E23-(E23*H19),0),0)</f>
        <v>0</v>
      </c>
    </row>
    <row r="24" spans="1:7" ht="15.75">
      <c r="A24" s="65"/>
      <c r="B24" s="105" t="s">
        <v>321</v>
      </c>
      <c r="C24" s="88" t="s">
        <v>322</v>
      </c>
      <c r="D24" s="171"/>
      <c r="E24" s="171"/>
      <c r="G24" s="261">
        <f>IF(H19&gt;0,ROUND(E24-(E24*H19),0),0)</f>
        <v>0</v>
      </c>
    </row>
    <row r="25" spans="1:7" ht="15.75">
      <c r="A25" s="65"/>
      <c r="B25" s="105" t="s">
        <v>180</v>
      </c>
      <c r="C25" s="88" t="s">
        <v>181</v>
      </c>
      <c r="D25" s="171"/>
      <c r="E25" s="171"/>
      <c r="G25" s="261">
        <f>IF(H19&gt;0,ROUND(E25-(E25*H19),0),0)</f>
        <v>0</v>
      </c>
    </row>
    <row r="26" spans="1:7" ht="15.75">
      <c r="A26" s="65"/>
      <c r="B26" s="207" t="s">
        <v>382</v>
      </c>
      <c r="C26" s="88" t="s">
        <v>383</v>
      </c>
      <c r="D26" s="171"/>
      <c r="E26" s="171"/>
      <c r="G26" s="261">
        <f>IF(H19&gt;0,ROUND(E26-(E26*H19),0),0)</f>
        <v>0</v>
      </c>
    </row>
    <row r="27" spans="1:7" ht="15.75">
      <c r="A27" s="65"/>
      <c r="B27" s="173" t="s">
        <v>957</v>
      </c>
      <c r="C27" s="483" t="s">
        <v>241</v>
      </c>
      <c r="D27" s="171">
        <v>30128</v>
      </c>
      <c r="E27" s="171">
        <v>20000</v>
      </c>
      <c r="G27" s="261">
        <f>IF(H19&gt;0,ROUND(E27-(E27*H19),0),0)</f>
        <v>0</v>
      </c>
    </row>
    <row r="28" spans="1:7" ht="15.75">
      <c r="A28" s="65"/>
      <c r="B28" s="173" t="s">
        <v>958</v>
      </c>
      <c r="C28" s="483" t="s">
        <v>241</v>
      </c>
      <c r="D28" s="171">
        <v>62596</v>
      </c>
      <c r="E28" s="171">
        <v>55500</v>
      </c>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105945</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126770</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0.45</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Fire Maintenance</v>
      </c>
      <c r="C56" s="65"/>
      <c r="D56" s="185">
        <v>1.345</v>
      </c>
      <c r="E56" s="65"/>
    </row>
    <row r="57" spans="1:5" ht="15.75">
      <c r="A57" s="65"/>
      <c r="B57" s="105" t="str">
        <f t="shared" si="0"/>
        <v>Fire Equipment</v>
      </c>
      <c r="C57" s="65"/>
      <c r="D57" s="185">
        <v>2.657</v>
      </c>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4.452</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104669</v>
      </c>
    </row>
    <row r="64" spans="1:5" ht="15.75">
      <c r="A64" s="188" t="str">
        <f>CONCATENATE("Assessed Valuation (",D9-2," budget column):")</f>
        <v>Assessed Valuation (2012 budget column):</v>
      </c>
      <c r="B64" s="164"/>
      <c r="C64" s="65"/>
      <c r="D64" s="65"/>
      <c r="E64" s="189">
        <v>58562912</v>
      </c>
    </row>
    <row r="65" spans="1:5" ht="15.75">
      <c r="A65" s="65"/>
      <c r="B65" s="65"/>
      <c r="C65" s="65"/>
      <c r="D65" s="65"/>
      <c r="E65" s="190"/>
    </row>
    <row r="66" spans="1:5" ht="15.75">
      <c r="A66" s="191" t="s">
        <v>166</v>
      </c>
      <c r="B66" s="191"/>
      <c r="C66" s="192"/>
      <c r="D66" s="193">
        <f>D9-3</f>
        <v>2011</v>
      </c>
      <c r="E66" s="193">
        <f>D9-2</f>
        <v>2012</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51010</v>
      </c>
      <c r="E69" s="181">
        <v>444158</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Tonganoxie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Tonganoxie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H26" sqref="H26"/>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79"/>
      <c r="C2" s="779"/>
      <c r="D2" s="779"/>
      <c r="E2" s="779"/>
      <c r="F2" s="779"/>
      <c r="G2" s="779"/>
      <c r="H2" s="779"/>
    </row>
    <row r="3" spans="1:8" ht="15.75">
      <c r="A3" s="65"/>
      <c r="B3" s="65"/>
      <c r="C3" s="65"/>
      <c r="D3" s="65"/>
      <c r="E3" s="65"/>
      <c r="F3" s="72" t="s">
        <v>299</v>
      </c>
      <c r="G3" s="72" t="s">
        <v>300</v>
      </c>
      <c r="H3" s="65"/>
    </row>
    <row r="4" spans="1:8" ht="15.75">
      <c r="A4" s="792" t="s">
        <v>301</v>
      </c>
      <c r="B4" s="792"/>
      <c r="C4" s="792"/>
      <c r="D4" s="792"/>
      <c r="E4" s="792"/>
      <c r="F4" s="792"/>
      <c r="G4" s="792"/>
      <c r="H4" s="792"/>
    </row>
    <row r="5" spans="1:8" ht="15.75">
      <c r="A5" s="795" t="str">
        <f>inputPrYr!D3</f>
        <v>Tonganoxie Township</v>
      </c>
      <c r="B5" s="795"/>
      <c r="C5" s="795"/>
      <c r="D5" s="795"/>
      <c r="E5" s="795"/>
      <c r="F5" s="795"/>
      <c r="G5" s="795"/>
      <c r="H5" s="795"/>
    </row>
    <row r="6" spans="1:8" ht="15.75">
      <c r="A6" s="795" t="str">
        <f>inputPrYr!D4</f>
        <v>Leavenworth</v>
      </c>
      <c r="B6" s="795"/>
      <c r="C6" s="795"/>
      <c r="D6" s="795"/>
      <c r="E6" s="795"/>
      <c r="F6" s="795"/>
      <c r="G6" s="795"/>
      <c r="H6" s="795"/>
    </row>
    <row r="7" spans="1:8" ht="15.75">
      <c r="A7" s="851" t="str">
        <f>CONCATENATE("will meet on ",inputBudSum!B8," at ",inputBudSum!B10," at ",inputBudSum!B12," for the purpose of hearing and")</f>
        <v>will meet on July 25, 2013 at 6:30 p.m. at Tonganoxie Township Fire Station, 19009 McLouth Rd., Tonganoxie for the purpose of hearing and</v>
      </c>
      <c r="B7" s="851"/>
      <c r="C7" s="851"/>
      <c r="D7" s="851"/>
      <c r="E7" s="851"/>
      <c r="F7" s="851"/>
      <c r="G7" s="851"/>
      <c r="H7" s="851"/>
    </row>
    <row r="8" spans="1:8" ht="15.75">
      <c r="A8" s="792" t="s">
        <v>410</v>
      </c>
      <c r="B8" s="794"/>
      <c r="C8" s="794"/>
      <c r="D8" s="794"/>
      <c r="E8" s="794"/>
      <c r="F8" s="794"/>
      <c r="G8" s="794"/>
      <c r="H8" s="794"/>
    </row>
    <row r="9" spans="1:8" ht="15.75">
      <c r="A9" s="790" t="str">
        <f>CONCATENATE("Detailed budget information is available at ",inputBudSum!B15," and will be available at this hearing.")</f>
        <v>Detailed budget information is available at Steve LaForge Residence, 25563 Evans Rd., Tonganoxie, KS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84" t="str">
        <f>CONCATENATE("Amount of ",H1-1," Ad Valorem Tax")</f>
        <v>Amount of 2013 Ad Valorem Tax</v>
      </c>
      <c r="H15" s="74" t="s">
        <v>302</v>
      </c>
      <c r="I15" s="199"/>
    </row>
    <row r="16" spans="1:9" ht="15.75">
      <c r="A16" s="75"/>
      <c r="B16" s="76"/>
      <c r="C16" s="76" t="s">
        <v>303</v>
      </c>
      <c r="D16" s="76"/>
      <c r="E16" s="76" t="s">
        <v>303</v>
      </c>
      <c r="F16" s="495" t="s">
        <v>175</v>
      </c>
      <c r="G16" s="849"/>
      <c r="H16" s="76" t="s">
        <v>303</v>
      </c>
      <c r="I16" s="199"/>
    </row>
    <row r="17" spans="1:10" ht="15.75">
      <c r="A17" s="79" t="s">
        <v>253</v>
      </c>
      <c r="B17" s="79" t="s">
        <v>304</v>
      </c>
      <c r="C17" s="79" t="s">
        <v>305</v>
      </c>
      <c r="D17" s="79" t="s">
        <v>304</v>
      </c>
      <c r="E17" s="79" t="s">
        <v>305</v>
      </c>
      <c r="F17" s="494" t="s">
        <v>728</v>
      </c>
      <c r="G17" s="850"/>
      <c r="H17" s="79" t="s">
        <v>305</v>
      </c>
      <c r="I17" s="199"/>
      <c r="J17" s="524"/>
    </row>
    <row r="18" spans="1:10" ht="15.75">
      <c r="A18" s="90" t="str">
        <f>inputPrYr!B20</f>
        <v>General</v>
      </c>
      <c r="B18" s="90">
        <f>IF(gen!$C$50&lt;&gt;0,gen!$C$50,"  ")</f>
        <v>49414</v>
      </c>
      <c r="C18" s="93">
        <f>IF(inputPrYr!D49&gt;0,inputPrYr!D49,"  ")</f>
        <v>0.45</v>
      </c>
      <c r="D18" s="90">
        <f>IF(gen!$D$50&lt;&gt;0,gen!$D$50,"  ")</f>
        <v>34046</v>
      </c>
      <c r="E18" s="93">
        <f>IF(inputOth!D37&gt;0,inputOth!D37,"  ")</f>
        <v>0.529</v>
      </c>
      <c r="F18" s="90">
        <f>IF(gen!$E$50&lt;&gt;0,gen!$E$50,"  ")</f>
        <v>92196</v>
      </c>
      <c r="G18" s="90">
        <f>IF(gen!$E$57&lt;&gt;0,gen!$E$57,"")</f>
        <v>86972</v>
      </c>
      <c r="H18" s="93">
        <f>IF(gen!E57&gt;0,ROUND(G18/F40*1000,3)," ")</f>
        <v>1.529</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75">
      <c r="A25" s="90" t="str">
        <f>IF(inputPrYr!$B27&gt;"  ",inputPrYr!$B27,"  ")</f>
        <v>Fire Maintenance</v>
      </c>
      <c r="B25" s="90">
        <f>IF(levypage10!$C$73&lt;&gt;0,levypage10!$C$73,"  ")</f>
        <v>15730</v>
      </c>
      <c r="C25" s="93">
        <f>IF(inputPrYr!D56&gt;0,inputPrYr!D56,"  ")</f>
        <v>1.345</v>
      </c>
      <c r="D25" s="90">
        <f>IF(levypage10!$D$73&lt;&gt;0,levypage10!$D$73,"  ")</f>
        <v>30128</v>
      </c>
      <c r="E25" s="93">
        <f>IF(inputOth!D44&gt;0,inputOth!D44,"  ")</f>
        <v>1.055</v>
      </c>
      <c r="F25" s="90">
        <f>IF(levypage10!$E$73&lt;&gt;0,levypage10!$E$73,"  ")</f>
        <v>46554</v>
      </c>
      <c r="G25" s="90">
        <f>IF(levypage10!$E$80&lt;&gt;0,levypage10!$E$80,"  ")</f>
        <v>20000</v>
      </c>
      <c r="H25" s="93">
        <f>IF(levypage10!E80&gt;0,ROUND(G25/F41*1000,3)," ")</f>
        <v>1.056</v>
      </c>
      <c r="J25" s="523"/>
      <c r="K25" s="10"/>
      <c r="L25" s="10"/>
      <c r="M25" s="522"/>
    </row>
    <row r="26" spans="1:13" ht="15.75">
      <c r="A26" s="90" t="str">
        <f>IF(inputPrYr!$B28&gt;"  ",inputPrYr!$B28,"  ")</f>
        <v>Fire Equipment</v>
      </c>
      <c r="B26" s="90">
        <f>IF(levypage11!$C$33&lt;&gt;0,levypage11!$C$33,"  ")</f>
        <v>55304</v>
      </c>
      <c r="C26" s="93">
        <f>IF(inputPrYr!D57&gt;0,inputPrYr!D57,"  ")</f>
        <v>2.657</v>
      </c>
      <c r="D26" s="90">
        <f>IF(levypage11!$D$33&lt;&gt;0,levypage11!$D$33,"  ")</f>
        <v>62596</v>
      </c>
      <c r="E26" s="93">
        <f>IF(inputOth!D45&gt;0,inputOth!D45,"  ")</f>
        <v>2.929</v>
      </c>
      <c r="F26" s="90">
        <f>IF(levypage11!$E$33&lt;&gt;0,levypage11!$E$33,"  ")</f>
        <v>70332</v>
      </c>
      <c r="G26" s="90">
        <f>IF(levypage11!$E$40&lt;&gt;0,levypage11!$E$40,"  ")</f>
        <v>56863</v>
      </c>
      <c r="H26" s="93">
        <f>IF(levypage11!E40&gt;0,ROUND(G26/F41*1000,3)," ")</f>
        <v>3.001</v>
      </c>
      <c r="J26" s="505" t="s">
        <v>740</v>
      </c>
      <c r="K26" s="71"/>
      <c r="L26" s="71"/>
      <c r="M26" s="520">
        <f>ROUND(F40/1000,0)</f>
        <v>56882</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18947</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4.513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0</v>
      </c>
    </row>
    <row r="34" spans="1:13" ht="15.75">
      <c r="A34" s="90" t="str">
        <f>IF((inputPrYr!$B41&gt;"  "),(nonbud!$A3),"  ")</f>
        <v>  </v>
      </c>
      <c r="B34" s="734" t="str">
        <f>IF((nonbud!$K$28)&lt;&gt;0,(nonbud!$K$28),"  ")</f>
        <v>  </v>
      </c>
      <c r="C34" s="338"/>
      <c r="D34" s="90"/>
      <c r="E34" s="93"/>
      <c r="F34" s="90"/>
      <c r="G34" s="90"/>
      <c r="H34" s="93"/>
      <c r="J34" s="513" t="s">
        <v>748</v>
      </c>
      <c r="K34" s="510"/>
      <c r="L34" s="510"/>
      <c r="M34" s="512">
        <f>M46*-1</f>
        <v>92873</v>
      </c>
    </row>
    <row r="35" spans="1:13" ht="16.5" thickBot="1">
      <c r="A35" s="105" t="s">
        <v>255</v>
      </c>
      <c r="B35" s="477" t="str">
        <f>IF(road!C64&lt;&gt;0,road!C64,"  ")</f>
        <v>  </v>
      </c>
      <c r="C35" s="478"/>
      <c r="D35" s="478"/>
      <c r="E35" s="478"/>
      <c r="F35" s="478"/>
      <c r="G35" s="478"/>
      <c r="H35" s="478"/>
      <c r="J35" s="511"/>
      <c r="K35" s="511"/>
      <c r="L35" s="511"/>
      <c r="M35" s="511"/>
    </row>
    <row r="36" spans="1:13" ht="15.75">
      <c r="A36" s="105" t="s">
        <v>256</v>
      </c>
      <c r="B36" s="475">
        <f aca="true" t="shared" si="0" ref="B36:H36">SUM(B18:B35)</f>
        <v>120448</v>
      </c>
      <c r="C36" s="476">
        <f t="shared" si="0"/>
        <v>4.452</v>
      </c>
      <c r="D36" s="475">
        <f t="shared" si="0"/>
        <v>126770</v>
      </c>
      <c r="E36" s="476">
        <f t="shared" si="0"/>
        <v>4.513</v>
      </c>
      <c r="F36" s="475">
        <f t="shared" si="0"/>
        <v>209082</v>
      </c>
      <c r="G36" s="475">
        <f t="shared" si="0"/>
        <v>163835</v>
      </c>
      <c r="H36" s="476">
        <f t="shared" si="0"/>
        <v>5.586</v>
      </c>
      <c r="J36" s="841" t="str">
        <f>CONCATENATE("Impact On Keeping The Same Mill Rate As For ",H1-1,"")</f>
        <v>Impact On Keeping The Same Mill Rate As For 2013</v>
      </c>
      <c r="K36" s="844"/>
      <c r="L36" s="844"/>
      <c r="M36" s="845"/>
    </row>
    <row r="37" spans="1:13" ht="15.75">
      <c r="A37" s="105" t="s">
        <v>306</v>
      </c>
      <c r="B37" s="90">
        <f>transfer!C29</f>
        <v>0</v>
      </c>
      <c r="C37" s="65"/>
      <c r="D37" s="90">
        <f>transfer!D29</f>
        <v>0</v>
      </c>
      <c r="E37" s="208"/>
      <c r="F37" s="90">
        <f>transfer!E29</f>
        <v>0</v>
      </c>
      <c r="G37" s="65"/>
      <c r="H37" s="65"/>
      <c r="J37" s="519"/>
      <c r="K37" s="10"/>
      <c r="L37" s="10"/>
      <c r="M37" s="518"/>
    </row>
    <row r="38" spans="1:13" ht="16.5" thickBot="1">
      <c r="A38" s="105" t="s">
        <v>307</v>
      </c>
      <c r="B38" s="479">
        <f>B36-B37</f>
        <v>120448</v>
      </c>
      <c r="C38" s="65"/>
      <c r="D38" s="479">
        <f>D36-D37</f>
        <v>126770</v>
      </c>
      <c r="E38" s="65"/>
      <c r="F38" s="479">
        <f>F36-F37</f>
        <v>209082</v>
      </c>
      <c r="G38" s="65"/>
      <c r="H38" s="65"/>
      <c r="J38" s="519" t="str">
        <f>CONCATENATE("",H1," Ad Valorem Tax Rev(Township Only):")</f>
        <v>2014 Ad Valorem Tax Rev(Township Only):</v>
      </c>
      <c r="K38" s="10"/>
      <c r="L38" s="10"/>
      <c r="M38" s="522">
        <f>SUM(G21:G24)</f>
        <v>0</v>
      </c>
    </row>
    <row r="39" spans="1:13" ht="16.5" thickTop="1">
      <c r="A39" s="105" t="s">
        <v>0</v>
      </c>
      <c r="B39" s="230">
        <f>inputPrYr!E63</f>
        <v>104669</v>
      </c>
      <c r="C39" s="208"/>
      <c r="D39" s="230">
        <f>inputPrYr!E32</f>
        <v>105945</v>
      </c>
      <c r="E39" s="65"/>
      <c r="F39" s="480" t="s">
        <v>257</v>
      </c>
      <c r="G39" s="65"/>
      <c r="H39" s="65"/>
      <c r="J39" s="519" t="str">
        <f>CONCATENATE("",H1," Ad Valorem Tax Rev(Township Tot):")</f>
        <v>2014 Ad Valorem Tax Rev(Township Tot):</v>
      </c>
      <c r="K39" s="10"/>
      <c r="L39" s="10"/>
      <c r="M39" s="535">
        <f>SUM(G18,G19,G20,G25,G26,G27,G28,G29)</f>
        <v>163835</v>
      </c>
    </row>
    <row r="40" spans="1:13" ht="15.75">
      <c r="A40" s="105" t="s">
        <v>182</v>
      </c>
      <c r="B40" s="90">
        <f>inputPrYr!E64</f>
        <v>58562912</v>
      </c>
      <c r="C40" s="208"/>
      <c r="D40" s="90">
        <f>inputOth!E55</f>
        <v>57534974</v>
      </c>
      <c r="E40" s="208"/>
      <c r="F40" s="90">
        <f>inputOth!E11</f>
        <v>56881882</v>
      </c>
      <c r="G40" s="65"/>
      <c r="H40" s="65"/>
      <c r="J40" s="519" t="str">
        <f>CONCATENATE("Total ",H1," Ad Valorem Tax Revenue:")</f>
        <v>Total 2014 Ad Valorem Tax Revenue:</v>
      </c>
      <c r="K40" s="71"/>
      <c r="L40" s="71"/>
      <c r="M40" s="536">
        <f>M38+M39</f>
        <v>163835</v>
      </c>
    </row>
    <row r="41" spans="1:14" ht="15.75">
      <c r="A41" s="80" t="s">
        <v>237</v>
      </c>
      <c r="B41" s="209"/>
      <c r="C41" s="65"/>
      <c r="D41" s="178"/>
      <c r="E41" s="65"/>
      <c r="F41" s="90">
        <f>inputOth!E8</f>
        <v>18947238</v>
      </c>
      <c r="G41" s="65"/>
      <c r="H41" s="65"/>
      <c r="J41" s="519" t="str">
        <f>CONCATENATE("",H1-1," Ad Valorem Tax Rev(Township Only):")</f>
        <v>2013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256708</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256708</v>
      </c>
      <c r="O43" s="529"/>
    </row>
    <row r="44" spans="1:13" ht="15.75">
      <c r="A44" s="72" t="s">
        <v>2</v>
      </c>
      <c r="B44" s="210">
        <f>H1-3</f>
        <v>2011</v>
      </c>
      <c r="C44" s="65"/>
      <c r="D44" s="210">
        <f>H1-2</f>
        <v>2012</v>
      </c>
      <c r="E44" s="65"/>
      <c r="F44" s="210">
        <f>H1-1</f>
        <v>2013</v>
      </c>
      <c r="G44" s="65"/>
      <c r="H44" s="65"/>
      <c r="J44" s="516" t="s">
        <v>738</v>
      </c>
      <c r="K44" s="515"/>
      <c r="L44" s="515"/>
      <c r="M44" s="514">
        <f>M40-M43</f>
        <v>-92873</v>
      </c>
    </row>
    <row r="45" spans="1:13" ht="15.75">
      <c r="A45" s="72" t="s">
        <v>3</v>
      </c>
      <c r="B45" s="83">
        <f>inputPrYr!D67</f>
        <v>0</v>
      </c>
      <c r="C45" s="69"/>
      <c r="D45" s="83">
        <f>inputPrYr!E67</f>
        <v>0</v>
      </c>
      <c r="E45" s="69"/>
      <c r="F45" s="83">
        <f>debt!F11</f>
        <v>0</v>
      </c>
      <c r="G45" s="65"/>
      <c r="H45" s="65"/>
      <c r="J45" s="540" t="s">
        <v>743</v>
      </c>
      <c r="K45" s="541"/>
      <c r="L45" s="541"/>
      <c r="M45" s="536">
        <f>M38-M41</f>
        <v>0</v>
      </c>
    </row>
    <row r="46" spans="1:13" ht="15.75">
      <c r="A46" s="72" t="s">
        <v>283</v>
      </c>
      <c r="B46" s="83">
        <f>inputPrYr!D68</f>
        <v>0</v>
      </c>
      <c r="C46" s="69"/>
      <c r="D46" s="83">
        <f>inputPrYr!E68</f>
        <v>0</v>
      </c>
      <c r="E46" s="69"/>
      <c r="F46" s="83">
        <f>debt!F15</f>
        <v>0</v>
      </c>
      <c r="G46" s="65"/>
      <c r="H46" s="65"/>
      <c r="J46" s="513" t="s">
        <v>742</v>
      </c>
      <c r="K46" s="510"/>
      <c r="L46" s="510"/>
      <c r="M46" s="512">
        <f>M39-M42</f>
        <v>-92873</v>
      </c>
    </row>
    <row r="47" spans="1:8" ht="15.75">
      <c r="A47" s="72" t="s">
        <v>734</v>
      </c>
      <c r="B47" s="83">
        <f>inputPrYr!D69</f>
        <v>51010</v>
      </c>
      <c r="C47" s="69"/>
      <c r="D47" s="83">
        <f>inputPrYr!E69</f>
        <v>444158</v>
      </c>
      <c r="E47" s="69"/>
      <c r="F47" s="83">
        <f>debt!G36</f>
        <v>406999</v>
      </c>
      <c r="G47" s="65"/>
      <c r="H47" s="65"/>
    </row>
    <row r="48" spans="1:13" ht="16.5" thickBot="1">
      <c r="A48" s="72" t="s">
        <v>4</v>
      </c>
      <c r="B48" s="100">
        <f>SUM(B45:B47)</f>
        <v>51010</v>
      </c>
      <c r="C48" s="69"/>
      <c r="D48" s="100">
        <f>SUM(D45:D47)</f>
        <v>444158</v>
      </c>
      <c r="E48" s="69"/>
      <c r="F48" s="100">
        <f>SUM(F45:F47)</f>
        <v>406999</v>
      </c>
      <c r="G48" s="65"/>
      <c r="H48" s="65"/>
      <c r="J48" s="841" t="s">
        <v>739</v>
      </c>
      <c r="K48" s="842"/>
      <c r="L48" s="842"/>
      <c r="M48" s="843"/>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8" t="str">
        <f>inputBudSum!B4</f>
        <v>Tonganoxie Township</v>
      </c>
      <c r="B51" s="848"/>
      <c r="C51" s="65"/>
      <c r="D51" s="65"/>
      <c r="E51" s="65"/>
      <c r="F51" s="65"/>
      <c r="G51" s="65"/>
      <c r="H51" s="65"/>
      <c r="J51" s="519" t="str">
        <f>CONCATENATE("Current ",$H$1," Estimated Mill Rate:")</f>
        <v>Current 2014 Estimated Mill Rate:</v>
      </c>
      <c r="K51" s="10"/>
      <c r="L51" s="10"/>
      <c r="M51" s="532">
        <f>IF(M50=0,0,$H$36)</f>
        <v>5.586</v>
      </c>
    </row>
    <row r="52" spans="1:13" ht="15.75">
      <c r="A52" s="839" t="str">
        <f>inputBudSum!B6</f>
        <v>Tonganoxie Township</v>
      </c>
      <c r="B52" s="840"/>
      <c r="C52" s="65"/>
      <c r="D52" s="65"/>
      <c r="E52" s="65"/>
      <c r="F52" s="65"/>
      <c r="G52" s="65"/>
      <c r="H52" s="65"/>
      <c r="J52" s="519" t="s">
        <v>744</v>
      </c>
      <c r="K52" s="10"/>
      <c r="L52" s="10"/>
      <c r="M52" s="533">
        <f>M50-M51</f>
        <v>6.414</v>
      </c>
    </row>
    <row r="53" spans="1:13" ht="15.75">
      <c r="A53" s="65"/>
      <c r="B53" s="65"/>
      <c r="C53" s="65"/>
      <c r="D53" s="65"/>
      <c r="E53" s="65"/>
      <c r="F53" s="65"/>
      <c r="G53" s="65"/>
      <c r="H53" s="65"/>
      <c r="J53" s="505" t="s">
        <v>745</v>
      </c>
      <c r="K53" s="71"/>
      <c r="L53" s="71"/>
      <c r="M53" s="530">
        <f>IF(M50=0,0,ROUND(SUM(H21:H24)/M51,2))</f>
        <v>0</v>
      </c>
    </row>
    <row r="54" spans="1:13" ht="15.75">
      <c r="A54" s="65"/>
      <c r="B54" s="211" t="s">
        <v>271</v>
      </c>
      <c r="C54" s="212">
        <v>9</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0</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6" sqref="C6"/>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Tonganoxie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t="str">
        <f>IF(inputPrYr!B27&gt;0,inputPrYr!B27,"")</f>
        <v>Fire Maintenance</v>
      </c>
      <c r="C13" s="344"/>
      <c r="D13" s="343">
        <f t="shared" si="0"/>
      </c>
      <c r="E13" s="338">
        <f t="shared" si="1"/>
      </c>
      <c r="F13" s="192"/>
    </row>
    <row r="14" spans="1:6" ht="15.75">
      <c r="A14" s="65"/>
      <c r="B14" s="105" t="str">
        <f>IF(inputPrYr!B28&gt;0,inputPrYr!B28,"")</f>
        <v>Fire Equipment</v>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56881882</v>
      </c>
      <c r="E21" s="65"/>
      <c r="F21" s="192"/>
    </row>
    <row r="22" spans="1:6" ht="15.75">
      <c r="A22" s="65"/>
      <c r="B22" s="65"/>
      <c r="C22" s="65"/>
      <c r="D22" s="65"/>
      <c r="E22" s="65"/>
      <c r="F22" s="192"/>
    </row>
    <row r="23" spans="1:6" ht="15.75">
      <c r="A23" s="65"/>
      <c r="B23" s="854" t="s">
        <v>377</v>
      </c>
      <c r="C23" s="854"/>
      <c r="D23" s="348">
        <f>IF(D21&gt;0,(D21*0.001),"")</f>
        <v>56881.882</v>
      </c>
      <c r="E23" s="65"/>
      <c r="F23" s="192"/>
    </row>
    <row r="24" spans="1:6" ht="15.75">
      <c r="A24" s="65"/>
      <c r="B24" s="117"/>
      <c r="C24" s="117"/>
      <c r="D24" s="349"/>
      <c r="E24" s="65"/>
      <c r="F24" s="192"/>
    </row>
    <row r="25" spans="1:6" ht="15.75">
      <c r="A25" s="852" t="s">
        <v>378</v>
      </c>
      <c r="B25" s="779"/>
      <c r="C25" s="779"/>
      <c r="D25" s="350">
        <f>inputOth!E33</f>
        <v>97847</v>
      </c>
      <c r="E25" s="179"/>
      <c r="F25" s="179"/>
    </row>
    <row r="26" spans="1:6" ht="15.75">
      <c r="A26" s="179"/>
      <c r="B26" s="179"/>
      <c r="C26" s="179"/>
      <c r="D26" s="351"/>
      <c r="E26" s="179"/>
      <c r="F26" s="179"/>
    </row>
    <row r="27" spans="1:6" ht="15.75">
      <c r="A27" s="179"/>
      <c r="B27" s="852" t="s">
        <v>379</v>
      </c>
      <c r="C27" s="853"/>
      <c r="D27" s="352">
        <f>IF(D25&gt;0,(D25*0.001),"")</f>
        <v>97.84700000000001</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80</v>
      </c>
      <c r="B1" s="855"/>
      <c r="C1" s="855"/>
      <c r="D1" s="855"/>
      <c r="E1" s="855"/>
      <c r="F1" s="855"/>
      <c r="G1" s="855"/>
    </row>
    <row r="2" ht="15.75">
      <c r="A2" s="21"/>
    </row>
    <row r="3" spans="1:7" ht="15.75">
      <c r="A3" s="856" t="s">
        <v>81</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Tonganoxie Township </v>
      </c>
      <c r="I6">
        <f>CONCATENATE(I7)</f>
      </c>
    </row>
    <row r="7" spans="1:7" ht="15.75">
      <c r="A7" s="857" t="str">
        <f>CONCATENATE("   with respect to financing the ",inputPrYr!D9," annual budget for ",(inputPrYr!D3)," , ",(inputPrYr!D4)," , Kansas.")</f>
        <v>   with respect to financing the 2014 annual budget for Tonganoxie Township , Leavenworth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Tonganoxie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Tonganoxie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87</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83</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Tonganoxie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Tonganoxie Township of Leavenworth, Kansas that is our desire to notify the public of increased property taxes to finance the 2014 Tonganoxie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Tonganoxie Township Board, Leavenworth,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Tonganoxie Township Board</v>
      </c>
      <c r="E33" s="859"/>
      <c r="F33" s="859"/>
      <c r="G33" s="859"/>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271</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9">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D46" sqref="D4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Tonganoxie Township</v>
      </c>
      <c r="B1" s="30"/>
      <c r="C1" s="30"/>
      <c r="D1" s="30"/>
      <c r="E1" s="30">
        <f>inputPrYr!D9</f>
        <v>2014</v>
      </c>
    </row>
    <row r="2" spans="1:5" ht="15.75">
      <c r="A2" s="41" t="str">
        <f>inputPrYr!D4</f>
        <v>Leavenworth</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157</v>
      </c>
      <c r="B8" s="14"/>
      <c r="C8" s="14"/>
      <c r="D8" s="14"/>
      <c r="E8" s="35">
        <v>18947238</v>
      </c>
    </row>
    <row r="9" spans="1:5" ht="15.75">
      <c r="A9" s="15" t="str">
        <f>inputPrYr!$D$6</f>
        <v>Tonganoxie City</v>
      </c>
      <c r="B9" s="16"/>
      <c r="C9" s="16"/>
      <c r="D9" s="16"/>
      <c r="E9" s="35">
        <v>34711019</v>
      </c>
    </row>
    <row r="10" spans="1:5" ht="15.75">
      <c r="A10" s="15" t="str">
        <f>inputPrYr!$D$7</f>
        <v>Union Fire Dist. #9</v>
      </c>
      <c r="B10" s="16"/>
      <c r="C10" s="16"/>
      <c r="D10" s="16"/>
      <c r="E10" s="35">
        <v>3223625</v>
      </c>
    </row>
    <row r="11" spans="1:5" ht="15.75">
      <c r="A11" s="15" t="str">
        <f>CONCATENATE("Total Assessed Valuation for ",$E$1-1,"")</f>
        <v>Total Assessed Valuation for 2013</v>
      </c>
      <c r="B11" s="16"/>
      <c r="C11" s="16"/>
      <c r="D11" s="16"/>
      <c r="E11" s="53">
        <f>SUM(E8:E10)</f>
        <v>56881882</v>
      </c>
    </row>
    <row r="12" spans="1:5" ht="15.75">
      <c r="A12" s="54" t="str">
        <f>CONCATENATE("New Improvements for ",E1-1,":")</f>
        <v>New Improvements for 2013:</v>
      </c>
      <c r="B12" s="10"/>
      <c r="C12" s="10"/>
      <c r="D12" s="10"/>
      <c r="E12" s="34"/>
    </row>
    <row r="13" spans="1:5" ht="15.75">
      <c r="A13" s="13" t="s">
        <v>157</v>
      </c>
      <c r="B13" s="14"/>
      <c r="C13" s="14"/>
      <c r="D13" s="14"/>
      <c r="E13" s="52">
        <v>287929</v>
      </c>
    </row>
    <row r="14" spans="1:5" ht="15.75">
      <c r="A14" s="15" t="str">
        <f>inputPrYr!$D$6</f>
        <v>Tonganoxie City</v>
      </c>
      <c r="B14" s="14"/>
      <c r="C14" s="14"/>
      <c r="D14" s="14"/>
      <c r="E14" s="3">
        <v>237303</v>
      </c>
    </row>
    <row r="15" spans="1:5" ht="15.75">
      <c r="A15" s="15" t="str">
        <f>inputPrYr!$D$7</f>
        <v>Union Fire Dist. #9</v>
      </c>
      <c r="B15" s="14"/>
      <c r="C15" s="14"/>
      <c r="D15" s="14"/>
      <c r="E15" s="3">
        <v>2895</v>
      </c>
    </row>
    <row r="16" spans="1:5" ht="15.75">
      <c r="A16" s="15" t="str">
        <f>CONCATENATE("Total New Improvements for ",$E$1-1,"")</f>
        <v>Total New Improvements for 2013</v>
      </c>
      <c r="B16" s="16"/>
      <c r="C16" s="16"/>
      <c r="D16" s="16"/>
      <c r="E16" s="51">
        <f>SUM(E13:E15)</f>
        <v>528127</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385904</v>
      </c>
    </row>
    <row r="19" spans="1:5" ht="15.75">
      <c r="A19" s="15" t="str">
        <f>inputPrYr!$D$6</f>
        <v>Tonganoxie City</v>
      </c>
      <c r="B19" s="16"/>
      <c r="C19" s="16"/>
      <c r="D19" s="16"/>
      <c r="E19" s="3">
        <v>504303</v>
      </c>
    </row>
    <row r="20" spans="1:5" ht="15.75">
      <c r="A20" s="15" t="str">
        <f>inputPrYr!$D$7</f>
        <v>Union Fire Dist. #9</v>
      </c>
      <c r="B20" s="16"/>
      <c r="C20" s="16"/>
      <c r="D20" s="16"/>
      <c r="E20" s="3">
        <v>133952</v>
      </c>
    </row>
    <row r="21" spans="1:5" ht="15.75">
      <c r="A21" s="15" t="str">
        <f>CONCATENATE("Total Personal Property excluding oil, gas, and mobile homes for ",$E$1-1,"")</f>
        <v>Total Personal Property excluding oil, gas, and mobile homes for 2013</v>
      </c>
      <c r="B21" s="16"/>
      <c r="C21" s="16"/>
      <c r="D21" s="16"/>
      <c r="E21" s="51">
        <f>SUM(E18:E20)</f>
        <v>1024159</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0</v>
      </c>
    </row>
    <row r="24" spans="1:5" ht="15.75">
      <c r="A24" s="15" t="str">
        <f>inputPrYr!$D$6</f>
        <v>Tonganoxie City</v>
      </c>
      <c r="B24" s="16"/>
      <c r="C24" s="16"/>
      <c r="D24" s="16"/>
      <c r="E24" s="3">
        <v>7703</v>
      </c>
    </row>
    <row r="25" spans="1:5" ht="15.75">
      <c r="A25" s="15" t="str">
        <f>inputPrYr!$D$7</f>
        <v>Union Fire Dist. #9</v>
      </c>
      <c r="B25" s="16"/>
      <c r="C25" s="16"/>
      <c r="D25" s="16"/>
      <c r="E25" s="3">
        <v>383</v>
      </c>
    </row>
    <row r="26" spans="1:5" ht="15.75">
      <c r="A26" s="15" t="str">
        <f>CONCATENATE("Total Property that has changed in use for ",$E$1-1,"")</f>
        <v>Total Property that has changed in use for 2013</v>
      </c>
      <c r="B26" s="16"/>
      <c r="C26" s="16"/>
      <c r="D26" s="16"/>
      <c r="E26" s="51">
        <f>SUM(E23:E25)</f>
        <v>8086</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503236</v>
      </c>
    </row>
    <row r="29" spans="1:5" ht="15.75">
      <c r="A29" s="15" t="str">
        <f>inputPrYr!$D$6</f>
        <v>Tonganoxie City</v>
      </c>
      <c r="B29" s="16"/>
      <c r="C29" s="16"/>
      <c r="D29" s="16"/>
      <c r="E29" s="3">
        <v>542879</v>
      </c>
    </row>
    <row r="30" spans="1:5" ht="15.75">
      <c r="A30" s="15" t="str">
        <f>inputPrYr!$D$7</f>
        <v>Union Fire Dist. #9</v>
      </c>
      <c r="B30" s="16"/>
      <c r="C30" s="16"/>
      <c r="D30" s="16"/>
      <c r="E30" s="3">
        <v>242059</v>
      </c>
    </row>
    <row r="31" spans="1:5" ht="15.75">
      <c r="A31" s="15" t="str">
        <f>CONCATENATE("Total Personal Property excluding oil, gas, and mobile homes for ",$E$1-2,"")</f>
        <v>Total Personal Property excluding oil, gas, and mobile homes for 2012</v>
      </c>
      <c r="B31" s="16"/>
      <c r="C31" s="16"/>
      <c r="D31" s="16"/>
      <c r="E31" s="51">
        <f>SUM(E28:E30)</f>
        <v>1288174</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97847</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253</v>
      </c>
      <c r="B36" s="764"/>
      <c r="C36" s="30"/>
      <c r="D36" s="37" t="s">
        <v>265</v>
      </c>
      <c r="E36" s="36"/>
    </row>
    <row r="37" spans="1:5" ht="15.75">
      <c r="A37" s="13" t="str">
        <f>inputPrYr!B20</f>
        <v>General</v>
      </c>
      <c r="B37" s="14"/>
      <c r="C37" s="10"/>
      <c r="D37" s="48">
        <v>0.529</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Fire Maintenance</v>
      </c>
      <c r="B44" s="16"/>
      <c r="C44" s="10"/>
      <c r="D44" s="50">
        <v>1.055</v>
      </c>
      <c r="E44" s="36"/>
    </row>
    <row r="45" spans="1:5" ht="15.75">
      <c r="A45" s="13" t="str">
        <f>inputPrYr!B28</f>
        <v>Fire Equipment</v>
      </c>
      <c r="B45" s="16"/>
      <c r="C45" s="10"/>
      <c r="D45" s="50">
        <v>2.929</v>
      </c>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4.513</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18944602</v>
      </c>
    </row>
    <row r="53" spans="1:5" ht="15.75">
      <c r="A53" s="16" t="str">
        <f>inputPrYr!D6</f>
        <v>Tonganoxie City</v>
      </c>
      <c r="B53" s="16"/>
      <c r="C53" s="16"/>
      <c r="D53" s="20"/>
      <c r="E53" s="4">
        <v>35156433</v>
      </c>
    </row>
    <row r="54" spans="1:5" ht="15.75">
      <c r="A54" s="16" t="str">
        <f>inputPrYr!D7</f>
        <v>Union Fire Dist. #9</v>
      </c>
      <c r="B54" s="16"/>
      <c r="C54" s="16"/>
      <c r="D54" s="20"/>
      <c r="E54" s="4">
        <v>3433939</v>
      </c>
    </row>
    <row r="55" spans="1:5" ht="15.75">
      <c r="A55" s="16" t="str">
        <f>CONCATENATE("Total  Final Assessed Valuation from the November 1, ",E1-2," Abstract:")</f>
        <v>Total  Final Assessed Valuation from the November 1, 2012 Abstract:</v>
      </c>
      <c r="B55" s="16"/>
      <c r="C55" s="16"/>
      <c r="D55" s="20"/>
      <c r="E55" s="46">
        <f>SUM(E52:E54)</f>
        <v>57534974</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110</v>
      </c>
      <c r="B59" s="14"/>
      <c r="C59" s="14"/>
      <c r="D59" s="39"/>
      <c r="E59" s="2">
        <v>14507</v>
      </c>
    </row>
    <row r="60" spans="1:5" ht="15.75">
      <c r="A60" s="15" t="s">
        <v>244</v>
      </c>
      <c r="B60" s="16"/>
      <c r="C60" s="16"/>
      <c r="D60" s="40"/>
      <c r="E60" s="2">
        <v>241</v>
      </c>
    </row>
    <row r="61" spans="1:5" ht="15.75">
      <c r="A61" s="15" t="s">
        <v>111</v>
      </c>
      <c r="B61" s="16"/>
      <c r="C61" s="16"/>
      <c r="D61" s="40"/>
      <c r="E61" s="2">
        <v>311</v>
      </c>
    </row>
    <row r="62" spans="1:5" ht="15.75">
      <c r="A62" s="44" t="s">
        <v>154</v>
      </c>
      <c r="B62" s="45"/>
      <c r="C62" s="16"/>
      <c r="D62" s="40"/>
      <c r="E62" s="31"/>
    </row>
    <row r="63" spans="1:5" ht="15.75">
      <c r="A63" s="13" t="s">
        <v>151</v>
      </c>
      <c r="B63" s="16"/>
      <c r="C63" s="16"/>
      <c r="D63" s="40"/>
      <c r="E63" s="2">
        <v>2640</v>
      </c>
    </row>
    <row r="64" spans="1:5" ht="15.75">
      <c r="A64" s="15" t="s">
        <v>152</v>
      </c>
      <c r="B64" s="16"/>
      <c r="C64" s="16"/>
      <c r="D64" s="40"/>
      <c r="E64" s="2">
        <v>26</v>
      </c>
    </row>
    <row r="65" spans="1:5" ht="15.75">
      <c r="A65" s="15" t="s">
        <v>153</v>
      </c>
      <c r="B65" s="16"/>
      <c r="C65" s="16"/>
      <c r="D65" s="40"/>
      <c r="E65" s="2">
        <v>17</v>
      </c>
    </row>
    <row r="66" spans="1:5" ht="15.75">
      <c r="A66" s="44" t="s">
        <v>155</v>
      </c>
      <c r="B66" s="45"/>
      <c r="C66" s="16"/>
      <c r="D66" s="40"/>
      <c r="E66" s="31"/>
    </row>
    <row r="67" spans="1:5" ht="15.75">
      <c r="A67" s="13" t="s">
        <v>151</v>
      </c>
      <c r="B67" s="16"/>
      <c r="C67" s="16"/>
      <c r="D67" s="40"/>
      <c r="E67" s="2">
        <v>370</v>
      </c>
    </row>
    <row r="68" spans="1:5" ht="15.75">
      <c r="A68" s="15" t="s">
        <v>152</v>
      </c>
      <c r="B68" s="16"/>
      <c r="C68" s="16"/>
      <c r="D68" s="40"/>
      <c r="E68" s="2">
        <v>10</v>
      </c>
    </row>
    <row r="69" spans="1:5" ht="15.75">
      <c r="A69" s="15" t="s">
        <v>153</v>
      </c>
      <c r="B69" s="16"/>
      <c r="C69" s="16"/>
      <c r="D69" s="40"/>
      <c r="E69" s="2">
        <v>14</v>
      </c>
    </row>
    <row r="70" spans="1:5" ht="15.75">
      <c r="A70" s="15"/>
      <c r="B70" s="16"/>
      <c r="C70" s="16"/>
      <c r="D70" s="40"/>
      <c r="E70" s="31"/>
    </row>
    <row r="71" spans="1:5" ht="15.75">
      <c r="A71" s="15" t="s">
        <v>112</v>
      </c>
      <c r="B71" s="16"/>
      <c r="C71" s="16"/>
      <c r="D71" s="40"/>
      <c r="E71" s="2"/>
    </row>
    <row r="72" spans="1:5" ht="15.75">
      <c r="A72" s="15" t="s">
        <v>52</v>
      </c>
      <c r="B72" s="14"/>
      <c r="C72" s="14"/>
      <c r="D72" s="39"/>
      <c r="E72" s="2"/>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809</v>
      </c>
      <c r="B77" s="17"/>
      <c r="C77" s="10"/>
      <c r="D77" s="10"/>
      <c r="E77" s="584">
        <v>0</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174</v>
      </c>
      <c r="B82" s="58" t="s">
        <v>175</v>
      </c>
      <c r="C82" s="59" t="s">
        <v>176</v>
      </c>
      <c r="D82" s="60"/>
      <c r="E82" s="60"/>
    </row>
    <row r="83" spans="1:5" ht="15.75">
      <c r="A83" s="61" t="str">
        <f>inputPrYr!B20</f>
        <v>General</v>
      </c>
      <c r="B83" s="4">
        <v>44658</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Fire Maintenance</v>
      </c>
      <c r="B90" s="4">
        <v>39000</v>
      </c>
      <c r="C90" s="33"/>
      <c r="D90" s="33"/>
      <c r="E90" s="33"/>
    </row>
    <row r="91" spans="1:5" ht="15.75">
      <c r="A91" s="61" t="str">
        <f>inputPrYr!B28</f>
        <v>Fire Equipment</v>
      </c>
      <c r="B91" s="4">
        <v>59573</v>
      </c>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72" t="s">
        <v>659</v>
      </c>
      <c r="C6" s="883"/>
      <c r="D6" s="883"/>
      <c r="E6" s="883"/>
      <c r="F6" s="883"/>
      <c r="G6" s="883"/>
      <c r="H6" s="883"/>
      <c r="I6" s="883"/>
      <c r="J6" s="883"/>
      <c r="K6" s="883"/>
      <c r="L6" s="397"/>
    </row>
    <row r="7" spans="1:12" ht="40.5" customHeight="1">
      <c r="A7" s="395"/>
      <c r="B7" s="892" t="s">
        <v>660</v>
      </c>
      <c r="C7" s="893"/>
      <c r="D7" s="893"/>
      <c r="E7" s="893"/>
      <c r="F7" s="893"/>
      <c r="G7" s="893"/>
      <c r="H7" s="893"/>
      <c r="I7" s="893"/>
      <c r="J7" s="893"/>
      <c r="K7" s="893"/>
      <c r="L7" s="395"/>
    </row>
    <row r="8" spans="1:12" ht="14.25">
      <c r="A8" s="395"/>
      <c r="B8" s="885" t="s">
        <v>661</v>
      </c>
      <c r="C8" s="885"/>
      <c r="D8" s="885"/>
      <c r="E8" s="885"/>
      <c r="F8" s="885"/>
      <c r="G8" s="885"/>
      <c r="H8" s="885"/>
      <c r="I8" s="885"/>
      <c r="J8" s="885"/>
      <c r="K8" s="885"/>
      <c r="L8" s="395"/>
    </row>
    <row r="9" spans="1:12" ht="14.25">
      <c r="A9" s="395"/>
      <c r="L9" s="395"/>
    </row>
    <row r="10" spans="1:12" ht="14.25">
      <c r="A10" s="395"/>
      <c r="B10" s="885" t="s">
        <v>662</v>
      </c>
      <c r="C10" s="885"/>
      <c r="D10" s="885"/>
      <c r="E10" s="885"/>
      <c r="F10" s="885"/>
      <c r="G10" s="885"/>
      <c r="H10" s="885"/>
      <c r="I10" s="885"/>
      <c r="J10" s="885"/>
      <c r="K10" s="885"/>
      <c r="L10" s="395"/>
    </row>
    <row r="11" spans="1:12" ht="14.25">
      <c r="A11" s="395"/>
      <c r="B11" s="398"/>
      <c r="C11" s="398"/>
      <c r="D11" s="398"/>
      <c r="E11" s="398"/>
      <c r="F11" s="398"/>
      <c r="G11" s="398"/>
      <c r="H11" s="398"/>
      <c r="I11" s="398"/>
      <c r="J11" s="398"/>
      <c r="K11" s="398"/>
      <c r="L11" s="395"/>
    </row>
    <row r="12" spans="1:12" ht="32.25" customHeight="1">
      <c r="A12" s="395"/>
      <c r="B12" s="873" t="s">
        <v>663</v>
      </c>
      <c r="C12" s="873"/>
      <c r="D12" s="873"/>
      <c r="E12" s="873"/>
      <c r="F12" s="873"/>
      <c r="G12" s="873"/>
      <c r="H12" s="873"/>
      <c r="I12" s="873"/>
      <c r="J12" s="873"/>
      <c r="K12" s="873"/>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75">
        <v>133685008</v>
      </c>
      <c r="G23" s="875"/>
      <c r="L23" s="395"/>
    </row>
    <row r="24" spans="1:12" ht="14.25">
      <c r="A24" s="395"/>
      <c r="L24" s="395"/>
    </row>
    <row r="25" spans="1:12" ht="14.25">
      <c r="A25" s="395"/>
      <c r="C25" s="886">
        <f>F23</f>
        <v>133685008</v>
      </c>
      <c r="D25" s="886"/>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80" t="s">
        <v>660</v>
      </c>
      <c r="C30" s="880"/>
      <c r="D30" s="880"/>
      <c r="E30" s="880"/>
      <c r="F30" s="880"/>
      <c r="G30" s="880"/>
      <c r="H30" s="880"/>
      <c r="I30" s="880"/>
      <c r="J30" s="880"/>
      <c r="K30" s="880"/>
      <c r="L30" s="395"/>
    </row>
    <row r="31" spans="1:12" ht="14.25">
      <c r="A31" s="395"/>
      <c r="B31" s="885" t="s">
        <v>674</v>
      </c>
      <c r="C31" s="885"/>
      <c r="D31" s="885"/>
      <c r="E31" s="885"/>
      <c r="F31" s="885"/>
      <c r="G31" s="885"/>
      <c r="H31" s="885"/>
      <c r="I31" s="885"/>
      <c r="J31" s="885"/>
      <c r="K31" s="885"/>
      <c r="L31" s="395"/>
    </row>
    <row r="32" spans="1:12" ht="14.25">
      <c r="A32" s="395"/>
      <c r="L32" s="395"/>
    </row>
    <row r="33" spans="1:12" ht="14.25">
      <c r="A33" s="395"/>
      <c r="B33" s="885" t="s">
        <v>675</v>
      </c>
      <c r="C33" s="885"/>
      <c r="D33" s="885"/>
      <c r="E33" s="885"/>
      <c r="F33" s="885"/>
      <c r="G33" s="885"/>
      <c r="H33" s="885"/>
      <c r="I33" s="885"/>
      <c r="J33" s="885"/>
      <c r="K33" s="885"/>
      <c r="L33" s="395"/>
    </row>
    <row r="34" spans="1:12" ht="14.25">
      <c r="A34" s="395"/>
      <c r="L34" s="395"/>
    </row>
    <row r="35" spans="1:12" ht="89.25" customHeight="1">
      <c r="A35" s="395"/>
      <c r="B35" s="873" t="s">
        <v>676</v>
      </c>
      <c r="C35" s="878"/>
      <c r="D35" s="878"/>
      <c r="E35" s="878"/>
      <c r="F35" s="878"/>
      <c r="G35" s="878"/>
      <c r="H35" s="878"/>
      <c r="I35" s="878"/>
      <c r="J35" s="878"/>
      <c r="K35" s="878"/>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87">
        <v>3120000</v>
      </c>
      <c r="D41" s="887"/>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75">
        <v>133685008</v>
      </c>
      <c r="C48" s="875"/>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88" t="s">
        <v>684</v>
      </c>
      <c r="H50" s="889"/>
      <c r="I50" s="407" t="s">
        <v>670</v>
      </c>
      <c r="J50" s="417">
        <f>B50/F50</f>
        <v>52.8690023342034</v>
      </c>
      <c r="K50" s="409"/>
      <c r="L50" s="395"/>
    </row>
    <row r="51" spans="1:15" ht="15" thickBot="1">
      <c r="A51" s="395"/>
      <c r="B51" s="410"/>
      <c r="C51" s="411"/>
      <c r="D51" s="411"/>
      <c r="E51" s="411"/>
      <c r="F51" s="411"/>
      <c r="G51" s="411"/>
      <c r="H51" s="411"/>
      <c r="I51" s="890" t="s">
        <v>685</v>
      </c>
      <c r="J51" s="890"/>
      <c r="K51" s="891"/>
      <c r="L51" s="395"/>
      <c r="O51" s="418"/>
    </row>
    <row r="52" spans="1:12" ht="40.5" customHeight="1">
      <c r="A52" s="395"/>
      <c r="B52" s="880" t="s">
        <v>660</v>
      </c>
      <c r="C52" s="880"/>
      <c r="D52" s="880"/>
      <c r="E52" s="880"/>
      <c r="F52" s="880"/>
      <c r="G52" s="880"/>
      <c r="H52" s="880"/>
      <c r="I52" s="880"/>
      <c r="J52" s="880"/>
      <c r="K52" s="880"/>
      <c r="L52" s="395"/>
    </row>
    <row r="53" spans="1:12" ht="14.25">
      <c r="A53" s="395"/>
      <c r="B53" s="885" t="s">
        <v>686</v>
      </c>
      <c r="C53" s="885"/>
      <c r="D53" s="885"/>
      <c r="E53" s="885"/>
      <c r="F53" s="885"/>
      <c r="G53" s="885"/>
      <c r="H53" s="885"/>
      <c r="I53" s="885"/>
      <c r="J53" s="885"/>
      <c r="K53" s="885"/>
      <c r="L53" s="395"/>
    </row>
    <row r="54" spans="1:12" ht="14.25">
      <c r="A54" s="395"/>
      <c r="B54" s="398"/>
      <c r="C54" s="398"/>
      <c r="D54" s="398"/>
      <c r="E54" s="398"/>
      <c r="F54" s="398"/>
      <c r="G54" s="398"/>
      <c r="H54" s="398"/>
      <c r="I54" s="398"/>
      <c r="J54" s="398"/>
      <c r="K54" s="398"/>
      <c r="L54" s="395"/>
    </row>
    <row r="55" spans="1:12" ht="14.25">
      <c r="A55" s="395"/>
      <c r="B55" s="872" t="s">
        <v>687</v>
      </c>
      <c r="C55" s="872"/>
      <c r="D55" s="872"/>
      <c r="E55" s="872"/>
      <c r="F55" s="872"/>
      <c r="G55" s="872"/>
      <c r="H55" s="872"/>
      <c r="I55" s="872"/>
      <c r="J55" s="872"/>
      <c r="K55" s="872"/>
      <c r="L55" s="395"/>
    </row>
    <row r="56" spans="1:12" ht="15" customHeight="1">
      <c r="A56" s="395"/>
      <c r="L56" s="395"/>
    </row>
    <row r="57" spans="1:24" ht="74.25" customHeight="1">
      <c r="A57" s="395"/>
      <c r="B57" s="873" t="s">
        <v>688</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75">
        <v>133685008</v>
      </c>
      <c r="D74" s="875"/>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75">
        <v>5000</v>
      </c>
      <c r="D77" s="875"/>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75">
        <v>100000</v>
      </c>
      <c r="D80" s="875"/>
      <c r="E80" s="407" t="s">
        <v>257</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257</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80" t="s">
        <v>660</v>
      </c>
      <c r="C85" s="880"/>
      <c r="D85" s="880"/>
      <c r="E85" s="880"/>
      <c r="F85" s="880"/>
      <c r="G85" s="880"/>
      <c r="H85" s="880"/>
      <c r="I85" s="880"/>
      <c r="J85" s="880"/>
      <c r="K85" s="880"/>
      <c r="L85" s="395"/>
    </row>
    <row r="86" spans="1:12" ht="14.25">
      <c r="A86" s="395"/>
      <c r="B86" s="872" t="s">
        <v>708</v>
      </c>
      <c r="C86" s="872"/>
      <c r="D86" s="872"/>
      <c r="E86" s="872"/>
      <c r="F86" s="872"/>
      <c r="G86" s="872"/>
      <c r="H86" s="872"/>
      <c r="I86" s="872"/>
      <c r="J86" s="872"/>
      <c r="K86" s="872"/>
      <c r="L86" s="395"/>
    </row>
    <row r="87" spans="1:12" ht="14.25">
      <c r="A87" s="395"/>
      <c r="B87" s="434"/>
      <c r="C87" s="434"/>
      <c r="D87" s="434"/>
      <c r="E87" s="434"/>
      <c r="F87" s="434"/>
      <c r="G87" s="434"/>
      <c r="H87" s="434"/>
      <c r="I87" s="434"/>
      <c r="J87" s="434"/>
      <c r="K87" s="434"/>
      <c r="L87" s="395"/>
    </row>
    <row r="88" spans="1:12" ht="14.25">
      <c r="A88" s="395"/>
      <c r="B88" s="872" t="s">
        <v>709</v>
      </c>
      <c r="C88" s="872"/>
      <c r="D88" s="872"/>
      <c r="E88" s="872"/>
      <c r="F88" s="872"/>
      <c r="G88" s="872"/>
      <c r="H88" s="872"/>
      <c r="I88" s="872"/>
      <c r="J88" s="872"/>
      <c r="K88" s="872"/>
      <c r="L88" s="395"/>
    </row>
    <row r="89" spans="1:12" ht="14.25">
      <c r="A89" s="395"/>
      <c r="B89" s="435"/>
      <c r="C89" s="435"/>
      <c r="D89" s="435"/>
      <c r="E89" s="435"/>
      <c r="F89" s="435"/>
      <c r="G89" s="435"/>
      <c r="H89" s="435"/>
      <c r="I89" s="435"/>
      <c r="J89" s="435"/>
      <c r="K89" s="435"/>
      <c r="L89" s="395"/>
    </row>
    <row r="90" spans="1:12" ht="45" customHeight="1">
      <c r="A90" s="395"/>
      <c r="B90" s="873" t="s">
        <v>710</v>
      </c>
      <c r="C90" s="873"/>
      <c r="D90" s="873"/>
      <c r="E90" s="873"/>
      <c r="F90" s="873"/>
      <c r="G90" s="873"/>
      <c r="H90" s="873"/>
      <c r="I90" s="873"/>
      <c r="J90" s="873"/>
      <c r="K90" s="873"/>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75">
        <v>133685008</v>
      </c>
      <c r="D94" s="875"/>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75">
        <v>50000</v>
      </c>
      <c r="D97" s="875"/>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75">
        <v>2500000</v>
      </c>
      <c r="D100" s="875"/>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660</v>
      </c>
      <c r="C105" s="881"/>
      <c r="D105" s="881"/>
      <c r="E105" s="881"/>
      <c r="F105" s="881"/>
      <c r="G105" s="881"/>
      <c r="H105" s="881"/>
      <c r="I105" s="881"/>
      <c r="J105" s="881"/>
      <c r="K105" s="881"/>
      <c r="L105" s="395"/>
    </row>
    <row r="106" spans="1:12" ht="15" customHeight="1">
      <c r="A106" s="395"/>
      <c r="B106" s="882" t="s">
        <v>712</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713</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714</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75">
        <v>133685008</v>
      </c>
      <c r="D114" s="875"/>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75">
        <v>50000</v>
      </c>
      <c r="D117" s="875"/>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75">
        <v>2500000</v>
      </c>
      <c r="D120" s="875"/>
      <c r="E120" s="407" t="s">
        <v>257</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257</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80" t="s">
        <v>660</v>
      </c>
      <c r="C125" s="880"/>
      <c r="D125" s="880"/>
      <c r="E125" s="880"/>
      <c r="F125" s="880"/>
      <c r="G125" s="880"/>
      <c r="H125" s="880"/>
      <c r="I125" s="880"/>
      <c r="J125" s="880"/>
      <c r="K125" s="880"/>
      <c r="L125" s="449"/>
    </row>
    <row r="126" spans="1:12" ht="14.25">
      <c r="A126" s="395"/>
      <c r="B126" s="872" t="s">
        <v>715</v>
      </c>
      <c r="C126" s="872"/>
      <c r="D126" s="872"/>
      <c r="E126" s="872"/>
      <c r="F126" s="872"/>
      <c r="G126" s="872"/>
      <c r="H126" s="872"/>
      <c r="I126" s="872"/>
      <c r="J126" s="872"/>
      <c r="K126" s="872"/>
      <c r="L126" s="449"/>
    </row>
    <row r="127" spans="1:12" ht="14.25">
      <c r="A127" s="395"/>
      <c r="B127" s="398"/>
      <c r="C127" s="398"/>
      <c r="D127" s="398"/>
      <c r="E127" s="398"/>
      <c r="F127" s="398"/>
      <c r="G127" s="398"/>
      <c r="H127" s="398"/>
      <c r="I127" s="398"/>
      <c r="J127" s="398"/>
      <c r="K127" s="398"/>
      <c r="L127" s="449"/>
    </row>
    <row r="128" spans="1:12" ht="14.25">
      <c r="A128" s="395"/>
      <c r="B128" s="872" t="s">
        <v>716</v>
      </c>
      <c r="C128" s="872"/>
      <c r="D128" s="872"/>
      <c r="E128" s="872"/>
      <c r="F128" s="872"/>
      <c r="G128" s="872"/>
      <c r="H128" s="872"/>
      <c r="I128" s="872"/>
      <c r="J128" s="872"/>
      <c r="K128" s="872"/>
      <c r="L128" s="449"/>
    </row>
    <row r="129" spans="1:12" ht="14.25">
      <c r="A129" s="395"/>
      <c r="B129" s="435"/>
      <c r="C129" s="435"/>
      <c r="D129" s="435"/>
      <c r="E129" s="435"/>
      <c r="F129" s="435"/>
      <c r="G129" s="435"/>
      <c r="H129" s="435"/>
      <c r="I129" s="435"/>
      <c r="J129" s="435"/>
      <c r="K129" s="435"/>
      <c r="L129" s="449"/>
    </row>
    <row r="130" spans="1:12" ht="74.25" customHeight="1">
      <c r="A130" s="395"/>
      <c r="B130" s="873" t="s">
        <v>717</v>
      </c>
      <c r="C130" s="873"/>
      <c r="D130" s="873"/>
      <c r="E130" s="873"/>
      <c r="F130" s="873"/>
      <c r="G130" s="873"/>
      <c r="H130" s="873"/>
      <c r="I130" s="873"/>
      <c r="J130" s="873"/>
      <c r="K130" s="873"/>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74" t="s">
        <v>718</v>
      </c>
      <c r="D133" s="874"/>
      <c r="E133" s="406"/>
      <c r="F133" s="407" t="s">
        <v>719</v>
      </c>
      <c r="G133" s="406"/>
      <c r="H133" s="874" t="s">
        <v>704</v>
      </c>
      <c r="I133" s="874"/>
      <c r="J133" s="406"/>
      <c r="K133" s="409"/>
      <c r="L133" s="395"/>
    </row>
    <row r="134" spans="1:12" ht="14.25">
      <c r="A134" s="395"/>
      <c r="B134" s="415" t="s">
        <v>697</v>
      </c>
      <c r="C134" s="875">
        <v>100000</v>
      </c>
      <c r="D134" s="875"/>
      <c r="E134" s="407" t="s">
        <v>257</v>
      </c>
      <c r="F134" s="407">
        <v>0.115</v>
      </c>
      <c r="G134" s="407" t="s">
        <v>670</v>
      </c>
      <c r="H134" s="867">
        <f>C134*F134</f>
        <v>11500</v>
      </c>
      <c r="I134" s="867"/>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76" t="s">
        <v>704</v>
      </c>
      <c r="D136" s="876"/>
      <c r="E136" s="426"/>
      <c r="F136" s="427" t="s">
        <v>720</v>
      </c>
      <c r="G136" s="427"/>
      <c r="H136" s="426"/>
      <c r="I136" s="426"/>
      <c r="J136" s="426" t="s">
        <v>721</v>
      </c>
      <c r="K136" s="428"/>
      <c r="L136" s="395"/>
    </row>
    <row r="137" spans="1:12" ht="14.25">
      <c r="A137" s="395"/>
      <c r="B137" s="415" t="s">
        <v>700</v>
      </c>
      <c r="C137" s="867">
        <f>H134</f>
        <v>11500</v>
      </c>
      <c r="D137" s="867"/>
      <c r="E137" s="407" t="s">
        <v>257</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64" t="s">
        <v>724</v>
      </c>
      <c r="C144" s="865"/>
      <c r="D144" s="865"/>
      <c r="E144" s="865"/>
      <c r="F144" s="865"/>
      <c r="G144" s="865"/>
      <c r="H144" s="865"/>
      <c r="I144" s="865"/>
      <c r="J144" s="865"/>
      <c r="K144" s="866"/>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67" t="s">
        <v>725</v>
      </c>
      <c r="D147" s="867"/>
      <c r="E147" s="407"/>
      <c r="F147" s="467" t="s">
        <v>726</v>
      </c>
      <c r="G147" s="407"/>
      <c r="H147" s="407"/>
      <c r="I147" s="407"/>
      <c r="J147" s="868" t="s">
        <v>727</v>
      </c>
      <c r="K147" s="869"/>
      <c r="L147" s="395"/>
    </row>
    <row r="148" spans="1:12" ht="14.25">
      <c r="A148" s="395"/>
      <c r="B148" s="415"/>
      <c r="C148" s="870">
        <v>52.869</v>
      </c>
      <c r="D148" s="870"/>
      <c r="E148" s="407" t="s">
        <v>257</v>
      </c>
      <c r="F148" s="472">
        <v>133685008</v>
      </c>
      <c r="G148" s="473" t="s">
        <v>671</v>
      </c>
      <c r="H148" s="407">
        <v>1000</v>
      </c>
      <c r="I148" s="407" t="s">
        <v>670</v>
      </c>
      <c r="J148" s="867">
        <f>C148*(F148/1000)</f>
        <v>7067792.687952</v>
      </c>
      <c r="K148" s="871"/>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224</v>
      </c>
    </row>
    <row r="134" ht="15.75">
      <c r="A134" s="113" t="s">
        <v>196</v>
      </c>
    </row>
    <row r="135" ht="31.5">
      <c r="A135" s="215" t="s">
        <v>197</v>
      </c>
    </row>
    <row r="136" ht="15.75">
      <c r="A136" s="113" t="s">
        <v>210</v>
      </c>
    </row>
    <row r="137" ht="15.75">
      <c r="A137" s="113" t="s">
        <v>211</v>
      </c>
    </row>
    <row r="138" ht="15.75">
      <c r="A138" s="113" t="s">
        <v>212</v>
      </c>
    </row>
    <row r="139" ht="15.75">
      <c r="A139" s="113" t="s">
        <v>213</v>
      </c>
    </row>
    <row r="140" ht="31.5">
      <c r="A140" s="215" t="s">
        <v>205</v>
      </c>
    </row>
    <row r="141" ht="31.5">
      <c r="A141" s="215" t="s">
        <v>214</v>
      </c>
    </row>
    <row r="142" ht="31.5">
      <c r="A142" s="215" t="s">
        <v>215</v>
      </c>
    </row>
    <row r="143" ht="15.75">
      <c r="A143" s="215" t="s">
        <v>216</v>
      </c>
    </row>
    <row r="144" ht="31.5">
      <c r="A144" s="215" t="s">
        <v>217</v>
      </c>
    </row>
    <row r="145" ht="15.75">
      <c r="A145" s="113" t="s">
        <v>218</v>
      </c>
    </row>
    <row r="146" ht="15.75">
      <c r="A146" s="113" t="s">
        <v>219</v>
      </c>
    </row>
    <row r="147" ht="15.75">
      <c r="A147" s="113" t="s">
        <v>220</v>
      </c>
    </row>
    <row r="148" ht="15.75">
      <c r="A148" s="113" t="s">
        <v>221</v>
      </c>
    </row>
    <row r="149" ht="31.5">
      <c r="A149" s="215" t="s">
        <v>222</v>
      </c>
    </row>
    <row r="150" ht="15.75">
      <c r="A150" s="215" t="s">
        <v>198</v>
      </c>
    </row>
    <row r="151" ht="31.5">
      <c r="A151" s="215" t="s">
        <v>206</v>
      </c>
    </row>
    <row r="152" ht="15.75">
      <c r="A152" s="215" t="s">
        <v>199</v>
      </c>
    </row>
    <row r="153" ht="15.75">
      <c r="A153" s="215" t="s">
        <v>200</v>
      </c>
    </row>
    <row r="154" ht="15.75">
      <c r="A154" s="215" t="s">
        <v>201</v>
      </c>
    </row>
    <row r="155" ht="31.5">
      <c r="A155" s="215" t="s">
        <v>202</v>
      </c>
    </row>
    <row r="156" ht="31.5">
      <c r="A156" s="215" t="s">
        <v>207</v>
      </c>
    </row>
    <row r="157" ht="31.5">
      <c r="A157" s="215" t="s">
        <v>203</v>
      </c>
    </row>
    <row r="158" ht="31.5">
      <c r="A158" s="215" t="s">
        <v>208</v>
      </c>
    </row>
    <row r="159" ht="15.75">
      <c r="A159" s="215" t="s">
        <v>209</v>
      </c>
    </row>
    <row r="160" ht="15.75">
      <c r="A160" s="215"/>
    </row>
    <row r="161" ht="15.75">
      <c r="A161" s="383" t="s">
        <v>136</v>
      </c>
    </row>
    <row r="162" ht="47.25">
      <c r="A162" s="215" t="s">
        <v>167</v>
      </c>
    </row>
    <row r="163" ht="15.75">
      <c r="A163" s="113" t="s">
        <v>137</v>
      </c>
    </row>
    <row r="164" ht="15.75">
      <c r="A164" s="113" t="s">
        <v>141</v>
      </c>
    </row>
    <row r="165" ht="15.75">
      <c r="A165" s="113" t="s">
        <v>142</v>
      </c>
    </row>
    <row r="166" ht="15.75">
      <c r="A166" s="113" t="s">
        <v>138</v>
      </c>
    </row>
    <row r="167" ht="15.75">
      <c r="A167" s="113" t="s">
        <v>139</v>
      </c>
    </row>
    <row r="168" ht="15.75">
      <c r="A168" s="113" t="s">
        <v>140</v>
      </c>
    </row>
    <row r="169" ht="15.75">
      <c r="A169" s="215" t="s">
        <v>235</v>
      </c>
    </row>
    <row r="170" ht="15.75">
      <c r="A170" s="113" t="s">
        <v>143</v>
      </c>
    </row>
    <row r="171" ht="15.75">
      <c r="A171" s="113" t="s">
        <v>144</v>
      </c>
    </row>
    <row r="172" ht="15.75">
      <c r="A172" s="113" t="s">
        <v>168</v>
      </c>
    </row>
    <row r="173" ht="15.75">
      <c r="A173" s="113" t="s">
        <v>158</v>
      </c>
    </row>
    <row r="174" ht="15.75">
      <c r="A174" s="113" t="s">
        <v>169</v>
      </c>
    </row>
    <row r="175" ht="15.75">
      <c r="A175" s="113" t="s">
        <v>145</v>
      </c>
    </row>
    <row r="176" ht="15.75">
      <c r="A176" s="113" t="s">
        <v>236</v>
      </c>
    </row>
    <row r="177" ht="15.75">
      <c r="A177" s="113" t="s">
        <v>146</v>
      </c>
    </row>
    <row r="178" ht="15.75">
      <c r="A178" s="113" t="s">
        <v>159</v>
      </c>
    </row>
    <row r="179" ht="31.5">
      <c r="A179" s="215" t="s">
        <v>160</v>
      </c>
    </row>
    <row r="180" ht="15.75">
      <c r="A180" s="113" t="s">
        <v>161</v>
      </c>
    </row>
    <row r="181" ht="15.75">
      <c r="A181" s="113" t="s">
        <v>170</v>
      </c>
    </row>
    <row r="182" ht="15.75">
      <c r="A182" s="113" t="s">
        <v>204</v>
      </c>
    </row>
    <row r="183" ht="15.75">
      <c r="A183" s="113" t="s">
        <v>234</v>
      </c>
    </row>
    <row r="184" ht="15.75">
      <c r="A184" s="113" t="s">
        <v>172</v>
      </c>
    </row>
    <row r="185" ht="15.75">
      <c r="A185" s="113" t="s">
        <v>233</v>
      </c>
    </row>
    <row r="186" ht="15.75">
      <c r="A186" s="113" t="s">
        <v>173</v>
      </c>
    </row>
    <row r="187" ht="15.75">
      <c r="A187" s="113" t="s">
        <v>178</v>
      </c>
    </row>
    <row r="188" ht="15.75">
      <c r="A188" s="113" t="s">
        <v>179</v>
      </c>
    </row>
    <row r="189" ht="15.75">
      <c r="A189" s="113" t="s">
        <v>187</v>
      </c>
    </row>
    <row r="190" ht="15.75">
      <c r="A190" s="113" t="s">
        <v>188</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22" sqref="C22"/>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t="s">
        <v>955</v>
      </c>
      <c r="J4" s="568" t="s">
        <v>796</v>
      </c>
    </row>
    <row r="5" spans="1:10" ht="15.75">
      <c r="A5" s="1"/>
      <c r="B5" s="570"/>
      <c r="J5" s="568" t="s">
        <v>797</v>
      </c>
    </row>
    <row r="6" spans="1:10" ht="15.75">
      <c r="A6" s="1" t="s">
        <v>806</v>
      </c>
      <c r="B6" s="569" t="s">
        <v>955</v>
      </c>
      <c r="J6" s="568" t="s">
        <v>798</v>
      </c>
    </row>
    <row r="7" spans="4:10" ht="15.75">
      <c r="D7" s="366"/>
      <c r="J7" s="568" t="s">
        <v>799</v>
      </c>
    </row>
    <row r="8" spans="1:10" ht="15.75">
      <c r="A8" s="214" t="s">
        <v>387</v>
      </c>
      <c r="B8" s="367" t="s">
        <v>979</v>
      </c>
      <c r="C8" s="368"/>
      <c r="D8" s="214" t="s">
        <v>792</v>
      </c>
      <c r="J8" s="568" t="s">
        <v>800</v>
      </c>
    </row>
    <row r="9" spans="1:10" ht="15.75">
      <c r="A9" s="214"/>
      <c r="B9" s="369"/>
      <c r="C9" s="370"/>
      <c r="D9" s="571" t="str">
        <f>IF(B8="","",CONCATENATE("Latest date for notice to be published in your newspaper: ",G19," ",G23,", ",G24))</f>
        <v>Latest date for notice to be published in your newspaper: July 15, 2013</v>
      </c>
      <c r="J9" s="568" t="s">
        <v>801</v>
      </c>
    </row>
    <row r="10" spans="1:10" ht="15.75">
      <c r="A10" s="214" t="s">
        <v>388</v>
      </c>
      <c r="B10" s="367" t="s">
        <v>980</v>
      </c>
      <c r="C10" s="371"/>
      <c r="D10" s="214"/>
      <c r="J10" s="568" t="s">
        <v>802</v>
      </c>
    </row>
    <row r="11" spans="1:10" ht="15.75">
      <c r="A11" s="214"/>
      <c r="B11" s="214"/>
      <c r="C11" s="214"/>
      <c r="D11" s="214"/>
      <c r="J11" s="568" t="s">
        <v>803</v>
      </c>
    </row>
    <row r="12" spans="1:10" ht="15.75">
      <c r="A12" s="214" t="s">
        <v>389</v>
      </c>
      <c r="B12" s="153" t="s">
        <v>981</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961</v>
      </c>
      <c r="C15" s="153"/>
      <c r="D15" s="153"/>
      <c r="E15" s="372"/>
    </row>
    <row r="18" spans="1:5" ht="15.75">
      <c r="A18" s="771" t="s">
        <v>393</v>
      </c>
      <c r="B18" s="771"/>
      <c r="C18" s="214"/>
      <c r="D18" s="214"/>
      <c r="E18" s="214"/>
    </row>
    <row r="19" spans="1:7" ht="15.75">
      <c r="A19" s="214"/>
      <c r="B19" s="214"/>
      <c r="C19" s="214"/>
      <c r="D19" s="214"/>
      <c r="E19" s="214"/>
      <c r="G19" s="568" t="str">
        <f ca="1">IF(B8="","",INDIRECT(G20))</f>
        <v>July</v>
      </c>
    </row>
    <row r="20" spans="1:7" ht="15.75">
      <c r="A20" s="214" t="s">
        <v>387</v>
      </c>
      <c r="B20" s="369" t="s">
        <v>391</v>
      </c>
      <c r="C20" s="214"/>
      <c r="D20" s="214"/>
      <c r="E20" s="214"/>
      <c r="G20" s="572" t="str">
        <f>IF(B8="","",CONCATENATE("J",G22))</f>
        <v>J7</v>
      </c>
    </row>
    <row r="21" spans="1:7" ht="15.75">
      <c r="A21" s="214"/>
      <c r="B21" s="214"/>
      <c r="C21" s="214"/>
      <c r="D21" s="214"/>
      <c r="E21" s="214"/>
      <c r="G21" s="573">
        <f>B8-10</f>
        <v>41470</v>
      </c>
    </row>
    <row r="22" spans="1:7" ht="15.75">
      <c r="A22" s="214" t="s">
        <v>388</v>
      </c>
      <c r="B22" s="214" t="s">
        <v>394</v>
      </c>
      <c r="C22" s="214"/>
      <c r="D22" s="214"/>
      <c r="E22" s="214"/>
      <c r="G22" s="574">
        <f>IF(B8="","",MONTH(G21))</f>
        <v>7</v>
      </c>
    </row>
    <row r="23" spans="1:7" ht="15.75">
      <c r="A23" s="214"/>
      <c r="B23" s="214"/>
      <c r="C23" s="214"/>
      <c r="D23" s="214"/>
      <c r="E23" s="214"/>
      <c r="G23" s="575">
        <f>IF(B8="","",DAY(G21))</f>
        <v>15</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G23" sqref="G23"/>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3" t="s">
        <v>22</v>
      </c>
      <c r="B1" s="783"/>
      <c r="C1" s="783"/>
      <c r="D1" s="783"/>
      <c r="E1" s="783"/>
      <c r="F1" s="783"/>
      <c r="G1" s="65">
        <f>inputPrYr!D9</f>
        <v>2014</v>
      </c>
    </row>
    <row r="2" spans="2:6" s="65" customFormat="1" ht="15.75">
      <c r="B2" s="66"/>
      <c r="C2" s="66"/>
      <c r="D2" s="66"/>
      <c r="E2" s="66"/>
      <c r="F2" s="67"/>
    </row>
    <row r="3" spans="1:6" s="65" customFormat="1" ht="15.75">
      <c r="A3" s="792" t="str">
        <f>CONCATENATE("To the Clerk of ",inputPrYr!D4,", State of Kansas")</f>
        <v>To the Clerk of Leavenworth, State of Kansas</v>
      </c>
      <c r="B3" s="779"/>
      <c r="C3" s="779"/>
      <c r="D3" s="779"/>
      <c r="E3" s="779"/>
      <c r="F3" s="779"/>
    </row>
    <row r="4" spans="1:6" s="65" customFormat="1" ht="15.75">
      <c r="A4" s="792" t="s">
        <v>103</v>
      </c>
      <c r="B4" s="794"/>
      <c r="C4" s="794"/>
      <c r="D4" s="794"/>
      <c r="E4" s="794"/>
      <c r="F4" s="794"/>
    </row>
    <row r="5" spans="1:6" s="65" customFormat="1" ht="15.75">
      <c r="A5" s="795" t="str">
        <f>inputPrYr!D3</f>
        <v>Tonganoxie Township</v>
      </c>
      <c r="B5" s="794"/>
      <c r="C5" s="794"/>
      <c r="D5" s="794"/>
      <c r="E5" s="794"/>
      <c r="F5" s="794"/>
    </row>
    <row r="6" spans="1:6" s="65" customFormat="1" ht="15.75">
      <c r="A6" s="790" t="s">
        <v>101</v>
      </c>
      <c r="B6" s="791"/>
      <c r="C6" s="791"/>
      <c r="D6" s="791"/>
      <c r="E6" s="791"/>
      <c r="F6" s="791"/>
    </row>
    <row r="7" spans="1:6" s="65" customFormat="1" ht="15.75" customHeight="1">
      <c r="A7" s="792" t="s">
        <v>102</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75">
      <c r="A12" s="72"/>
      <c r="C12" s="70"/>
      <c r="D12" s="73" t="s">
        <v>245</v>
      </c>
      <c r="E12" s="784" t="str">
        <f>CONCATENATE("Amount of ",G1-1," Ad Valorem Tax")</f>
        <v>Amount of 2013 Ad Valorem Tax</v>
      </c>
      <c r="F12" s="74" t="s">
        <v>246</v>
      </c>
    </row>
    <row r="13" spans="3:6" s="65" customFormat="1" ht="15.75">
      <c r="C13" s="74" t="s">
        <v>247</v>
      </c>
      <c r="D13" s="496" t="s">
        <v>175</v>
      </c>
      <c r="E13" s="785"/>
      <c r="F13" s="76" t="s">
        <v>248</v>
      </c>
    </row>
    <row r="14" spans="1:6" s="65" customFormat="1" ht="15.75">
      <c r="A14" s="77" t="s">
        <v>249</v>
      </c>
      <c r="B14" s="78"/>
      <c r="C14" s="79" t="s">
        <v>250</v>
      </c>
      <c r="D14" s="497" t="s">
        <v>728</v>
      </c>
      <c r="E14" s="786"/>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92196</v>
      </c>
      <c r="E21" s="577">
        <f>IF(gen!$E$57&lt;&gt;0,gen!$E$57,0)</f>
        <v>86972</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IF(levypage10!C81&gt;0,levypage10!C81,"  ")</f>
        <v>7</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Fire Maintenance</v>
      </c>
      <c r="B28" s="91" t="str">
        <f>IF(inputPrYr!C27&gt;0,inputPrYr!C27,"  ")</f>
        <v>79-1962</v>
      </c>
      <c r="C28" s="92">
        <f>IF(levypage10!C81&gt;0,levypage10!C81,"  ")</f>
        <v>7</v>
      </c>
      <c r="D28" s="577">
        <f>IF(levypage10!$E$73&lt;&gt;0,levypage10!$E$73,"  ")</f>
        <v>46554</v>
      </c>
      <c r="E28" s="577">
        <f>IF(levypage10!$E$80&lt;&gt;0,levypage10!$E$80,"  ")</f>
        <v>20000</v>
      </c>
      <c r="F28" s="578" t="str">
        <f>IF(AND(levypage10!$E$80=0,$B$47&gt;=0)," ",IF(AND(E28&gt;0,$B$47=0)," ",IF(AND(E28&gt;0,$B$47&gt;0),ROUND(E28/$B$47*1000,3))))</f>
        <v> </v>
      </c>
    </row>
    <row r="29" spans="1:6" s="65" customFormat="1" ht="15.75">
      <c r="A29" s="90" t="str">
        <f>IF(inputPrYr!$B28&gt;"  ",inputPrYr!$B28,"  ")</f>
        <v>Fire Equipment</v>
      </c>
      <c r="B29" s="91" t="str">
        <f>IF(inputPrYr!C28&gt;0,inputPrYr!C28,"  ")</f>
        <v>79-1962</v>
      </c>
      <c r="C29" s="92">
        <f>IF(levypage11!C81&gt;0,levypage11!C81,"  ")</f>
        <v>8</v>
      </c>
      <c r="D29" s="577">
        <f>IF(levypage11!$E$33&lt;&gt;0,levypage11!$E$33,"  ")</f>
        <v>70332</v>
      </c>
      <c r="E29" s="577">
        <f>IF(levypage11!$E$40&lt;&gt;0,levypage11!$E$40,"  ")</f>
        <v>56863</v>
      </c>
      <c r="F29" s="578" t="str">
        <f>IF(AND(levypage11!$E$40=0,$B$47&gt;=0)," ",IF(AND(E29&gt;0,$B$47=0)," ",IF(AND(E29&gt;0,$B$47&gt;0),ROUND(E29/$B$47*1000,3))))</f>
        <v> </v>
      </c>
    </row>
    <row r="30" spans="1:6" s="65" customFormat="1" ht="15.75">
      <c r="A30" s="90" t="str">
        <f>IF(inputPrYr!$B29&gt;"  ",inputPrYr!$B29,"  ")</f>
        <v>  </v>
      </c>
      <c r="B30" s="91" t="str">
        <f>IF(inputPrYr!C29&gt;0,inputPrYr!C29,"  ")</f>
        <v>  </v>
      </c>
      <c r="C30" s="92">
        <f>IF(levypage11!C81&gt;0,levypage11!C81,"  ")</f>
        <v>8</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t="str">
        <f>IF(road!C67&gt;0,road!C67,"  ")</f>
        <v>  </v>
      </c>
      <c r="D38" s="579"/>
      <c r="E38" s="579"/>
      <c r="F38" s="578"/>
    </row>
    <row r="39" spans="1:6" s="65" customFormat="1" ht="16.5" thickBot="1">
      <c r="A39" s="98" t="s">
        <v>256</v>
      </c>
      <c r="B39" s="89"/>
      <c r="C39" s="99" t="s">
        <v>257</v>
      </c>
      <c r="D39" s="580">
        <f>SUM(D21:D38)</f>
        <v>209082</v>
      </c>
      <c r="E39" s="580">
        <f>SUM(E21:E38)</f>
        <v>163835</v>
      </c>
      <c r="F39" s="581">
        <f>IF(SUM(F21:F38)&gt;0,SUM(F21:F38),"")</f>
      </c>
    </row>
    <row r="40" spans="1:3" s="65" customFormat="1" ht="16.5" thickTop="1">
      <c r="A40" s="85" t="s">
        <v>117</v>
      </c>
      <c r="B40" s="81"/>
      <c r="C40" s="96">
        <f>summ!C54</f>
        <v>9</v>
      </c>
    </row>
    <row r="41" spans="1:5" s="65" customFormat="1" ht="15.75">
      <c r="A41" s="80" t="s">
        <v>171</v>
      </c>
      <c r="B41" s="81"/>
      <c r="C41" s="96">
        <f>IF(nhood!C40&gt;0,nhood!C40,"")</f>
      </c>
      <c r="D41" s="101" t="s">
        <v>108</v>
      </c>
      <c r="E41" s="102" t="str">
        <f>IF(E39&gt;computation!J34,"Yes","No")</f>
        <v>Yes</v>
      </c>
    </row>
    <row r="42" spans="1:5" s="65" customFormat="1" ht="15.75">
      <c r="A42" s="85" t="s">
        <v>107</v>
      </c>
      <c r="B42" s="81"/>
      <c r="C42" s="96">
        <f>IF(Resolution!D50&gt;0,Resolution!D50,"")</f>
      </c>
      <c r="D42" s="103"/>
      <c r="E42" s="104"/>
    </row>
    <row r="43" spans="1:6" s="65" customFormat="1" ht="15.75">
      <c r="A43" s="80" t="s">
        <v>50</v>
      </c>
      <c r="B43" s="772" t="s">
        <v>76</v>
      </c>
      <c r="C43" s="773"/>
      <c r="D43" s="106"/>
      <c r="F43" s="72" t="s">
        <v>258</v>
      </c>
    </row>
    <row r="44" spans="1:6" s="65" customFormat="1" ht="15.75">
      <c r="A44" s="80" t="str">
        <f>inputPrYr!D3</f>
        <v>Tonganoxie Township</v>
      </c>
      <c r="B44" s="774"/>
      <c r="C44" s="775"/>
      <c r="D44" s="107"/>
      <c r="F44" s="72"/>
    </row>
    <row r="45" spans="1:6" s="65" customFormat="1" ht="15.75">
      <c r="A45" s="80" t="str">
        <f>inputPrYr!D6</f>
        <v>Tonganoxie City</v>
      </c>
      <c r="B45" s="774"/>
      <c r="C45" s="782"/>
      <c r="D45" s="107"/>
      <c r="F45" s="72"/>
    </row>
    <row r="46" spans="1:6" s="65" customFormat="1" ht="15.75">
      <c r="A46" s="80" t="str">
        <f>inputPrYr!D7</f>
        <v>Union Fire Dist. #9</v>
      </c>
      <c r="B46" s="774"/>
      <c r="C46" s="782"/>
      <c r="D46" s="107"/>
      <c r="F46" s="72"/>
    </row>
    <row r="47" spans="1:6" s="65" customFormat="1" ht="15.75">
      <c r="A47" s="80" t="s">
        <v>182</v>
      </c>
      <c r="B47" s="780">
        <f>SUM(B44:C46)</f>
        <v>0</v>
      </c>
      <c r="C47" s="781"/>
      <c r="D47" s="107"/>
      <c r="F47" s="72"/>
    </row>
    <row r="48" spans="1:6" s="65" customFormat="1" ht="15.75">
      <c r="A48" s="108"/>
      <c r="B48" s="776" t="str">
        <f>CONCATENATE("Nov. 1, ",G1-1," Valuation")</f>
        <v>Nov. 1, 2013 Valuation</v>
      </c>
      <c r="C48" s="777"/>
      <c r="D48" s="106"/>
      <c r="F48" s="72"/>
    </row>
    <row r="49" spans="1:6" s="65" customFormat="1" ht="15.75">
      <c r="A49" s="108" t="s">
        <v>259</v>
      </c>
      <c r="D49" s="71"/>
      <c r="F49" s="72"/>
    </row>
    <row r="50" spans="1:6" s="65" customFormat="1" ht="15.75">
      <c r="A50" s="110" t="s">
        <v>962</v>
      </c>
      <c r="D50" s="106"/>
      <c r="E50" s="71"/>
      <c r="F50" s="71"/>
    </row>
    <row r="51" spans="1:2" s="65" customFormat="1" ht="15.75">
      <c r="A51" s="111" t="s">
        <v>963</v>
      </c>
      <c r="B51" s="70"/>
    </row>
    <row r="52" spans="1:6" s="65" customFormat="1" ht="15.75">
      <c r="A52" s="108" t="s">
        <v>96</v>
      </c>
      <c r="D52" s="71" t="s">
        <v>808</v>
      </c>
      <c r="E52" s="71"/>
      <c r="F52" s="71"/>
    </row>
    <row r="53" spans="1:6" s="65" customFormat="1" ht="15.75">
      <c r="A53" s="110" t="s">
        <v>964</v>
      </c>
      <c r="C53" s="72"/>
      <c r="D53" s="71"/>
      <c r="E53" s="71"/>
      <c r="F53" s="71"/>
    </row>
    <row r="54" spans="1:6" s="65" customFormat="1" ht="15.75">
      <c r="A54" s="111" t="s">
        <v>965</v>
      </c>
      <c r="B54" s="72"/>
      <c r="D54" s="71" t="s">
        <v>808</v>
      </c>
      <c r="E54" s="70"/>
      <c r="F54" s="70"/>
    </row>
    <row r="55" spans="1:7" ht="15.75">
      <c r="A55" s="108" t="s">
        <v>807</v>
      </c>
      <c r="B55" s="70"/>
      <c r="C55" s="65"/>
      <c r="D55" s="71"/>
      <c r="E55" s="71"/>
      <c r="F55" s="71"/>
      <c r="G55" s="112"/>
    </row>
    <row r="56" spans="1:7" ht="15.75">
      <c r="A56" s="110"/>
      <c r="B56" s="70"/>
      <c r="C56" s="65"/>
      <c r="D56" s="71" t="s">
        <v>808</v>
      </c>
      <c r="E56" s="70"/>
      <c r="F56" s="70"/>
      <c r="G56" s="112"/>
    </row>
    <row r="57" spans="1:7" ht="15.75">
      <c r="A57" s="70"/>
      <c r="B57" s="65"/>
      <c r="C57" s="65"/>
      <c r="D57" s="71"/>
      <c r="E57" s="71"/>
      <c r="F57" s="71"/>
      <c r="G57" s="112"/>
    </row>
    <row r="58" spans="1:7" ht="15.75">
      <c r="A58" s="482" t="s">
        <v>100</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261</v>
      </c>
      <c r="B61" s="65"/>
      <c r="C61" s="65"/>
      <c r="D61" s="778" t="s">
        <v>260</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Tonganoxie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83"/>
      <c r="C3" s="783"/>
      <c r="D3" s="783"/>
      <c r="E3" s="783"/>
      <c r="F3" s="783"/>
      <c r="G3" s="783"/>
      <c r="H3" s="783"/>
      <c r="I3" s="783"/>
      <c r="J3" s="783"/>
    </row>
    <row r="4" spans="1:10" ht="15.75">
      <c r="A4" s="65"/>
      <c r="B4" s="65"/>
      <c r="C4" s="65"/>
      <c r="D4" s="65"/>
      <c r="E4" s="783"/>
      <c r="F4" s="783"/>
      <c r="G4" s="783"/>
      <c r="H4" s="64"/>
      <c r="I4" s="65"/>
      <c r="J4" s="262" t="s">
        <v>32</v>
      </c>
    </row>
    <row r="5" spans="1:10" ht="15.75">
      <c r="A5" s="263" t="s">
        <v>33</v>
      </c>
      <c r="B5" s="65" t="str">
        <f>CONCATENATE("Total Tax Levy Amount in ",J1-1,"")</f>
        <v>Total Tax Levy Amount in 2013</v>
      </c>
      <c r="C5" s="65"/>
      <c r="D5" s="65"/>
      <c r="E5" s="190"/>
      <c r="F5" s="190"/>
      <c r="G5" s="190"/>
      <c r="H5" s="264" t="s">
        <v>277</v>
      </c>
      <c r="I5" s="190" t="s">
        <v>264</v>
      </c>
      <c r="J5" s="265">
        <f>inputPrYr!E32</f>
        <v>105945</v>
      </c>
    </row>
    <row r="6" spans="1:10" ht="15.75">
      <c r="A6" s="263" t="s">
        <v>34</v>
      </c>
      <c r="B6" s="65" t="str">
        <f>CONCATENATE("Debt Service Levy in ",J1-1,"")</f>
        <v>Debt Service Levy in 2013</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105945</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277</v>
      </c>
      <c r="G11" s="241">
        <f>inputOth!E16</f>
        <v>528127</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277</v>
      </c>
      <c r="E14" s="241">
        <f>inputOth!E21</f>
        <v>1024159</v>
      </c>
      <c r="F14" s="264"/>
      <c r="G14" s="190"/>
      <c r="H14" s="190"/>
      <c r="I14" s="268"/>
      <c r="J14" s="190"/>
    </row>
    <row r="15" spans="1:10" ht="15.75">
      <c r="A15" s="263"/>
      <c r="B15" s="65" t="s">
        <v>40</v>
      </c>
      <c r="C15" s="65" t="str">
        <f>CONCATENATE("Personal Property ",J1-2,"")</f>
        <v>Personal Property 2012</v>
      </c>
      <c r="D15" s="263" t="s">
        <v>35</v>
      </c>
      <c r="E15" s="267">
        <f>inputOth!E31</f>
        <v>1288174</v>
      </c>
      <c r="F15" s="264"/>
      <c r="G15" s="268"/>
      <c r="H15" s="268"/>
      <c r="I15" s="190"/>
      <c r="J15" s="190"/>
    </row>
    <row r="16" spans="1:10" ht="15.75">
      <c r="A16" s="263"/>
      <c r="B16" s="65" t="s">
        <v>41</v>
      </c>
      <c r="C16" s="65" t="s">
        <v>60</v>
      </c>
      <c r="D16" s="65"/>
      <c r="E16" s="190"/>
      <c r="F16" s="190" t="s">
        <v>277</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277</v>
      </c>
      <c r="G18" s="241">
        <f>inputOth!E26</f>
        <v>8086</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536213</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56881882</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56345669</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0.009516490078412237</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1008</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106953</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106953</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Tonganoxie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30445</v>
      </c>
      <c r="E11" s="233">
        <f>IF(inputOth!D37&gt;0,inputOth!D37,"  ")</f>
        <v>0.529</v>
      </c>
      <c r="F11" s="234"/>
      <c r="G11" s="90">
        <f>IF(inputPrYr!E20=0,0,G25-SUM(G12:G22))</f>
        <v>5034</v>
      </c>
      <c r="H11" s="235"/>
      <c r="I11" s="90">
        <f>IF(inputPrYr!E20=0,0,I27-SUM(I12:I22))</f>
        <v>80</v>
      </c>
      <c r="J11" s="90">
        <f>IF(inputPrYr!E20=0,0,J29-SUM(J12:J22))</f>
        <v>98</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Fire Maintenance</v>
      </c>
      <c r="C18" s="232"/>
      <c r="D18" s="90">
        <f>IF(inputPrYr!E27&gt;0,inputPrYr!E27,"  ")</f>
        <v>20000</v>
      </c>
      <c r="E18" s="233">
        <f>IF(inputOth!D44&gt;0,inputOth!D44,"  ")</f>
        <v>1.055</v>
      </c>
      <c r="F18" s="234"/>
      <c r="G18" s="90">
        <f>IF(inputPrYr!E27=0,0,ROUND(D18*$G$31,0))</f>
        <v>3307</v>
      </c>
      <c r="H18" s="235"/>
      <c r="I18" s="90">
        <f>IF(inputPrYr!$E$27=0,0,ROUND($D$18*$I$33,0))</f>
        <v>52</v>
      </c>
      <c r="J18" s="90">
        <f>IF(inputPrYr!E27=0,0,ROUND($D18*$J$35,0))</f>
        <v>65</v>
      </c>
      <c r="K18" s="211"/>
    </row>
    <row r="19" spans="1:11" ht="15.75">
      <c r="A19" s="65"/>
      <c r="B19" s="90" t="str">
        <f>IF(inputPrYr!$B28&gt;"  ",inputPrYr!$B28,"  ")</f>
        <v>Fire Equipment</v>
      </c>
      <c r="C19" s="232"/>
      <c r="D19" s="90">
        <f>IF(inputPrYr!E28&gt;0,inputPrYr!E28,"  ")</f>
        <v>55500</v>
      </c>
      <c r="E19" s="233">
        <f>IF(inputOth!D45&gt;0,inputOth!D45,"  ")</f>
        <v>2.929</v>
      </c>
      <c r="F19" s="234"/>
      <c r="G19" s="90">
        <f>IF(inputPrYr!E28=0,0,ROUND(D19*$G$31,0))</f>
        <v>9176</v>
      </c>
      <c r="H19" s="235"/>
      <c r="I19" s="90">
        <f>IF(inputPrYr!$E$28=0,0,ROUND($D$19*$I$33,0))</f>
        <v>145</v>
      </c>
      <c r="J19" s="90">
        <f>IF(inputPrYr!E28=0,0,ROUND($D19*$J$35,0))</f>
        <v>179</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105945</v>
      </c>
      <c r="E23" s="238">
        <f>SUM(E11:E22)</f>
        <v>4.513</v>
      </c>
      <c r="F23" s="239"/>
      <c r="G23" s="237">
        <f t="shared" si="0"/>
        <v>17517</v>
      </c>
      <c r="H23" s="237"/>
      <c r="I23" s="237">
        <f t="shared" si="0"/>
        <v>277</v>
      </c>
      <c r="J23" s="237">
        <f t="shared" si="0"/>
        <v>342</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17517</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277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342</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0.1653405068667705</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0.0026145641606493937</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0.003228090046722356</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Tonganoxie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3" t="s">
        <v>118</v>
      </c>
      <c r="B5" s="783"/>
      <c r="C5" s="783"/>
      <c r="D5" s="783"/>
      <c r="E5" s="783"/>
      <c r="F5" s="783"/>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0</v>
      </c>
      <c r="D27" s="261">
        <f>SUM(D10:D26)</f>
        <v>0</v>
      </c>
      <c r="E27" s="261">
        <f>SUM(E10:E26)</f>
        <v>0</v>
      </c>
      <c r="F27" s="192"/>
    </row>
    <row r="28" spans="1:6" ht="15.75">
      <c r="A28" s="192"/>
      <c r="B28" s="88" t="s">
        <v>626</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2013-06-20T16:08:52Z</cp:lastPrinted>
  <dcterms:created xsi:type="dcterms:W3CDTF">1998-08-26T16:30:41Z</dcterms:created>
  <dcterms:modified xsi:type="dcterms:W3CDTF">2013-10-24T21:23:24Z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