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055" windowHeight="11985"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<sst xmlns="http://schemas.openxmlformats.org/spreadsheetml/2006/main" count="1600" uniqueCount="970">
  <si>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</si>
  <si>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</si>
  <si>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</si>
  <si>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</si>
  <si>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</si>
  <si>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</si>
  <si>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</si>
  <si>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</si>
  <si>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</si>
  <si>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</si>
  <si>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</si>
  <si>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</si>
  <si>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</si>
  <si>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</si>
  <si>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</si>
  <si>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</si>
  <si>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</si>
  <si>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</si>
  <si>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</si>
  <si>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</si>
  <si>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</si>
  <si>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</si>
  <si>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</si>
  <si>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</si>
  <si>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</si>
  <si>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</si>
  <si>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</si>
  <si>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</si>
  <si>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</si>
  <si>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</si>
  <si>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</si>
  <si>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</si>
  <si>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</si>
  <si>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</si>
  <si>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</si>
  <si>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</si>
  <si>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</si>
  <si>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</si>
  <si>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</si>
  <si>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</si>
  <si>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</si>
  <si>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</si>
  <si>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</si>
  <si>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</si>
  <si>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</si>
  <si>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</si>
  <si>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</si>
  <si>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</si>
  <si>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</si>
  <si>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</si>
  <si>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</si>
  <si>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</si>
  <si>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</si>
  <si>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</si>
  <si>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</si>
  <si>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</si>
  <si>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</si>
  <si>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</si>
  <si>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</si>
  <si>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</si>
  <si>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</si>
  <si>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</si>
  <si>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</si>
  <si>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</si>
  <si>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</si>
  <si>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</si>
  <si>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</si>
  <si>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</si>
  <si>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</si>
  <si>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</si>
  <si>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</si>
  <si>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</si>
  <si>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</si>
  <si>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</si>
  <si>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</si>
  <si>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</si>
  <si>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</si>
  <si>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</si>
  <si>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</si>
  <si>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</si>
  <si>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</si>
  <si>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</si>
  <si>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</si>
  <si>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</si>
  <si>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</si>
  <si>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</si>
  <si>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</si>
  <si>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</si>
  <si>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</si>
  <si>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</si>
  <si>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</si>
  <si>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</si>
  <si>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</si>
  <si>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</si>
  <si>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</si>
  <si>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</si>
  <si>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</si>
  <si>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</si>
  <si>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</si>
  <si>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</si>
  <si>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</si>
  <si>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</si>
  <si>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</si>
  <si>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</si>
  <si>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</si>
  <si>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</si>
  <si>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</si>
  <si>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</si>
  <si>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</si>
  <si>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</si>
  <si>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</si>
  <si>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</si>
  <si>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</si>
  <si>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</si>
  <si>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</si>
  <si>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</si>
  <si>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</si>
  <si>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</si>
  <si>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</si>
  <si>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</si>
  <si>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</si>
  <si>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</si>
  <si>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</si>
  <si>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</si>
  <si>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</si>
  <si>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</si>
  <si>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</si>
  <si>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</si>
  <si>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</si>
  <si>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</si>
  <si>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</si>
  <si>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</si>
  <si>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</si>
  <si>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</si>
  <si>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</si>
  <si>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</si>
  <si>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</si>
  <si>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</si>
  <si>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</si>
  <si>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</si>
  <si>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</si>
  <si>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</si>
  <si>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</si>
  <si>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</si>
  <si>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</si>
  <si>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</si>
  <si>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</si>
  <si>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</si>
  <si>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</si>
  <si>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</si>
  <si>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</si>
  <si>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</si>
  <si>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</si>
  <si>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</si>
  <si>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</si>
  <si>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</si>
  <si>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</si>
  <si>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</si>
  <si>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</si>
  <si>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</si>
  <si>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</si>
  <si>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</si>
  <si>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</si>
  <si>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</si>
  <si>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</si>
  <si>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</si>
  <si>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</si>
  <si>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</si>
  <si>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</si>
  <si>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</si>
  <si>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</si>
  <si>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</si>
  <si>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</si>
  <si>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</si>
  <si>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</si>
  <si>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</si>
  <si>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</si>
  <si>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</si>
  <si>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</si>
  <si>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</si>
  <si>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</si>
  <si>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</si>
  <si>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</si>
  <si>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</si>
  <si>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</si>
  <si>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</si>
  <si>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</si>
  <si>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</si>
  <si>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</si>
  <si>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</si>
  <si>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</si>
  <si>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</si>
  <si>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</si>
  <si>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</si>
  <si>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</si>
  <si>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</si>
  <si>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</si>
  <si>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</si>
  <si>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</si>
  <si>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</si>
  <si>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</si>
  <si>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</si>
  <si>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</si>
  <si>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</si>
  <si>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</si>
  <si>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</si>
  <si>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</si>
  <si>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</si>
  <si>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</si>
  <si>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</si>
  <si>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</si>
  <si>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</si>
  <si>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</si>
  <si>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</si>
  <si>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</si>
  <si>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</si>
  <si>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</si>
  <si>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</si>
  <si>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</si>
  <si>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</si>
  <si>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</si>
  <si>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</si>
  <si>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</si>
  <si>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</si>
  <si>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</si>
  <si>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</si>
  <si>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</si>
  <si>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</si>
  <si>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</si>
  <si>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</si>
  <si>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</si>
  <si>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</si>
  <si>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</si>
  <si>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</si>
  <si>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</si>
  <si>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</si>
  <si>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</si>
  <si>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</si>
  <si>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</si>
  <si>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</si>
  <si>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</si>
  <si>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</si>
  <si>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</si>
  <si>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</si>
  <si>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</si>
  <si>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</si>
  <si>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</si>
  <si>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</si>
  <si>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</si>
  <si>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</si>
  <si>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</si>
  <si>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</si>
  <si>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</si>
  <si>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</si>
  <si>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</si>
  <si>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</si>
  <si>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</si>
  <si>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</si>
  <si>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</si>
  <si>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</si>
  <si>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</si>
  <si>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</si>
  <si>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</si>
  <si>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</si>
  <si>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</si>
  <si>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</si>
  <si>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</si>
  <si>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</si>
  <si>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</si>
  <si>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</si>
  <si>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</si>
  <si>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</si>
  <si>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</si>
  <si>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</si>
  <si>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</si>
  <si>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</si>
  <si>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</si>
  <si>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</si>
  <si>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</si>
  <si>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</si>
  <si>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</si>
  <si>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</si>
  <si>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</si>
  <si>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</si>
  <si>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</si>
  <si>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</si>
  <si>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</si>
  <si>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</si>
  <si>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</si>
  <si>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</si>
  <si>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</si>
  <si>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</si>
  <si>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</si>
  <si>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</si>
  <si>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</si>
  <si>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</si>
  <si>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</si>
  <si>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</si>
  <si>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</si>
  <si>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</si>
  <si>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</si>
  <si>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</si>
  <si>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</si>
  <si>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</si>
  <si>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</si>
  <si>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</si>
  <si>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</si>
  <si>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</si>
  <si>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</si>
  <si>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</si>
  <si>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</si>
  <si>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</si>
  <si>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</si>
  <si>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</si>
  <si>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</si>
  <si>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</si>
  <si>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</si>
  <si>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</si>
  <si>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</si>
  <si>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</si>
  <si>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</si>
  <si>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</si>
  <si>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</si>
  <si>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</si>
  <si>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</si>
  <si>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</si>
  <si>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</si>
  <si>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</si>
  <si>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</si>
  <si>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</si>
  <si>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</si>
  <si>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</si>
  <si>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</si>
  <si>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</si>
  <si>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</si>
  <si>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</si>
  <si>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</si>
  <si>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</si>
  <si>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</si>
  <si>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</si>
  <si>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</si>
  <si>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</si>
  <si>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</si>
  <si>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</si>
  <si>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</si>
  <si>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</si>
  <si>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</si>
  <si>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</si>
  <si>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</si>
  <si>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</si>
  <si>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</si>
  <si>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</si>
  <si>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</si>
  <si>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</si>
  <si>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</si>
  <si>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</si>
  <si>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</si>
  <si>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</si>
  <si>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</si>
  <si>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</si>
  <si>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</si>
  <si>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</si>
  <si>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</si>
  <si>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</si>
  <si>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</si>
  <si>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</si>
  <si>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</si>
  <si>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</si>
  <si>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</si>
  <si>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</si>
  <si>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</si>
  <si>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</si>
  <si>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</si>
  <si>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</si>
  <si>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</si>
  <si>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</si>
  <si>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</si>
  <si>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</si>
  <si>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</si>
  <si>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</si>
  <si>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</si>
  <si>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</si>
  <si>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</si>
  <si>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</si>
  <si>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</si>
  <si>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</si>
  <si>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</si>
  <si>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</si>
  <si>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</si>
  <si>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</si>
  <si>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</si>
  <si>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</si>
  <si>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</si>
  <si>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</si>
  <si>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</si>
  <si>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</si>
  <si>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</si>
  <si>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</si>
  <si>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</si>
  <si>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</si>
  <si>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</si>
  <si>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</si>
  <si>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</si>
  <si>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</si>
  <si>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</si>
  <si>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</si>
  <si>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</si>
  <si>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</si>
  <si>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</si>
  <si>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</si>
  <si>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</si>
  <si>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</si>
  <si>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</si>
  <si>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</si>
  <si>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</si>
  <si>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</si>
  <si>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</si>
  <si>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</si>
  <si>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</si>
  <si>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</si>
  <si>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</si>
  <si>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</si>
  <si>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</si>
  <si>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</si>
  <si>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</si>
  <si>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</si>
  <si>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</si>
  <si>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</si>
  <si>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</si>
  <si>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</si>
  <si>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</si>
  <si>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</si>
  <si>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</si>
  <si>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</si>
  <si>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</si>
  <si>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</si>
  <si>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</si>
  <si>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</si>
  <si>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</si>
  <si>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</si>
  <si>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</si>
  <si>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</si>
  <si>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</si>
  <si>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</si>
  <si>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</si>
  <si>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</si>
  <si>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</si>
  <si>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</si>
  <si>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</si>
  <si>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</si>
  <si>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</si>
  <si>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</si>
  <si>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</si>
  <si>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</si>
  <si>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</si>
  <si>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</si>
  <si>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</si>
  <si>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</si>
  <si>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</si>
  <si>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</si>
  <si>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</si>
  <si>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</si>
  <si>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</si>
  <si>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</si>
  <si>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</si>
  <si>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</si>
  <si>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</si>
  <si>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</si>
  <si>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</si>
  <si>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</si>
  <si>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</si>
  <si>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</si>
  <si>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</si>
  <si>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</si>
  <si>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</si>
  <si>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</si>
  <si>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</si>
  <si>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</si>
  <si>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</si>
  <si>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</si>
  <si>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</si>
  <si>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</si>
  <si>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</si>
  <si>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</si>
  <si>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</si>
  <si>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</si>
  <si>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</si>
  <si>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</si>
  <si>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</si>
  <si>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</si>
  <si>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</si>
  <si>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</si>
  <si>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</si>
  <si>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</si>
  <si>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</si>
  <si>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</si>
  <si>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</si>
  <si>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</si>
  <si>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</si>
  <si>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</si>
  <si>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</si>
  <si>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</si>
  <si>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</si>
  <si>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</si>
  <si>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</si>
  <si>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</si>
  <si>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</si>
  <si>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</si>
  <si>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</si>
  <si>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</si>
  <si>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</si>
  <si>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</si>
  <si>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</si>
  <si>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</si>
  <si>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</si>
  <si>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</si>
  <si>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</si>
  <si>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</si>
  <si>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</si>
  <si>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</si>
  <si>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</si>
  <si>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</si>
  <si>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</si>
  <si>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</si>
  <si>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</si>
  <si>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</si>
  <si>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</si>
  <si>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</si>
  <si>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</si>
  <si>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</si>
  <si>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</si>
  <si>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</si>
  <si>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</si>
  <si>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</si>
  <si>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</si>
  <si>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</si>
  <si>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</si>
  <si>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</si>
  <si>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</si>
  <si>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</si>
  <si>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</si>
  <si>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</si>
  <si>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</si>
  <si>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</si>
  <si>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</si>
  <si>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</si>
  <si>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</si>
  <si>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</si>
  <si>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</si>
  <si>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</si>
  <si>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</si>
  <si>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</si>
  <si>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</si>
  <si>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</si>
  <si>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</si>
  <si>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</si>
  <si>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</si>
  <si>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</si>
  <si>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</si>
  <si>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</si>
  <si>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</si>
  <si>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</si>
  <si>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</si>
  <si>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</si>
  <si>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</si>
  <si>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</si>
  <si>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</si>
  <si>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</si>
  <si>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</si>
  <si>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</si>
  <si>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</si>
  <si>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</si>
  <si>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</si>
  <si>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</si>
  <si>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</si>
  <si>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</si>
  <si>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</si>
  <si>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</si>
  <si>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</si>
  <si>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</si>
  <si>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</si>
  <si>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</si>
  <si>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</si>
  <si>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</si>
  <si>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</si>
  <si>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</si>
  <si>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</si>
  <si>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</si>
  <si>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</si>
  <si>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</si>
  <si>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</si>
  <si>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</si>
  <si>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</si>
  <si>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</si>
  <si>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</si>
  <si>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</si>
  <si>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</si>
  <si>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</si>
  <si>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</si>
  <si>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</si>
  <si>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</si>
  <si>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</si>
  <si>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</si>
  <si>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</si>
  <si>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</si>
  <si>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</si>
  <si>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</si>
  <si>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</si>
  <si>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</si>
  <si>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</si>
  <si>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</si>
  <si>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</si>
  <si>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</si>
  <si>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</si>
  <si>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</si>
  <si>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</si>
  <si>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</si>
  <si>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</si>
  <si>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</si>
  <si>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</si>
  <si>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</si>
  <si>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</si>
  <si>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</si>
  <si>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</si>
  <si>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</si>
  <si>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</si>
  <si>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</si>
  <si>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</si>
  <si>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</si>
  <si>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</si>
  <si>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</si>
  <si>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</si>
  <si>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</si>
  <si>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</si>
  <si>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</si>
  <si>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</si>
  <si>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</si>
  <si>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</si>
  <si>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</si>
  <si>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</si>
  <si>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</si>
  <si>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</si>
  <si>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</si>
  <si>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</si>
  <si>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</si>
  <si>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</si>
  <si>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</si>
  <si>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</si>
  <si>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</si>
  <si>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</si>
  <si>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</si>
  <si>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</si>
  <si>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</si>
  <si>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</si>
  <si>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</si>
  <si>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</si>
  <si>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</si>
  <si>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</si>
  <si>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</si>
  <si>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</si>
  <si>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</si>
  <si>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</si>
  <si>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</si>
  <si>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</si>
  <si>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</si>
  <si>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</si>
  <si>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</si>
  <si>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</si>
  <si>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</si>
  <si>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</si>
  <si>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</si>
  <si>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</si>
  <si>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</si>
  <si>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</si>
  <si>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</si>
  <si>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</si>
  <si>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</si>
  <si>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</si>
  <si>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</si>
  <si>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</si>
  <si>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</si>
  <si>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</si>
  <si>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</si>
  <si>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</si>
  <si>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</si>
  <si>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</si>
  <si>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</si>
  <si>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</si>
  <si>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</si>
  <si>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</si>
  <si>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</si>
  <si>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</si>
  <si>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</si>
  <si>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</si>
  <si>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</si>
  <si>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</si>
  <si>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</si>
  <si>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</si>
  <si>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</si>
  <si>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</si>
  <si>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</si>
  <si>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</si>
  <si>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</si>
  <si>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</si>
  <si>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</si>
  <si>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</si>
  <si>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</si>
  <si>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</si>
  <si>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</si>
  <si>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</si>
  <si>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</si>
  <si>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</si>
  <si>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</si>
  <si>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</si>
  <si>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</si>
  <si>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</si>
  <si>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</si>
  <si>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</si>
  <si>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</si>
  <si>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</si>
  <si>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</si>
  <si>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</si>
  <si>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</si>
  <si>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</si>
  <si>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</si>
  <si>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</si>
  <si>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</si>
  <si>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</si>
  <si>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</si>
  <si>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</si>
  <si>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</si>
  <si>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</si>
  <si>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</si>
  <si>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</si>
  <si>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</si>
  <si>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</si>
  <si>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</si>
  <si>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</si>
  <si>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</si>
  <si>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</si>
  <si>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</si>
  <si>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</si>
  <si>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</si>
  <si>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</si>
  <si>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</si>
  <si>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</si>
  <si>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</si>
  <si>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</si>
  <si>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</si>
  <si>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</si>
  <si>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</si>
  <si>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</si>
  <si>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</si>
  <si>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</si>
  <si>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</si>
  <si>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</si>
  <si>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</si>
  <si>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</si>
  <si>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</si>
  <si>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</si>
  <si>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</si>
  <si>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</si>
  <si>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</si>
  <si>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</si>
  <si>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</si>
  <si>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</si>
  <si>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</si>
  <si>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</si>
  <si>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</si>
  <si>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</si>
  <si>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</si>
  <si>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</si>
  <si>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</si>
  <si>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</si>
  <si>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</si>
  <si>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</si>
  <si>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</si>
  <si>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</si>
  <si>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</si>
  <si>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</si>
  <si>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</si>
  <si>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</si>
  <si>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</si>
  <si>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</si>
  <si>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</si>
  <si>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</si>
  <si>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</si>
  <si>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</si>
  <si>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</si>
  <si>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</si>
  <si>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</si>
  <si>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</si>
  <si>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</si>
  <si>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</si>
  <si>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</si>
  <si>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</si>
  <si>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</si>
  <si>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</si>
  <si>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</si>
  <si>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</si>
  <si>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</si>
  <si>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</si>
  <si>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</si>
  <si>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</si>
  <si>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</si>
  <si>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</si>
  <si>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</si>
  <si>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</si>
  <si>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</si>
  <si>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</si>
  <si>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</si>
  <si>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</si>
  <si>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</si>
  <si>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</si>
  <si>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</si>
  <si>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</si>
  <si>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</si>
  <si>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</si>
  <si>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</si>
  <si>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</si>
  <si>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</si>
  <si>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</si>
  <si>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</si>
  <si>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</si>
  <si>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</si>
  <si>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</si>
  <si>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</si>
  <si>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</si>
  <si>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</si>
  <si>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</si>
  <si>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</si>
  <si>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</si>
  <si>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</si>
  <si>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</si>
  <si>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</si>
  <si>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</si>
  <si>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</si>
  <si>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</si>
  <si>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</si>
  <si>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</si>
  <si>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</si>
  <si>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</si>
  <si>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</si>
  <si>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</si>
  <si>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</si>
  <si>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</si>
  <si>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</si>
  <si>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</si>
  <si>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</si>
  <si>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</si>
  <si>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</si>
  <si>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</si>
  <si>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</si>
  <si>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</si>
  <si>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</si>
  <si>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</si>
  <si>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</si>
  <si>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</si>
  <si>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</si>
  <si>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</si>
  <si>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</si>
  <si>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</si>
  <si>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</si>
  <si>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</si>
  <si>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</si>
  <si>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</si>
  <si>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</si>
  <si>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</si>
  <si>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</si>
  <si>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</si>
  <si>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</si>
  <si>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</si>
  <si>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</si>
  <si>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</si>
  <si>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</si>
  <si>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</si>
  <si>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</si>
  <si>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</si>
  <si>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</si>
  <si>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</si>
  <si>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</si>
  <si>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</si>
  <si>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</si>
  <si>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</si>
  <si>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</si>
  <si>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</si>
  <si>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</si>
  <si>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</si>
  <si>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</si>
  <si>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</si>
  <si>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</si>
  <si>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</si>
  <si>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</si>
  <si>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</si>
  <si>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</si>
  <si>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</si>
  <si>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</si>
  <si>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</si>
  <si>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</si>
  <si>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</si>
  <si>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</si>
  <si>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</si>
  <si>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</si>
  <si>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</si>
  <si>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</si>
  <si>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</si>
  <si>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</si>
  <si>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</si>
  <si>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</si>
  <si>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</si>
  <si>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</si>
  <si>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</si>
  <si>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</si>
  <si>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</si>
  <si>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</si>
  <si>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</si>
  <si>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</si>
  <si>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</si>
  <si>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</si>
  <si>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</si>
  <si>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</si>
  <si>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</si>
  <si>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</si>
  <si>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</si>
  <si>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</si>
  <si>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</si>
  <si>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</si>
  <si>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</si>
  <si>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</si>
  <si>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</si>
  <si>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</si>
  <si>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</si>
  <si>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</si>
  <si>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</si>
  <si>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</si>
  <si>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</si>
  <si>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</si>
  <si>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</si>
  <si>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</si>
  <si>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</si>
  <si>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</si>
  <si>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Reno Township</t>
  </si>
  <si>
    <t>Leavenworth County</t>
  </si>
  <si>
    <t>Reno Township Fire Station, 12755 238th St., Linwood, KS</t>
  </si>
  <si>
    <t>Reno Township Fire Station, 12755 238th St., Linwod, KS</t>
  </si>
  <si>
    <t>NONE</t>
  </si>
  <si>
    <t>2006 Kenworth Truck</t>
  </si>
  <si>
    <t>4 yrs.</t>
  </si>
  <si>
    <t xml:space="preserve">   (Refinance)</t>
  </si>
  <si>
    <t>2009 F550 Rescue Truck</t>
  </si>
  <si>
    <t>5 yrs.</t>
  </si>
  <si>
    <t>911 Radio Equip. Lease</t>
  </si>
  <si>
    <t>84 mos</t>
  </si>
  <si>
    <t>Brush Truck</t>
  </si>
  <si>
    <t>Refunds</t>
  </si>
  <si>
    <t>Insurance Claims</t>
  </si>
  <si>
    <t>St.of Ks. - Forestry Grant</t>
  </si>
  <si>
    <t>Other Income</t>
  </si>
  <si>
    <t>Lease Payments - Trucks</t>
  </si>
  <si>
    <t>Lease Payment - Radios</t>
  </si>
  <si>
    <t>Other Operating</t>
  </si>
  <si>
    <t>Cemetery Maintenance</t>
  </si>
  <si>
    <t>Fire Department</t>
  </si>
  <si>
    <t>Janet Klasinski</t>
  </si>
  <si>
    <t>Leavenworth County Clerk</t>
  </si>
  <si>
    <t>300 Walnut St.</t>
  </si>
  <si>
    <t>Leavenworth, KS  66048</t>
  </si>
  <si>
    <t>jklasinski@leavenworthcounty.org</t>
  </si>
  <si>
    <t>August 13, 2013</t>
  </si>
  <si>
    <t>7:00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</si>
</sst>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I32" sqref="I32"/>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Reno Township</v>
      </c>
      <c r="C1" s="167"/>
      <c r="D1" s="167"/>
      <c r="E1" s="167"/>
      <c r="F1" s="167"/>
      <c r="G1" s="167"/>
      <c r="H1" s="167"/>
      <c r="I1" s="167"/>
      <c r="J1" s="14"/>
      <c r="K1" s="14"/>
      <c r="L1" s="15">
        <f>inputPrYr!D5</f>
        <v>2014</v>
      </c>
    </row>
    <row r="2" spans="2:12" ht="15.75">
      <c r="B2" s="166" t="str">
        <f>inputPrYr!$D$3</f>
        <v>Leavenworth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945</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945</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t="s">
        <v>946</v>
      </c>
      <c r="C25" s="185">
        <v>41334</v>
      </c>
      <c r="D25" s="204" t="s">
        <v>947</v>
      </c>
      <c r="E25" s="186">
        <v>2</v>
      </c>
      <c r="F25" s="34">
        <v>44599</v>
      </c>
      <c r="G25" s="34">
        <v>44599</v>
      </c>
      <c r="H25" s="34">
        <v>13577</v>
      </c>
      <c r="I25" s="34">
        <v>13577</v>
      </c>
      <c r="J25" s="196"/>
      <c r="K25" s="196"/>
      <c r="L25" s="196"/>
    </row>
    <row r="26" spans="2:12" s="197" customFormat="1" ht="15.75">
      <c r="B26" s="184" t="s">
        <v>948</v>
      </c>
      <c r="C26" s="185"/>
      <c r="D26" s="204"/>
      <c r="E26" s="186"/>
      <c r="F26" s="34"/>
      <c r="G26" s="34"/>
      <c r="H26" s="34"/>
      <c r="I26" s="34"/>
      <c r="J26" s="196"/>
      <c r="K26" s="196"/>
      <c r="L26" s="196"/>
    </row>
    <row r="27" spans="2:12" s="197" customFormat="1" ht="15.75">
      <c r="B27" s="184" t="s">
        <v>949</v>
      </c>
      <c r="C27" s="185">
        <v>41334</v>
      </c>
      <c r="D27" s="204" t="s">
        <v>950</v>
      </c>
      <c r="E27" s="186">
        <v>3</v>
      </c>
      <c r="F27" s="34">
        <v>42339</v>
      </c>
      <c r="G27" s="34">
        <v>42339</v>
      </c>
      <c r="H27" s="34">
        <v>9080</v>
      </c>
      <c r="I27" s="34">
        <v>9080</v>
      </c>
      <c r="J27" s="196"/>
      <c r="K27" s="196"/>
      <c r="L27" s="196"/>
    </row>
    <row r="28" spans="2:12" s="197" customFormat="1" ht="15.75">
      <c r="B28" s="184" t="s">
        <v>948</v>
      </c>
      <c r="C28" s="185"/>
      <c r="D28" s="204"/>
      <c r="E28" s="186"/>
      <c r="F28" s="34"/>
      <c r="G28" s="34"/>
      <c r="H28" s="34"/>
      <c r="I28" s="34"/>
      <c r="J28" s="196"/>
      <c r="K28" s="196"/>
      <c r="L28" s="196"/>
    </row>
    <row r="29" spans="2:12" s="197" customFormat="1" ht="15.75">
      <c r="B29" s="184" t="s">
        <v>951</v>
      </c>
      <c r="C29" s="185">
        <v>40416</v>
      </c>
      <c r="D29" s="204" t="s">
        <v>952</v>
      </c>
      <c r="E29" s="186">
        <v>0</v>
      </c>
      <c r="F29" s="34">
        <v>59665</v>
      </c>
      <c r="G29" s="34">
        <v>42611</v>
      </c>
      <c r="H29" s="34">
        <v>8522</v>
      </c>
      <c r="I29" s="34">
        <v>8522</v>
      </c>
      <c r="J29" s="196"/>
      <c r="K29" s="196"/>
      <c r="L29" s="196"/>
    </row>
    <row r="30" spans="2:12" s="197" customFormat="1" ht="15.75">
      <c r="B30" s="184"/>
      <c r="C30" s="185"/>
      <c r="D30" s="204"/>
      <c r="E30" s="186"/>
      <c r="F30" s="34"/>
      <c r="G30" s="34"/>
      <c r="H30" s="34"/>
      <c r="I30" s="34"/>
      <c r="J30" s="196"/>
      <c r="K30" s="196"/>
      <c r="L30" s="196"/>
    </row>
    <row r="31" spans="2:12" s="197" customFormat="1" ht="15.75">
      <c r="B31" s="184" t="s">
        <v>953</v>
      </c>
      <c r="C31" s="185">
        <v>41395</v>
      </c>
      <c r="D31" s="204" t="s">
        <v>950</v>
      </c>
      <c r="E31" s="186">
        <v>2.789</v>
      </c>
      <c r="F31" s="34">
        <v>51885</v>
      </c>
      <c r="G31" s="34">
        <v>0</v>
      </c>
      <c r="H31" s="34">
        <v>11261</v>
      </c>
      <c r="I31" s="34">
        <v>11261</v>
      </c>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129549</v>
      </c>
      <c r="H36" s="194">
        <f>SUM(H24:H35)</f>
        <v>42440</v>
      </c>
      <c r="I36" s="194">
        <f>SUM(I24:I35)</f>
        <v>42440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Reno Township</v>
      </c>
      <c r="C7" s="556"/>
      <c r="D7" s="556"/>
      <c r="E7" s="556"/>
      <c r="F7" s="556"/>
      <c r="G7" s="556"/>
      <c r="H7" s="556"/>
      <c r="I7" s="556"/>
    </row>
    <row r="8" spans="2:9" ht="15.75">
      <c r="B8" s="557" t="str">
        <f>inputPrYr!D3</f>
        <v>Leavenworth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16167694</v>
      </c>
      <c r="F27" s="556"/>
      <c r="G27" s="561">
        <f>summ!G37</f>
        <v>16210078</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Reno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26834</v>
      </c>
      <c r="D6" s="387">
        <f>C51</f>
        <v>18206</v>
      </c>
      <c r="E6" s="32">
        <f>D51</f>
        <v>11171</v>
      </c>
    </row>
    <row r="7" spans="2:5" ht="15.75">
      <c r="B7" s="27" t="s">
        <v>120</v>
      </c>
      <c r="C7" s="387"/>
      <c r="D7" s="387"/>
      <c r="E7" s="33"/>
    </row>
    <row r="8" spans="2:5" ht="15.75">
      <c r="B8" s="27" t="s">
        <v>16</v>
      </c>
      <c r="C8" s="29">
        <v>66445</v>
      </c>
      <c r="D8" s="387">
        <f>IF(inputPrYr!H15&gt;0,inputPrYr!G16,inputPrYr!E16)</f>
        <v>68676</v>
      </c>
      <c r="E8" s="33" t="s">
        <v>289</v>
      </c>
    </row>
    <row r="9" spans="2:5" ht="15.75">
      <c r="B9" s="27" t="s">
        <v>17</v>
      </c>
      <c r="C9" s="29">
        <v>1465</v>
      </c>
      <c r="D9" s="29">
        <v>0</v>
      </c>
      <c r="E9" s="34"/>
    </row>
    <row r="10" spans="2:5" ht="15.75">
      <c r="B10" s="27" t="s">
        <v>18</v>
      </c>
      <c r="C10" s="29">
        <v>9326</v>
      </c>
      <c r="D10" s="29">
        <v>7434</v>
      </c>
      <c r="E10" s="32">
        <f>mvalloc!G11</f>
        <v>9428</v>
      </c>
    </row>
    <row r="11" spans="2:5" ht="15.75">
      <c r="B11" s="27" t="s">
        <v>19</v>
      </c>
      <c r="C11" s="29">
        <v>110</v>
      </c>
      <c r="D11" s="29">
        <v>131</v>
      </c>
      <c r="E11" s="32">
        <f>mvalloc!I11</f>
        <v>111</v>
      </c>
    </row>
    <row r="12" spans="2:5" ht="15.75">
      <c r="B12" s="35" t="s">
        <v>69</v>
      </c>
      <c r="C12" s="29">
        <v>433</v>
      </c>
      <c r="D12" s="29">
        <v>426</v>
      </c>
      <c r="E12" s="32">
        <f>mvalloc!J11</f>
        <v>301</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t="s">
        <v>954</v>
      </c>
      <c r="C16" s="29">
        <v>89</v>
      </c>
      <c r="D16" s="29"/>
      <c r="E16" s="34"/>
    </row>
    <row r="17" spans="2:5" ht="15.75">
      <c r="B17" s="37" t="s">
        <v>955</v>
      </c>
      <c r="C17" s="29">
        <v>4139</v>
      </c>
      <c r="D17" s="29"/>
      <c r="E17" s="34"/>
    </row>
    <row r="18" spans="2:5" ht="15.75">
      <c r="B18" s="37" t="s">
        <v>956</v>
      </c>
      <c r="C18" s="29">
        <v>3974</v>
      </c>
      <c r="D18" s="29"/>
      <c r="E18" s="34"/>
    </row>
    <row r="19" spans="2:5" ht="15.75">
      <c r="B19" s="38" t="s">
        <v>957</v>
      </c>
      <c r="C19" s="29">
        <v>100</v>
      </c>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40</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86121</v>
      </c>
      <c r="D26" s="389">
        <f>SUM(D8:D24)</f>
        <v>76667</v>
      </c>
      <c r="E26" s="42">
        <f>SUM(E8:E24)</f>
        <v>9840</v>
      </c>
    </row>
    <row r="27" spans="2:5" ht="15.75">
      <c r="B27" s="43" t="s">
        <v>24</v>
      </c>
      <c r="C27" s="389">
        <f>C26+C6</f>
        <v>112955</v>
      </c>
      <c r="D27" s="389">
        <f>D26+D6</f>
        <v>94873</v>
      </c>
      <c r="E27" s="42">
        <f>E26+E6</f>
        <v>21011</v>
      </c>
    </row>
    <row r="28" spans="2:5" ht="15.75">
      <c r="B28" s="27" t="s">
        <v>25</v>
      </c>
      <c r="C28" s="387"/>
      <c r="D28" s="387"/>
      <c r="E28" s="32"/>
    </row>
    <row r="29" spans="2:5" ht="15.75">
      <c r="B29" s="37"/>
      <c r="C29" s="29"/>
      <c r="D29" s="29"/>
      <c r="E29" s="34"/>
    </row>
    <row r="30" spans="2:5" ht="15.75">
      <c r="B30" s="38" t="s">
        <v>101</v>
      </c>
      <c r="C30" s="29">
        <v>1500</v>
      </c>
      <c r="D30" s="29">
        <v>1500</v>
      </c>
      <c r="E30" s="34">
        <v>1500</v>
      </c>
    </row>
    <row r="31" spans="2:5" ht="15.75">
      <c r="B31" s="38" t="s">
        <v>125</v>
      </c>
      <c r="C31" s="29"/>
      <c r="D31" s="29"/>
      <c r="E31" s="34"/>
    </row>
    <row r="32" spans="2:5" ht="15.75">
      <c r="B32" s="38" t="s">
        <v>102</v>
      </c>
      <c r="C32" s="29">
        <v>4001</v>
      </c>
      <c r="D32" s="29">
        <v>850</v>
      </c>
      <c r="E32" s="34">
        <v>850</v>
      </c>
    </row>
    <row r="33" spans="2:5" ht="15.75">
      <c r="B33" s="38" t="s">
        <v>36</v>
      </c>
      <c r="C33" s="29"/>
      <c r="D33" s="29">
        <v>3040</v>
      </c>
      <c r="E33" s="34">
        <v>3040</v>
      </c>
    </row>
    <row r="34" spans="2:5" ht="15.75">
      <c r="B34" s="37" t="s">
        <v>103</v>
      </c>
      <c r="C34" s="29">
        <v>34355</v>
      </c>
      <c r="D34" s="29">
        <v>31095</v>
      </c>
      <c r="E34" s="34">
        <v>19465</v>
      </c>
    </row>
    <row r="35" spans="2:5" ht="15.75">
      <c r="B35" s="37" t="s">
        <v>126</v>
      </c>
      <c r="C35" s="29">
        <v>4023</v>
      </c>
      <c r="D35" s="29">
        <v>3000</v>
      </c>
      <c r="E35" s="34">
        <v>5000</v>
      </c>
    </row>
    <row r="36" spans="2:5" ht="15.75">
      <c r="B36" s="38" t="s">
        <v>128</v>
      </c>
      <c r="C36" s="29">
        <v>7072</v>
      </c>
      <c r="D36" s="29">
        <v>8000</v>
      </c>
      <c r="E36" s="34">
        <v>8000</v>
      </c>
    </row>
    <row r="37" spans="2:5" ht="15.75">
      <c r="B37" s="38" t="s">
        <v>958</v>
      </c>
      <c r="C37" s="29">
        <v>22656</v>
      </c>
      <c r="D37" s="29">
        <v>14178</v>
      </c>
      <c r="E37" s="34">
        <v>33918</v>
      </c>
    </row>
    <row r="38" spans="2:5" ht="15.75">
      <c r="B38" s="37" t="s">
        <v>959</v>
      </c>
      <c r="C38" s="29">
        <v>8522</v>
      </c>
      <c r="D38" s="29">
        <v>8522</v>
      </c>
      <c r="E38" s="34">
        <v>8522</v>
      </c>
    </row>
    <row r="39" spans="2:5" ht="15.75">
      <c r="B39" s="38" t="s">
        <v>960</v>
      </c>
      <c r="C39" s="29">
        <v>12620</v>
      </c>
      <c r="D39" s="29">
        <v>6522</v>
      </c>
      <c r="E39" s="34">
        <v>2060</v>
      </c>
    </row>
    <row r="40" spans="2:5" ht="15.75">
      <c r="B40" s="38" t="s">
        <v>961</v>
      </c>
      <c r="C40" s="29"/>
      <c r="D40" s="29">
        <v>2000</v>
      </c>
      <c r="E40" s="34">
        <v>2500</v>
      </c>
    </row>
    <row r="41" spans="2:10" ht="15.75">
      <c r="B41" s="37" t="s">
        <v>962</v>
      </c>
      <c r="C41" s="29"/>
      <c r="D41" s="29">
        <v>4995</v>
      </c>
      <c r="E41" s="34">
        <v>5000</v>
      </c>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94749</v>
      </c>
      <c r="D50" s="381">
        <f>SUM(D29:D48)</f>
        <v>83702</v>
      </c>
      <c r="E50" s="47">
        <f>SUM(E29:E43,E45,E47:E48)</f>
        <v>89855</v>
      </c>
      <c r="G50" s="484">
        <f>D51</f>
        <v>11171</v>
      </c>
      <c r="H50" s="485" t="str">
        <f>CONCATENATE("",E1-1," Ending Cash Balance (est.)")</f>
        <v>2013 Ending Cash Balance (est.)</v>
      </c>
      <c r="I50" s="486"/>
      <c r="J50" s="257"/>
    </row>
    <row r="51" spans="2:10" ht="15.75">
      <c r="B51" s="27" t="s">
        <v>119</v>
      </c>
      <c r="C51" s="382">
        <f>C27-C50</f>
        <v>18206</v>
      </c>
      <c r="D51" s="382">
        <f>SUM(D27-D50)</f>
        <v>11171</v>
      </c>
      <c r="E51" s="33" t="s">
        <v>289</v>
      </c>
      <c r="G51" s="484">
        <f>E26</f>
        <v>9840</v>
      </c>
      <c r="H51" s="487" t="str">
        <f>CONCATENATE("",E1," Non-AV Receipts (est.)")</f>
        <v>2014 Non-AV Receipts (est.)</v>
      </c>
      <c r="I51" s="486"/>
      <c r="J51" s="257"/>
    </row>
    <row r="52" spans="2:11" ht="15.75">
      <c r="B52" s="48" t="str">
        <f>CONCATENATE("",E1-2,"/",E1-1," Budget Authority Amount:")</f>
        <v>2012/2013 Budget Authority Amount:</v>
      </c>
      <c r="C52" s="132">
        <f>inputOth!B46</f>
        <v>97607</v>
      </c>
      <c r="D52" s="161">
        <f>inputPrYr!D16</f>
        <v>83702</v>
      </c>
      <c r="E52" s="33" t="s">
        <v>289</v>
      </c>
      <c r="F52" s="50"/>
      <c r="G52" s="488">
        <f>IF(D56&gt;0,E55,E57)</f>
        <v>68844</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89855</v>
      </c>
      <c r="H53" s="487" t="str">
        <f>CONCATENATE("Total ",E1," Resources Available")</f>
        <v>Total 2014 Resources Available</v>
      </c>
      <c r="I53" s="486"/>
      <c r="J53" s="257"/>
    </row>
    <row r="54" spans="2:10" ht="15.75">
      <c r="B54" s="395" t="str">
        <f>CONCATENATE(C72,"     ",D72)</f>
        <v>     </v>
      </c>
      <c r="C54" s="803" t="s">
        <v>623</v>
      </c>
      <c r="D54" s="804"/>
      <c r="E54" s="32">
        <f>E50+E53</f>
        <v>89855</v>
      </c>
      <c r="G54" s="489"/>
      <c r="H54" s="487"/>
      <c r="I54" s="487"/>
      <c r="J54" s="257"/>
    </row>
    <row r="55" spans="2:10" ht="15.75">
      <c r="B55" s="395" t="str">
        <f>CONCATENATE(C73,"     ",D73)</f>
        <v>     </v>
      </c>
      <c r="C55" s="60"/>
      <c r="D55" s="52" t="s">
        <v>28</v>
      </c>
      <c r="E55" s="46">
        <f>IF(E54-E27&gt;0,E54-E27,0)</f>
        <v>68844</v>
      </c>
      <c r="G55" s="488">
        <f>ROUND(C50*0.05+C50,0)</f>
        <v>99486</v>
      </c>
      <c r="H55" s="487" t="str">
        <f>CONCATENATE("Less ",E1-2," Expenditures + 5%")</f>
        <v>Less 2012 Expenditures + 5%</v>
      </c>
      <c r="I55" s="486"/>
      <c r="J55" s="257"/>
    </row>
    <row r="56" spans="2:10" ht="15.75">
      <c r="B56" s="52"/>
      <c r="C56" s="399" t="s">
        <v>624</v>
      </c>
      <c r="D56" s="689">
        <f>inputOth!$E$40</f>
        <v>0</v>
      </c>
      <c r="E56" s="32">
        <f>ROUND(IF(D56&gt;0,(E55*D56),0),0)</f>
        <v>0</v>
      </c>
      <c r="G56" s="490">
        <f>G53-G55</f>
        <v>-9631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68844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4.247</v>
      </c>
      <c r="H60" s="485" t="str">
        <f>CONCATENATE("",E1," Fund Mill Rate")</f>
        <v>2014 Fund Mill Rate</v>
      </c>
      <c r="I60" s="691"/>
      <c r="J60" s="703"/>
      <c r="K60" s="16"/>
    </row>
    <row r="61" spans="2:10" ht="15.75">
      <c r="B61" s="52" t="s">
        <v>9</v>
      </c>
      <c r="C61" s="401">
        <f>IF(inputPrYr!D18&gt;0,7,6)</f>
        <v>6</v>
      </c>
      <c r="D61" s="14"/>
      <c r="E61" s="55"/>
      <c r="G61" s="705">
        <f>summ!F18</f>
        <v>4.247</v>
      </c>
      <c r="H61" s="485" t="str">
        <f>CONCATENATE("",E1-1," Fund Mill Rate")</f>
        <v>2013 Fund Mill Rate</v>
      </c>
      <c r="I61" s="691"/>
      <c r="J61" s="703"/>
    </row>
    <row r="62" spans="7:10" ht="15.75">
      <c r="G62" s="706">
        <f>summ!I32</f>
        <v>4.247</v>
      </c>
      <c r="H62" s="485" t="str">
        <f>CONCATENATE("Total ",E1," Mill Rate")</f>
        <v>Total 2014 Mill Rate</v>
      </c>
      <c r="I62" s="691"/>
      <c r="J62" s="703"/>
    </row>
    <row r="63" spans="2:10" ht="15.75">
      <c r="B63" s="12"/>
      <c r="G63" s="705">
        <f>summ!F32</f>
        <v>4.247</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Reno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4.247</v>
      </c>
      <c r="H45" s="632" t="str">
        <f>CONCATENATE("Total ",E1," Mill Rate")</f>
        <v>Total 2014 Mill Rate</v>
      </c>
      <c r="I45" s="656"/>
      <c r="J45" s="657"/>
    </row>
    <row r="46" spans="2:10" ht="15.75">
      <c r="B46" s="594" t="s">
        <v>144</v>
      </c>
      <c r="C46" s="599">
        <v>0</v>
      </c>
      <c r="D46" s="596">
        <f>C74</f>
        <v>0</v>
      </c>
      <c r="E46" s="597">
        <f>D74</f>
        <v>0</v>
      </c>
      <c r="F46" s="635"/>
      <c r="G46" s="659">
        <f>summ!F32</f>
        <v>4.247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4.247</v>
      </c>
      <c r="H85" s="632" t="str">
        <f>CONCATENATE("Total ",E1," Mill Rate")</f>
        <v>Total 2014 Mill Rate</v>
      </c>
      <c r="I85" s="656"/>
      <c r="J85" s="657"/>
    </row>
    <row r="86" spans="7:10" ht="15.75">
      <c r="G86" s="659">
        <f>summ!F32</f>
        <v>4.247</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7">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v>25986</v>
      </c>
      <c r="D55" s="14"/>
      <c r="E55" s="14"/>
      <c r="G55" s="706">
        <f>summ!I32</f>
        <v>4.247</v>
      </c>
      <c r="H55" s="485" t="str">
        <f>CONCATENATE("Total ",E1," Mill Rate")</f>
        <v>Total 2014 Mill Rate</v>
      </c>
      <c r="I55" s="691"/>
      <c r="J55" s="703"/>
    </row>
    <row r="56" spans="2:10" ht="15.75">
      <c r="B56" s="72" t="s">
        <v>33</v>
      </c>
      <c r="C56" s="132"/>
      <c r="D56" s="14"/>
      <c r="E56" s="14"/>
      <c r="G56" s="705">
        <f>summ!F32</f>
        <v>4.247</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v>218</v>
      </c>
      <c r="D61" s="14"/>
      <c r="E61" s="14"/>
    </row>
    <row r="62" spans="2:5" ht="15.75">
      <c r="B62" s="76" t="s">
        <v>21</v>
      </c>
      <c r="C62" s="130"/>
      <c r="D62" s="14"/>
      <c r="E62" s="14"/>
    </row>
    <row r="63" spans="2:5" ht="15.75">
      <c r="B63" s="77" t="s">
        <v>24</v>
      </c>
      <c r="C63" s="132">
        <f>SUM(C55:C62)</f>
        <v>26204</v>
      </c>
      <c r="D63" s="14"/>
      <c r="E63" s="14"/>
    </row>
    <row r="64" spans="2:5" ht="15.75">
      <c r="B64" s="77" t="s">
        <v>26</v>
      </c>
      <c r="C64" s="130"/>
      <c r="D64" s="14"/>
      <c r="E64" s="14"/>
    </row>
    <row r="65" spans="2:5" ht="15.75">
      <c r="B65" s="77" t="s">
        <v>27</v>
      </c>
      <c r="C65" s="397">
        <f>SUM(C63-C64)</f>
        <v>26204</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4.247</v>
      </c>
      <c r="H45" s="632" t="str">
        <f>CONCATENATE("Total ",E1," Mill Rate")</f>
        <v>Total 2014 Mill Rate</v>
      </c>
      <c r="I45" s="656"/>
      <c r="J45" s="657"/>
      <c r="K45" s="582"/>
    </row>
    <row r="46" spans="2:11" ht="15.75">
      <c r="B46" s="27" t="s">
        <v>118</v>
      </c>
      <c r="C46" s="29"/>
      <c r="D46" s="387">
        <f>C74</f>
        <v>0</v>
      </c>
      <c r="E46" s="32">
        <f>D74</f>
        <v>0</v>
      </c>
      <c r="G46" s="659">
        <f>summ!F32</f>
        <v>4.247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4.247</v>
      </c>
      <c r="H85" s="632" t="str">
        <f>CONCATENATE("Total ",E1," Mill Rate")</f>
        <v>Total 2014 Mill Rate</v>
      </c>
      <c r="I85" s="656"/>
      <c r="J85" s="657"/>
      <c r="K85" s="582"/>
    </row>
    <row r="86" spans="7:11" ht="15.75">
      <c r="G86" s="659">
        <f>summ!F32</f>
        <v>4.247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4.247</v>
      </c>
      <c r="H45" s="632" t="str">
        <f>CONCATENATE("Total ",E1," Mill Rate")</f>
        <v>Total 2014 Mill Rate</v>
      </c>
      <c r="I45" s="656"/>
      <c r="J45" s="657"/>
      <c r="K45" s="582"/>
    </row>
    <row r="46" spans="2:11" ht="15.75">
      <c r="B46" s="27" t="s">
        <v>118</v>
      </c>
      <c r="C46" s="29"/>
      <c r="D46" s="387">
        <f>C74</f>
        <v>0</v>
      </c>
      <c r="E46" s="32">
        <f>D74</f>
        <v>0</v>
      </c>
      <c r="G46" s="659">
        <f>summ!F32</f>
        <v>4.247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4.247</v>
      </c>
      <c r="H85" s="632" t="str">
        <f>CONCATENATE("Total ",E1," Mill Rate")</f>
        <v>Total 2014 Mill Rate</v>
      </c>
      <c r="I85" s="656"/>
      <c r="J85" s="657"/>
      <c r="K85" s="582"/>
    </row>
    <row r="86" spans="7:11" ht="15.75">
      <c r="G86" s="659">
        <f>summ!F32</f>
        <v>4.247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4.247</v>
      </c>
      <c r="H45" s="632" t="str">
        <f>CONCATENATE("Total ",E1," Mill Rate")</f>
        <v>Total 2014 Mill Rate</v>
      </c>
      <c r="I45" s="656"/>
      <c r="J45" s="657"/>
      <c r="K45" s="582"/>
    </row>
    <row r="46" spans="2:11" ht="15.75">
      <c r="B46" s="27" t="s">
        <v>118</v>
      </c>
      <c r="C46" s="29"/>
      <c r="D46" s="387">
        <f>C74</f>
        <v>0</v>
      </c>
      <c r="E46" s="32">
        <f>D74</f>
        <v>0</v>
      </c>
      <c r="G46" s="659">
        <f>summ!F32</f>
        <v>4.247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4.247</v>
      </c>
      <c r="H85" s="632" t="str">
        <f>CONCATENATE("Total ",E1," Mill Rate")</f>
        <v>Total 2014 Mill Rate</v>
      </c>
      <c r="I85" s="656"/>
      <c r="J85" s="657"/>
      <c r="K85" s="582"/>
    </row>
    <row r="86" spans="7:11" ht="15.75">
      <c r="G86" s="659">
        <f>summ!F32</f>
        <v>4.247</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Reno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Reno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83702</v>
      </c>
      <c r="E16" s="187">
        <v>68676</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68676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83702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4.214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4.214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68131</v>
      </c>
    </row>
    <row r="55" spans="1:5" ht="15.75">
      <c r="A55" s="327" t="str">
        <f>CONCATENATE("Assessed Valuation (",D5-2," budget column)")</f>
        <v>Assessed Valuation (2012 budget column)</v>
      </c>
      <c r="B55" s="328"/>
      <c r="C55" s="267"/>
      <c r="D55" s="28"/>
      <c r="E55" s="187">
        <v>16165161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v>0</v>
      </c>
      <c r="E59" s="36">
        <v>0</v>
      </c>
    </row>
    <row r="60" spans="1:5" ht="15.75">
      <c r="A60" s="328" t="s">
        <v>166</v>
      </c>
      <c r="B60" s="328"/>
      <c r="C60" s="331"/>
      <c r="D60" s="36">
        <v>0</v>
      </c>
      <c r="E60" s="36">
        <v>0</v>
      </c>
    </row>
    <row r="61" spans="1:5" ht="15.75">
      <c r="A61" s="328" t="s">
        <v>167</v>
      </c>
      <c r="B61" s="328"/>
      <c r="C61" s="331"/>
      <c r="D61" s="36">
        <v>147082</v>
      </c>
      <c r="E61" s="36">
        <v>170278</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2" sqref="D5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Reno Township</v>
      </c>
      <c r="C5" s="766"/>
      <c r="D5" s="766"/>
      <c r="E5" s="766"/>
      <c r="F5" s="766"/>
      <c r="G5" s="766"/>
      <c r="H5" s="766"/>
      <c r="I5" s="766"/>
    </row>
    <row r="6" spans="2:9" ht="15.75">
      <c r="B6" s="766" t="str">
        <f>inputPrYr!D3</f>
        <v>Leavenworth County</v>
      </c>
      <c r="C6" s="766"/>
      <c r="D6" s="766"/>
      <c r="E6" s="766"/>
      <c r="F6" s="766"/>
      <c r="G6" s="766"/>
      <c r="H6" s="766"/>
      <c r="I6" s="766"/>
    </row>
    <row r="7" spans="2:9" ht="15.75">
      <c r="B7" s="764" t="str">
        <f>CONCATENATE("will meet on ",inputBudSum!B8," at ",inputBudSum!B10," at ",inputBudSum!B12," for the purpose of hearing and")</f>
        <v>will meet on August 13, 2013 at 7:00 p.m. at Reno Township Fire Station, 12755 238th St., Linwood,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Reno Township Fire Station, 12755 238th St., Linwod,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94749</v>
      </c>
      <c r="D18" s="524">
        <f>IF(inputPrYr!D42&gt;0,inputPrYr!D42,"  ")</f>
        <v>4.214</v>
      </c>
      <c r="E18" s="32">
        <f>IF(gen!$D$50&lt;&gt;0,gen!$D$50,"  ")</f>
        <v>83702</v>
      </c>
      <c r="F18" s="235">
        <f>IF(inputOth!D17&gt;0,inputOth!D17,"  ")</f>
        <v>4.247</v>
      </c>
      <c r="G18" s="32">
        <f>IF(gen!$E$50&lt;&gt;0,gen!$E$50,"  ")</f>
        <v>89855</v>
      </c>
      <c r="H18" s="32">
        <f>IF(gen!$E$57&lt;&gt;0,gen!$E$57," ")</f>
        <v>68844</v>
      </c>
      <c r="I18" s="526">
        <f>IF(gen!E57&gt;0,ROUND(H18/$G$37*1000,3)," ")</f>
        <v>4.247</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16210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4.247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94749</v>
      </c>
      <c r="D32" s="478">
        <f t="shared" si="0"/>
        <v>4.214</v>
      </c>
      <c r="E32" s="527">
        <f t="shared" si="0"/>
        <v>83702</v>
      </c>
      <c r="F32" s="478">
        <f t="shared" si="0"/>
        <v>4.247</v>
      </c>
      <c r="G32" s="527">
        <f t="shared" si="0"/>
        <v>89855</v>
      </c>
      <c r="H32" s="527">
        <f t="shared" si="0"/>
        <v>68844</v>
      </c>
      <c r="I32" s="530">
        <f t="shared" si="0"/>
        <v>4.247</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94749</v>
      </c>
      <c r="D34" s="14"/>
      <c r="E34" s="528">
        <f>E32-E33</f>
        <v>83702</v>
      </c>
      <c r="F34" s="14"/>
      <c r="G34" s="528">
        <f>G32-G33</f>
        <v>89855</v>
      </c>
      <c r="H34" s="14"/>
      <c r="I34" s="14"/>
      <c r="K34" s="507" t="str">
        <f>CONCATENATE("",I1," Ad Valorem Tax Revenue:")</f>
        <v>2014 Ad Valorem Tax Revenue:</v>
      </c>
      <c r="L34" s="501"/>
      <c r="M34" s="501"/>
      <c r="N34" s="502">
        <f>H32</f>
        <v>68844</v>
      </c>
    </row>
    <row r="35" spans="2:14" ht="16.5" thickTop="1">
      <c r="B35" s="274" t="s">
        <v>46</v>
      </c>
      <c r="C35" s="529">
        <f>inputPrYr!E54</f>
        <v>68131</v>
      </c>
      <c r="D35" s="61"/>
      <c r="E35" s="529">
        <f>inputPrYr!E26</f>
        <v>68676</v>
      </c>
      <c r="F35" s="14"/>
      <c r="G35" s="520" t="s">
        <v>289</v>
      </c>
      <c r="H35" s="14"/>
      <c r="I35" s="14"/>
      <c r="K35" s="507" t="str">
        <f>CONCATENATE("",I1-1," Ad Valorem Tax Revenue:")</f>
        <v>2013 Ad Valorem Tax Revenue:</v>
      </c>
      <c r="L35" s="501"/>
      <c r="M35" s="501"/>
      <c r="N35" s="515">
        <f>ROUND(G37*N27/1000,0)</f>
        <v>68844</v>
      </c>
    </row>
    <row r="36" spans="2:14" ht="15.75">
      <c r="B36" s="274" t="s">
        <v>47</v>
      </c>
      <c r="C36" s="55"/>
      <c r="D36" s="61"/>
      <c r="E36" s="55"/>
      <c r="F36" s="61"/>
      <c r="G36" s="14"/>
      <c r="H36" s="14"/>
      <c r="I36" s="14"/>
      <c r="K36" s="512" t="s">
        <v>717</v>
      </c>
      <c r="L36" s="513"/>
      <c r="M36" s="513"/>
      <c r="N36" s="505">
        <f>N34-N35</f>
        <v>0</v>
      </c>
    </row>
    <row r="37" spans="2:14" ht="15.75">
      <c r="B37" s="274" t="s">
        <v>48</v>
      </c>
      <c r="C37" s="32">
        <f>inputPrYr!E55</f>
        <v>16165161</v>
      </c>
      <c r="D37" s="14"/>
      <c r="E37" s="32">
        <f>inputOth!E29</f>
        <v>16167694</v>
      </c>
      <c r="F37" s="14"/>
      <c r="G37" s="32">
        <f>inputOth!E7</f>
        <v>16210078</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4.247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147082</v>
      </c>
      <c r="D42" s="59"/>
      <c r="E42" s="161">
        <f>inputPrYr!E61</f>
        <v>170278</v>
      </c>
      <c r="F42" s="59"/>
      <c r="G42" s="161">
        <f>'debt-lease'!G36</f>
        <v>129549</v>
      </c>
      <c r="H42" s="14"/>
      <c r="I42" s="14"/>
      <c r="K42" s="507" t="str">
        <f>CONCATENATE("",I1," Ad Valorem Tax:")</f>
        <v>2014 Ad Valorem Tax:</v>
      </c>
      <c r="L42" s="501"/>
      <c r="M42" s="501"/>
      <c r="N42" s="515">
        <f>ROUND(G37*N41/1000,0)</f>
        <v>0</v>
      </c>
    </row>
    <row r="43" spans="2:14" ht="16.5" thickBot="1">
      <c r="B43" s="22" t="s">
        <v>52</v>
      </c>
      <c r="C43" s="162">
        <f>SUM(C40:C42)</f>
        <v>147082</v>
      </c>
      <c r="D43" s="59"/>
      <c r="E43" s="162">
        <f>SUM(E40:E42)</f>
        <v>170278</v>
      </c>
      <c r="F43" s="59"/>
      <c r="G43" s="162">
        <f>SUM(G40:G42)</f>
        <v>129549</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Reno Township</v>
      </c>
      <c r="C46" s="830"/>
      <c r="D46" s="14"/>
      <c r="E46" s="14"/>
      <c r="F46" s="14"/>
      <c r="G46" s="14"/>
      <c r="H46" s="14"/>
      <c r="I46" s="14"/>
    </row>
    <row r="47" spans="2:9" ht="15.75">
      <c r="B47" s="828" t="str">
        <f>inputBudSum!B6</f>
        <v>Reno Township</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Reno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16210078</v>
      </c>
      <c r="E19" s="14"/>
      <c r="F19" s="129"/>
    </row>
    <row r="20" spans="1:6" ht="15.75">
      <c r="A20" s="14"/>
      <c r="B20" s="14"/>
      <c r="C20" s="14"/>
      <c r="D20" s="14"/>
      <c r="E20" s="14"/>
      <c r="F20" s="129"/>
    </row>
    <row r="21" spans="1:6" ht="15.75">
      <c r="A21" s="14"/>
      <c r="B21" s="842" t="s">
        <v>365</v>
      </c>
      <c r="C21" s="842"/>
      <c r="D21" s="137">
        <f>IF(D19&gt;0,(D19*0.001),"")</f>
        <v>16210.078</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Reno Township </v>
      </c>
      <c r="I6">
        <f>CONCATENATE(I7)</f>
      </c>
    </row>
    <row r="7" spans="1:7" ht="15.75">
      <c r="A7" s="848" t="str">
        <f>CONCATENATE("   with respect to financing the ",inputPrYr!D5," annual budget for ",(inputPrYr!D2)," , ",(inputPrYr!D3)," , Kansas.")</f>
        <v>   with respect to financing the 2014 annual budget for Reno Township , Leavenworth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Reno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Reno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Reno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Reno Township of Leavenworth County, Kansas that is our desire to notify the public of increased property taxes to finance the 2014 Reno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Reno Township Board, Leavenworth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Reno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Reno Township</v>
      </c>
      <c r="B1" s="90"/>
      <c r="C1" s="90"/>
      <c r="D1" s="90"/>
      <c r="E1" s="90">
        <f>inputPrYr!D5</f>
        <v>2014</v>
      </c>
    </row>
    <row r="2" spans="1:5" ht="15.75">
      <c r="A2" s="88" t="str">
        <f>inputPrYr!D3</f>
        <v>Leavenworth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16210078</v>
      </c>
    </row>
    <row r="8" spans="1:5" ht="15.75">
      <c r="A8" s="22" t="str">
        <f>CONCATENATE("New Improvements for ",E1-1,"")</f>
        <v>New Improvements for 2013</v>
      </c>
      <c r="B8" s="19"/>
      <c r="C8" s="19"/>
      <c r="D8" s="19"/>
      <c r="E8" s="283">
        <v>29791</v>
      </c>
    </row>
    <row r="9" spans="1:5" ht="15.75">
      <c r="A9" s="22" t="str">
        <f>CONCATENATE("Personal Property excluding oil, gas, and mobile homes - ",E1-1,"")</f>
        <v>Personal Property excluding oil, gas, and mobile homes - 2013</v>
      </c>
      <c r="B9" s="19"/>
      <c r="C9" s="19"/>
      <c r="D9" s="19"/>
      <c r="E9" s="283">
        <v>459848</v>
      </c>
    </row>
    <row r="10" spans="1:5" ht="15.75">
      <c r="A10" s="22" t="str">
        <f>CONCATENATE("Property that has changed in use for ",E1-1,"")</f>
        <v>Property that has changed in use for 2013</v>
      </c>
      <c r="B10" s="19"/>
      <c r="C10" s="19"/>
      <c r="D10" s="19"/>
      <c r="E10" s="283">
        <v>72990</v>
      </c>
    </row>
    <row r="11" spans="1:5" ht="15.75">
      <c r="A11" s="22" t="str">
        <f>CONCATENATE("Personal Property excluding oil, gas, and mobile homes- ",E1-2,"")</f>
        <v>Personal Property excluding oil, gas, and mobile homes- 2012</v>
      </c>
      <c r="B11" s="19"/>
      <c r="C11" s="19"/>
      <c r="D11" s="19"/>
      <c r="E11" s="283">
        <v>398277</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4.247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4.247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16167694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9428</v>
      </c>
    </row>
    <row r="33" spans="1:5" ht="15.75">
      <c r="A33" s="296" t="s">
        <v>276</v>
      </c>
      <c r="B33" s="267"/>
      <c r="C33" s="267"/>
      <c r="D33" s="31"/>
      <c r="E33" s="34">
        <v>111</v>
      </c>
    </row>
    <row r="34" spans="1:5" ht="15.75">
      <c r="A34" s="296" t="s">
        <v>160</v>
      </c>
      <c r="B34" s="267"/>
      <c r="C34" s="267"/>
      <c r="D34" s="31"/>
      <c r="E34" s="34">
        <v>301</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97607</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0" sqref="D20"/>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941</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968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75">
      <c r="A10" s="354" t="s">
        <v>373</v>
      </c>
      <c r="B10" s="356" t="s">
        <v>969</v>
      </c>
      <c r="C10" s="360"/>
      <c r="D10" s="354"/>
      <c r="E10" s="353"/>
      <c r="F10" s="353"/>
      <c r="J10" s="711" t="s">
        <v>849</v>
      </c>
    </row>
    <row r="11" spans="1:10" ht="15.75">
      <c r="A11" s="354"/>
      <c r="B11" s="354"/>
      <c r="C11" s="354"/>
      <c r="D11" s="354"/>
      <c r="E11" s="353"/>
      <c r="F11" s="353"/>
      <c r="J11" s="711" t="s">
        <v>850</v>
      </c>
    </row>
    <row r="12" spans="1:10" ht="15.75">
      <c r="A12" s="354" t="s">
        <v>374</v>
      </c>
      <c r="B12" s="361" t="s">
        <v>943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944</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41489</v>
      </c>
    </row>
    <row r="22" spans="1:7" ht="15.75">
      <c r="A22" s="354" t="s">
        <v>373</v>
      </c>
      <c r="B22" s="354" t="s">
        <v>378</v>
      </c>
      <c r="C22" s="354"/>
      <c r="D22" s="354"/>
      <c r="E22" s="354"/>
      <c r="G22" s="714">
        <f>IF(B8="","",MONTH(G21))</f>
        <v>8</v>
      </c>
    </row>
    <row r="23" spans="1:7" ht="15.75">
      <c r="A23" s="354"/>
      <c r="B23" s="354"/>
      <c r="C23" s="354"/>
      <c r="D23" s="354"/>
      <c r="E23" s="354"/>
      <c r="G23" s="715">
        <f>IF(B8="","",DAY(G21))</f>
        <v>3</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E43" sqref="E4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Leavenworth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Reno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89855</v>
      </c>
      <c r="F21" s="722">
        <f>IF(gen!$E$57&lt;&gt;0,gen!$E$57,0)</f>
        <v>68844</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89855</v>
      </c>
      <c r="F35" s="724">
        <f>SUM(F21:F30)</f>
        <v>68844</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t="s">
        <v>963</v>
      </c>
      <c r="C43" s="275"/>
      <c r="E43" s="726" t="s">
        <v>852</v>
      </c>
      <c r="F43" s="726"/>
      <c r="G43" s="726"/>
    </row>
    <row r="44" spans="2:7" s="14" customFormat="1" ht="15.75">
      <c r="B44" s="276" t="s">
        <v>964</v>
      </c>
      <c r="C44" s="276"/>
      <c r="E44" s="727"/>
      <c r="F44" s="727"/>
      <c r="G44" s="727"/>
    </row>
    <row r="45" spans="2:7" s="14" customFormat="1" ht="15.75">
      <c r="B45" s="274" t="s">
        <v>145</v>
      </c>
      <c r="E45" s="726" t="s">
        <v>852</v>
      </c>
      <c r="F45" s="726"/>
      <c r="G45" s="726"/>
    </row>
    <row r="46" spans="2:7" s="14" customFormat="1" ht="15.75">
      <c r="B46" s="275" t="s">
        <v>965</v>
      </c>
      <c r="C46" s="275"/>
      <c r="D46" s="22"/>
      <c r="E46" s="726"/>
      <c r="F46" s="726"/>
      <c r="G46" s="726"/>
    </row>
    <row r="47" spans="2:7" s="14" customFormat="1" ht="15.75">
      <c r="B47" s="276" t="s">
        <v>966</v>
      </c>
      <c r="C47" s="276"/>
      <c r="D47" s="22"/>
      <c r="E47" s="726" t="s">
        <v>852</v>
      </c>
      <c r="F47" s="728"/>
      <c r="G47" s="728"/>
    </row>
    <row r="48" spans="2:8" ht="15.75">
      <c r="B48" s="274" t="s">
        <v>836</v>
      </c>
      <c r="C48" s="14"/>
      <c r="D48" s="22"/>
      <c r="E48" s="729"/>
      <c r="F48" s="726"/>
      <c r="G48" s="726"/>
      <c r="H48" s="90"/>
    </row>
    <row r="49" spans="2:8" ht="15.75">
      <c r="B49" s="275" t="s">
        <v>967</v>
      </c>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Reno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68676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68676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29791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459848</v>
      </c>
      <c r="F14" s="246"/>
      <c r="G14" s="55"/>
      <c r="H14" s="55"/>
      <c r="I14" s="53"/>
      <c r="J14" s="55"/>
    </row>
    <row r="15" spans="1:10" ht="15.75">
      <c r="A15" s="245"/>
      <c r="B15" s="14" t="s">
        <v>87</v>
      </c>
      <c r="C15" s="14" t="str">
        <f>CONCATENATE("Personal Property ",J1-2,"")</f>
        <v>Personal Property 2012</v>
      </c>
      <c r="D15" s="245" t="s">
        <v>82</v>
      </c>
      <c r="E15" s="249">
        <f>inputOth!E11</f>
        <v>398277</v>
      </c>
      <c r="F15" s="246"/>
      <c r="G15" s="53"/>
      <c r="H15" s="53"/>
      <c r="I15" s="55"/>
      <c r="J15" s="55"/>
    </row>
    <row r="16" spans="1:10" ht="15.75">
      <c r="A16" s="245"/>
      <c r="B16" s="14" t="s">
        <v>88</v>
      </c>
      <c r="C16" s="14" t="s">
        <v>108</v>
      </c>
      <c r="D16" s="14"/>
      <c r="E16" s="55"/>
      <c r="F16" s="55" t="s">
        <v>15</v>
      </c>
      <c r="G16" s="247">
        <f>IF(E14&gt;E15,E14-E15,0)</f>
        <v>61571</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72990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164352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16210078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16045726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0.010242727564960289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703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69379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69379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Reno Township</v>
      </c>
      <c r="C1" s="14"/>
      <c r="D1" s="14"/>
      <c r="E1" s="14"/>
      <c r="F1" s="14"/>
      <c r="G1" s="14"/>
      <c r="H1" s="14"/>
      <c r="I1" s="14"/>
      <c r="J1" s="15">
        <f>inputPrYr!D5</f>
        <v>2014</v>
      </c>
      <c r="K1" s="15"/>
      <c r="L1" s="90"/>
    </row>
    <row r="2" spans="2:12" ht="15.75">
      <c r="B2" s="13" t="str">
        <f>inputPrYr!D3</f>
        <v>Leavenworth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68676</v>
      </c>
      <c r="E11" s="131">
        <f>IF(inputOth!D17&gt;0,inputOth!D17,"  ")</f>
        <v>4.247</v>
      </c>
      <c r="F11" s="717"/>
      <c r="G11" s="161">
        <f>IF(inputPrYr!E16=0,0,G23-SUM(G12:G20))</f>
        <v>9428</v>
      </c>
      <c r="H11" s="718"/>
      <c r="I11" s="161">
        <f>IF(inputPrYr!E16=0,0,I25-SUM(I12:I20))</f>
        <v>111</v>
      </c>
      <c r="J11" s="161">
        <f>IF(inputPrYr!E16=0,0,J27-SUM(J12:J20))</f>
        <v>301</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68676</v>
      </c>
      <c r="E21" s="720">
        <f>SUM(E11:E20)</f>
        <v>4.247</v>
      </c>
      <c r="F21" s="721"/>
      <c r="G21" s="719">
        <f>SUM(G11:G20)</f>
        <v>9428</v>
      </c>
      <c r="H21" s="719"/>
      <c r="I21" s="719">
        <f>SUM(I11:I20)</f>
        <v>111</v>
      </c>
      <c r="J21" s="719">
        <f>SUM(J11:J20)</f>
        <v>301</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9428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111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301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0.13728231114217485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0.0016162851651231871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0.004382899411730444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Reno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2013-07-03T15:34:32Z</cp:lastPrinted>
  <dcterms:created xsi:type="dcterms:W3CDTF">1998-08-26T16:30:41Z</dcterms:created>
  <dcterms:modified xsi:type="dcterms:W3CDTF">2013-07-03T15:38:27Z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