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<sst xmlns="http://schemas.openxmlformats.org/spreadsheetml/2006/main" count="1377" uniqueCount="822">
  <si>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</si>
  <si>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</si>
  <si>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</si>
  <si>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</si>
  <si>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</si>
  <si>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</si>
  <si>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</si>
  <si>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</si>
  <si>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</si>
  <si>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</si>
  <si>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</si>
  <si>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</si>
  <si>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</si>
  <si>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</si>
  <si>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</si>
  <si>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</si>
  <si>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</si>
  <si>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</si>
  <si>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</si>
  <si>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</si>
  <si>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</si>
  <si>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</si>
  <si>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</si>
  <si>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</si>
  <si>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</si>
  <si>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</si>
  <si>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</si>
  <si>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</si>
  <si>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</si>
  <si>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</si>
  <si>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</si>
  <si>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</si>
  <si>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</si>
  <si>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</si>
  <si>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</si>
  <si>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</si>
  <si>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</si>
  <si>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</si>
  <si>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</si>
  <si>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</si>
  <si>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</si>
  <si>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</si>
  <si>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</si>
  <si>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</si>
  <si>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</si>
  <si>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</si>
  <si>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</si>
  <si>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</si>
  <si>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</si>
  <si>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</si>
  <si>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</si>
  <si>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</si>
  <si>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</si>
  <si>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</si>
  <si>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</si>
  <si>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</si>
  <si>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</si>
  <si>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</si>
  <si>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</si>
  <si>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</si>
  <si>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</si>
  <si>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</si>
  <si>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</si>
  <si>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</si>
  <si>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</si>
  <si>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</si>
  <si>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</si>
  <si>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</si>
  <si>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</si>
  <si>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</si>
  <si>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</si>
  <si>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</si>
  <si>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</si>
  <si>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</si>
  <si>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</si>
  <si>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</si>
  <si>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</si>
  <si>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</si>
  <si>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</si>
  <si>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</si>
  <si>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</si>
  <si>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</si>
  <si>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</si>
  <si>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</si>
  <si>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</si>
  <si>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</si>
  <si>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</si>
  <si>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</si>
  <si>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</si>
  <si>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</si>
  <si>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</si>
  <si>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</si>
  <si>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</si>
  <si>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</si>
  <si>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</si>
  <si>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</si>
  <si>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</si>
  <si>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</si>
  <si>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</si>
  <si>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</si>
  <si>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</si>
  <si>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</si>
  <si>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</si>
  <si>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</si>
  <si>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</si>
  <si>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</si>
  <si>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</si>
  <si>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</si>
  <si>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</si>
  <si>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</si>
  <si>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</si>
  <si>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</si>
  <si>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</si>
  <si>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</si>
  <si>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</si>
  <si>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</si>
  <si>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</si>
  <si>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</si>
  <si>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</si>
  <si>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</si>
  <si>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</si>
  <si>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</si>
  <si>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</si>
  <si>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</si>
  <si>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</si>
  <si>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</si>
  <si>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</si>
  <si>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</si>
  <si>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</si>
  <si>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</si>
  <si>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</si>
  <si>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</si>
  <si>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</si>
  <si>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</si>
  <si>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</si>
  <si>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</si>
  <si>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</si>
  <si>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</si>
  <si>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</si>
  <si>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</si>
  <si>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</si>
  <si>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</si>
  <si>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</si>
  <si>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</si>
  <si>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</si>
  <si>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</si>
  <si>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</si>
  <si>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</si>
  <si>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</si>
  <si>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</si>
  <si>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</si>
  <si>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</si>
  <si>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</si>
  <si>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</si>
  <si>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</si>
  <si>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</si>
  <si>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</si>
  <si>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</si>
  <si>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</si>
  <si>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</si>
  <si>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</si>
  <si>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</si>
  <si>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</si>
  <si>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</si>
  <si>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</si>
  <si>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</si>
  <si>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</si>
  <si>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</si>
  <si>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</si>
  <si>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</si>
  <si>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</si>
  <si>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</si>
  <si>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</si>
  <si>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</si>
  <si>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</si>
  <si>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</si>
  <si>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</si>
  <si>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</si>
  <si>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</si>
  <si>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</si>
  <si>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</si>
  <si>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</si>
  <si>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</si>
  <si>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</si>
  <si>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</si>
  <si>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</si>
  <si>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</si>
  <si>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</si>
  <si>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</si>
  <si>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</si>
  <si>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</si>
  <si>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</si>
  <si>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</si>
  <si>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</si>
  <si>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</si>
  <si>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</si>
  <si>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</si>
  <si>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</si>
  <si>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</si>
  <si>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</si>
  <si>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</si>
  <si>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</si>
  <si>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</si>
  <si>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</si>
  <si>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</si>
  <si>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</si>
  <si>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</si>
  <si>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</si>
  <si>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</si>
  <si>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</si>
  <si>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</si>
  <si>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</si>
  <si>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</si>
  <si>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</si>
  <si>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</si>
  <si>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</si>
  <si>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</si>
  <si>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</si>
  <si>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</si>
  <si>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</si>
  <si>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</si>
  <si>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</si>
  <si>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</si>
  <si>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</si>
  <si>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</si>
  <si>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</si>
  <si>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</si>
  <si>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</si>
  <si>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</si>
  <si>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</si>
  <si>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</si>
  <si>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</si>
  <si>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</si>
  <si>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</si>
  <si>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</si>
  <si>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</si>
  <si>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</si>
  <si>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</si>
  <si>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</si>
  <si>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</si>
  <si>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</si>
  <si>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</si>
  <si>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</si>
  <si>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</si>
  <si>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</si>
  <si>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</si>
  <si>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</si>
  <si>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</si>
  <si>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</si>
  <si>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</si>
  <si>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</si>
  <si>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</si>
  <si>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</si>
  <si>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</si>
  <si>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</si>
  <si>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</si>
  <si>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</si>
  <si>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</si>
  <si>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</si>
  <si>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</si>
  <si>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</si>
  <si>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</si>
  <si>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</si>
  <si>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</si>
  <si>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</si>
  <si>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</si>
  <si>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</si>
  <si>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</si>
  <si>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</si>
  <si>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</si>
  <si>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</si>
  <si>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</si>
  <si>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</si>
  <si>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</si>
  <si>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</si>
  <si>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</si>
  <si>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</si>
  <si>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</si>
  <si>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</si>
  <si>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</si>
  <si>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</si>
  <si>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</si>
  <si>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</si>
  <si>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</si>
  <si>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</si>
  <si>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</si>
  <si>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</si>
  <si>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</si>
  <si>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</si>
  <si>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</si>
  <si>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</si>
  <si>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</si>
  <si>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</si>
  <si>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</si>
  <si>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</si>
  <si>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</si>
  <si>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</si>
  <si>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</si>
  <si>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</si>
  <si>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</si>
  <si>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</si>
  <si>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</si>
  <si>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</si>
  <si>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</si>
  <si>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</si>
  <si>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</si>
  <si>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</si>
  <si>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</si>
  <si>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</si>
  <si>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</si>
  <si>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</si>
  <si>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</si>
  <si>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</si>
  <si>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</si>
  <si>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</si>
  <si>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</si>
  <si>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</si>
  <si>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</si>
  <si>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</si>
  <si>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</si>
  <si>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</si>
  <si>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</si>
  <si>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</si>
  <si>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</si>
  <si>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</si>
  <si>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</si>
  <si>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</si>
  <si>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</si>
  <si>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</si>
  <si>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</si>
  <si>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</si>
  <si>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</si>
  <si>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</si>
  <si>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</si>
  <si>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</si>
  <si>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</si>
  <si>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</si>
  <si>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</si>
  <si>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</si>
  <si>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</si>
  <si>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</si>
  <si>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</si>
  <si>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</si>
  <si>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</si>
  <si>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</si>
  <si>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</si>
  <si>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</si>
  <si>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</si>
  <si>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</si>
  <si>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</si>
  <si>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</si>
  <si>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</si>
  <si>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</si>
  <si>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</si>
  <si>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</si>
  <si>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</si>
  <si>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</si>
  <si>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</si>
  <si>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</si>
  <si>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</si>
  <si>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</si>
  <si>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</si>
  <si>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</si>
  <si>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</si>
  <si>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</si>
  <si>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</si>
  <si>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</si>
  <si>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</si>
  <si>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</si>
  <si>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</si>
  <si>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</si>
  <si>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</si>
  <si>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</si>
  <si>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</si>
  <si>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</si>
  <si>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</si>
  <si>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</si>
  <si>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</si>
  <si>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</si>
  <si>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</si>
  <si>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</si>
  <si>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</si>
  <si>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</si>
  <si>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</si>
  <si>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</si>
  <si>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</si>
  <si>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</si>
  <si>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</si>
  <si>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</si>
  <si>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</si>
  <si>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</si>
  <si>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</si>
  <si>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</si>
  <si>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</si>
  <si>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</si>
  <si>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</si>
  <si>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</si>
  <si>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</si>
  <si>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</si>
  <si>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</si>
  <si>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</si>
  <si>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</si>
  <si>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</si>
  <si>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</si>
  <si>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</si>
  <si>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</si>
  <si>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</si>
  <si>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</si>
  <si>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</si>
  <si>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</si>
  <si>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</si>
  <si>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</si>
  <si>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</si>
  <si>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</si>
  <si>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</si>
  <si>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</si>
  <si>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</si>
  <si>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</si>
  <si>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</si>
  <si>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</si>
  <si>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</si>
  <si>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</si>
  <si>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</si>
  <si>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</si>
  <si>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</si>
  <si>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</si>
  <si>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</si>
  <si>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</si>
  <si>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</si>
  <si>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</si>
  <si>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</si>
  <si>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</si>
  <si>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</si>
  <si>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</si>
  <si>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</si>
  <si>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</si>
  <si>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</si>
  <si>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</si>
  <si>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</si>
  <si>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</si>
  <si>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</si>
  <si>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</si>
  <si>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</si>
  <si>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</si>
  <si>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</si>
  <si>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</si>
  <si>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</si>
  <si>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</si>
  <si>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</si>
  <si>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</si>
  <si>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</si>
  <si>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</si>
  <si>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</si>
  <si>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</si>
  <si>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</si>
  <si>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</si>
  <si>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</si>
  <si>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</si>
  <si>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</si>
  <si>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</si>
  <si>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</si>
  <si>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</si>
  <si>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</si>
  <si>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</si>
  <si>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</si>
  <si>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</si>
  <si>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</si>
  <si>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</si>
  <si>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</si>
  <si>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</si>
  <si>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</si>
  <si>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</si>
  <si>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</si>
  <si>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</si>
  <si>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</si>
  <si>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</si>
  <si>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</si>
  <si>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</si>
  <si>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</si>
  <si>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</si>
  <si>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</si>
  <si>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</si>
  <si>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</si>
  <si>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</si>
  <si>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</si>
  <si>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</si>
  <si>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</si>
  <si>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</si>
  <si>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</si>
  <si>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</si>
  <si>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</si>
  <si>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</si>
  <si>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</si>
  <si>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</si>
  <si>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</si>
  <si>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</si>
  <si>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</si>
  <si>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</si>
  <si>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</si>
  <si>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</si>
  <si>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</si>
  <si>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</si>
  <si>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</si>
  <si>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</si>
  <si>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</si>
  <si>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</si>
  <si>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</si>
  <si>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</si>
  <si>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</si>
  <si>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</si>
  <si>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</si>
  <si>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</si>
  <si>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</si>
  <si>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</si>
  <si>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</si>
  <si>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</si>
  <si>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</si>
  <si>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</si>
  <si>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</si>
  <si>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</si>
  <si>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</si>
  <si>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</si>
  <si>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</si>
  <si>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</si>
  <si>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</si>
  <si>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</si>
  <si>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</si>
  <si>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</si>
  <si>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</si>
  <si>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</si>
  <si>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</si>
  <si>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</si>
  <si>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</si>
  <si>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</si>
  <si>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</si>
  <si>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</si>
  <si>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</si>
  <si>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</si>
  <si>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</si>
  <si>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</si>
  <si>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</si>
  <si>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</si>
  <si>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</si>
  <si>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</si>
  <si>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</si>
  <si>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</si>
  <si>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</si>
  <si>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</si>
  <si>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</si>
  <si>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</si>
  <si>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</si>
  <si>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</si>
  <si>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</si>
  <si>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</si>
  <si>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</si>
  <si>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</si>
  <si>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</si>
  <si>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</si>
  <si>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</si>
  <si>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</si>
  <si>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</si>
  <si>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</si>
  <si>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</si>
  <si>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</si>
  <si>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</si>
  <si>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</si>
  <si>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</si>
  <si>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</si>
  <si>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</si>
  <si>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</si>
  <si>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</si>
  <si>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</si>
  <si>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</si>
  <si>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</si>
  <si>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</si>
  <si>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</si>
  <si>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</si>
  <si>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</si>
  <si>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</si>
  <si>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</si>
  <si>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</si>
  <si>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</si>
  <si>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</si>
  <si>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</si>
  <si>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</si>
  <si>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</si>
  <si>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</si>
  <si>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</si>
  <si>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</si>
  <si>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</si>
  <si>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</si>
  <si>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</si>
  <si>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</si>
  <si>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</si>
  <si>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</si>
  <si>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</si>
  <si>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</si>
  <si>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</si>
  <si>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</si>
  <si>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</si>
  <si>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</si>
  <si>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</si>
  <si>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</si>
  <si>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</si>
  <si>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</si>
  <si>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</si>
  <si>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</si>
  <si>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</si>
  <si>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</si>
  <si>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</si>
  <si>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</si>
  <si>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</si>
  <si>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</si>
  <si>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</si>
  <si>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</si>
  <si>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</si>
  <si>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</si>
  <si>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</si>
  <si>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</si>
  <si>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</si>
  <si>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</si>
  <si>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</si>
  <si>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</si>
  <si>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</si>
  <si>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</si>
  <si>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</si>
  <si>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</si>
  <si>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</si>
  <si>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</si>
  <si>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</si>
  <si>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</si>
  <si>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</si>
  <si>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</si>
  <si>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</si>
  <si>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</si>
  <si>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</si>
  <si>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</si>
  <si>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</si>
  <si>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</si>
  <si>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</si>
  <si>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</si>
  <si>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</si>
  <si>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</si>
  <si>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</si>
  <si>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</si>
  <si>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</si>
  <si>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</si>
  <si>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</si>
  <si>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</si>
  <si>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</si>
  <si>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</si>
  <si>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</si>
  <si>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</si>
  <si>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</si>
  <si>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</si>
  <si>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</si>
  <si>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</si>
  <si>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</si>
  <si>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</si>
  <si>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</si>
  <si>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</si>
  <si>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</si>
  <si>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</si>
  <si>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</si>
  <si>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</si>
  <si>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</si>
  <si>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</si>
  <si>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</si>
  <si>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</si>
  <si>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</si>
  <si>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</si>
  <si>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</si>
  <si>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</si>
  <si>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</si>
  <si>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</si>
  <si>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</si>
  <si>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</si>
  <si>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</si>
  <si>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</si>
  <si>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</si>
  <si>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</si>
  <si>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</si>
  <si>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</si>
  <si>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</si>
  <si>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</si>
  <si>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</si>
  <si>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</si>
  <si>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</si>
  <si>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</si>
  <si>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</si>
  <si>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</si>
  <si>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</si>
  <si>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</si>
  <si>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</si>
  <si>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</si>
  <si>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</si>
  <si>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</si>
  <si>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</si>
  <si>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</si>
  <si>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</si>
  <si>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</si>
  <si>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</si>
  <si>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</si>
  <si>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</si>
  <si>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</si>
  <si>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</si>
  <si>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</si>
  <si>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</si>
  <si>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</si>
  <si>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</si>
  <si>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</si>
  <si>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</si>
  <si>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</si>
  <si>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</si>
  <si>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</si>
  <si>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</si>
  <si>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</si>
  <si>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</si>
  <si>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</si>
  <si>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</si>
  <si>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</si>
  <si>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</si>
  <si>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</si>
  <si>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</si>
  <si>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</si>
  <si>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</si>
  <si>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</si>
  <si>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</si>
  <si>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</si>
  <si>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</si>
  <si>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</si>
  <si>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</si>
  <si>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</si>
  <si>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</si>
  <si>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</si>
  <si>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</si>
  <si>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</si>
  <si>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</si>
  <si>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</si>
  <si>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</si>
  <si>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</si>
  <si>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</si>
  <si>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</si>
  <si>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</si>
  <si>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</si>
  <si>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</si>
  <si>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</si>
  <si>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</si>
  <si>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</si>
  <si>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</si>
  <si>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</si>
  <si>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</si>
  <si>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</si>
  <si>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</si>
  <si>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</si>
  <si>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</si>
  <si>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</si>
  <si>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</si>
  <si>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</si>
  <si>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</si>
  <si>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</si>
  <si>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</si>
  <si>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</si>
  <si>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</si>
  <si>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</si>
  <si>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</si>
  <si>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</si>
  <si>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</si>
  <si>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</si>
  <si>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</si>
  <si>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</si>
  <si>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</si>
  <si>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</si>
  <si>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</si>
  <si>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</si>
  <si>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</si>
  <si>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</si>
  <si>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</si>
  <si>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</si>
  <si>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</si>
  <si>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</si>
  <si>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</si>
  <si>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</si>
  <si>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</si>
  <si>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</si>
  <si>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</si>
  <si>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</si>
  <si>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</si>
  <si>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</si>
  <si>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</si>
  <si>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</si>
  <si>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</si>
  <si>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</si>
  <si>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</si>
  <si>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</si>
  <si>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</si>
  <si>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</si>
  <si>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</si>
  <si>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</si>
  <si>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</si>
  <si>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</si>
  <si>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</si>
  <si>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</si>
  <si>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</si>
  <si>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</si>
  <si>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</si>
  <si>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</si>
  <si>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</si>
  <si>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</si>
  <si>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</si>
  <si>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</si>
  <si>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</si>
  <si>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</si>
  <si>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RICHLAND TOWNSHIP</t>
  </si>
  <si>
    <t>Fire Contract - Spivey Cy</t>
  </si>
  <si>
    <t>Cemetery</t>
  </si>
  <si>
    <t>Fuel &amp; Oil</t>
  </si>
  <si>
    <t>Cemetery Plots</t>
  </si>
  <si>
    <t>RESOLUTION NO._______1___________</t>
  </si>
  <si>
    <t>August 14, 2013</t>
  </si>
  <si>
    <t>7:30 P.M.</t>
  </si>
  <si>
    <t>Renee Westerman Residence, 7518  SW 10 Ave, Kingman, KS 67068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</si>
</sst>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RICHLAND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RICHLAND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2697</v>
      </c>
      <c r="D6" s="418">
        <f>C51</f>
        <v>1244.3100000000013</v>
      </c>
      <c r="E6" s="32">
        <f>D51</f>
        <v>681.3100000000013</v>
      </c>
    </row>
    <row r="7" spans="2:5" ht="15.75">
      <c r="B7" s="27" t="s">
        <v>124</v>
      </c>
      <c r="C7" s="418"/>
      <c r="D7" s="418"/>
      <c r="E7" s="33"/>
    </row>
    <row r="8" spans="2:5" ht="15.75">
      <c r="B8" s="27" t="s">
        <v>16</v>
      </c>
      <c r="C8" s="29">
        <f>6465.51-37</f>
        <v>6428.51</v>
      </c>
      <c r="D8" s="418">
        <f>inputPrYr!E16</f>
        <v>8259</v>
      </c>
      <c r="E8" s="33" t="s">
        <v>301</v>
      </c>
    </row>
    <row r="9" spans="2:5" ht="15.75">
      <c r="B9" s="27" t="s">
        <v>17</v>
      </c>
      <c r="C9" s="29">
        <f>46.44+13.6</f>
        <v>60.04</v>
      </c>
      <c r="D9" s="29"/>
      <c r="E9" s="34"/>
    </row>
    <row r="10" spans="2:5" ht="15.75">
      <c r="B10" s="27" t="s">
        <v>18</v>
      </c>
      <c r="C10" s="29">
        <f>337.35-7</f>
        <v>330.35</v>
      </c>
      <c r="D10" s="29">
        <v>184</v>
      </c>
      <c r="E10" s="32">
        <f>mvalloc!G11</f>
        <v>246.57999999999993</v>
      </c>
    </row>
    <row r="11" spans="2:5" ht="15.75">
      <c r="B11" s="27" t="s">
        <v>19</v>
      </c>
      <c r="C11" s="29">
        <f>4.46+2.57</f>
        <v>7.029999999999999</v>
      </c>
      <c r="D11" s="29">
        <v>5</v>
      </c>
      <c r="E11" s="32">
        <f>mvalloc!I11</f>
        <v>5</v>
      </c>
    </row>
    <row r="12" spans="2:5" ht="15.75">
      <c r="B12" s="35" t="s">
        <v>72</v>
      </c>
      <c r="C12" s="29">
        <f>35.5+1.44+0.44</f>
        <v>37.379999999999995</v>
      </c>
      <c r="D12" s="29">
        <v>8</v>
      </c>
      <c r="E12" s="32">
        <f>mvalloc!J11</f>
        <v>48</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817</v>
      </c>
      <c r="C17" s="29">
        <v>320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7183.31</v>
      </c>
      <c r="D26" s="420">
        <f>SUM(D8:D24)</f>
        <v>8456</v>
      </c>
      <c r="E26" s="42">
        <f>SUM(E8:E24)</f>
        <v>299.5799999999999</v>
      </c>
    </row>
    <row r="27" spans="2:5" ht="15.75">
      <c r="B27" s="43" t="s">
        <v>24</v>
      </c>
      <c r="C27" s="420">
        <f>C26+C6</f>
        <v>9880.310000000001</v>
      </c>
      <c r="D27" s="420">
        <f>D26+D6</f>
        <v>9700.310000000001</v>
      </c>
      <c r="E27" s="42">
        <f>E26+E6</f>
        <v>980.8900000000012</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c r="E31" s="34"/>
    </row>
    <row r="32" spans="2:5" ht="15.75">
      <c r="B32" s="38" t="s">
        <v>106</v>
      </c>
      <c r="C32" s="29"/>
      <c r="D32" s="29"/>
      <c r="E32" s="34"/>
    </row>
    <row r="33" spans="2:5" ht="15.75">
      <c r="B33" s="38" t="s">
        <v>36</v>
      </c>
      <c r="C33" s="29">
        <v>114</v>
      </c>
      <c r="D33" s="29"/>
      <c r="E33" s="34"/>
    </row>
    <row r="34" spans="2:5" ht="15.75">
      <c r="B34" s="37" t="s">
        <v>107</v>
      </c>
      <c r="C34" s="29"/>
      <c r="D34" s="29"/>
      <c r="E34" s="34"/>
    </row>
    <row r="35" spans="2:5" ht="15.75">
      <c r="B35" s="37" t="s">
        <v>130</v>
      </c>
      <c r="C35" s="29">
        <v>138</v>
      </c>
      <c r="D35" s="29">
        <v>204</v>
      </c>
      <c r="E35" s="34">
        <v>204</v>
      </c>
    </row>
    <row r="36" spans="2:5" ht="15.75">
      <c r="B36" s="38" t="s">
        <v>132</v>
      </c>
      <c r="C36" s="29"/>
      <c r="D36" s="29"/>
      <c r="E36" s="34"/>
    </row>
    <row r="37" spans="2:5" ht="15.75">
      <c r="B37" s="38" t="s">
        <v>809</v>
      </c>
      <c r="C37" s="29">
        <v>94</v>
      </c>
      <c r="D37" s="29">
        <v>100</v>
      </c>
      <c r="E37" s="34">
        <v>100</v>
      </c>
    </row>
    <row r="38" spans="2:5" ht="15.75">
      <c r="B38" s="37" t="s">
        <v>814</v>
      </c>
      <c r="C38" s="29">
        <v>6500</v>
      </c>
      <c r="D38" s="29">
        <v>5500</v>
      </c>
      <c r="E38" s="34">
        <v>5500</v>
      </c>
    </row>
    <row r="39" spans="2:5" ht="15.75">
      <c r="B39" s="38" t="s">
        <v>815</v>
      </c>
      <c r="C39" s="29">
        <v>1440</v>
      </c>
      <c r="D39" s="29">
        <v>2213</v>
      </c>
      <c r="E39" s="34">
        <v>2110</v>
      </c>
    </row>
    <row r="40" spans="2:5" ht="15.75">
      <c r="B40" s="38" t="s">
        <v>811</v>
      </c>
      <c r="C40" s="29">
        <v>350</v>
      </c>
      <c r="D40" s="29">
        <v>350</v>
      </c>
      <c r="E40" s="34">
        <v>350</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52</v>
      </c>
      <c r="E47" s="46">
        <f>nhood!E6</f>
        <v>155</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8636</v>
      </c>
      <c r="D50" s="412">
        <f>SUM(D29:D48)</f>
        <v>9019</v>
      </c>
      <c r="E50" s="47">
        <f>SUM(E29:E43,E45,E47:E48)</f>
        <v>9019</v>
      </c>
    </row>
    <row r="51" spans="2:5" ht="15.75">
      <c r="B51" s="27" t="s">
        <v>123</v>
      </c>
      <c r="C51" s="413">
        <f>C27-C50</f>
        <v>1244.3100000000013</v>
      </c>
      <c r="D51" s="413">
        <f>SUM(D27-D50)</f>
        <v>681.3100000000013</v>
      </c>
      <c r="E51" s="33" t="s">
        <v>301</v>
      </c>
    </row>
    <row r="52" spans="2:6" ht="15.75">
      <c r="B52" s="48" t="str">
        <f>CONCATENATE("",E1-2,"/",E1-1," Budget Authority Amount:")</f>
        <v>2012/2013 Budget Authority Amount:</v>
      </c>
      <c r="C52" s="143">
        <v>9019</v>
      </c>
      <c r="D52" s="172">
        <f>inputPrYr!D16</f>
        <v>9019</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9019</v>
      </c>
    </row>
    <row r="55" spans="2:5" ht="15.75">
      <c r="B55" s="436" t="str">
        <f>CONCATENATE(C73,"     ",D73)</f>
        <v>     </v>
      </c>
      <c r="C55" s="60"/>
      <c r="D55" s="52" t="s">
        <v>28</v>
      </c>
      <c r="E55" s="46">
        <f>IF(E54-E27&gt;0,E54-E27,0)</f>
        <v>8038.109999999999</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8038.109999999999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RICHLAND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RICHLAND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13683</v>
      </c>
      <c r="D6" s="418">
        <f>C44</f>
        <v>141.0899999999965</v>
      </c>
      <c r="E6" s="32">
        <f>D44</f>
        <v>140.0899999999965</v>
      </c>
    </row>
    <row r="7" spans="2:5" ht="15.75">
      <c r="B7" s="27" t="s">
        <v>124</v>
      </c>
      <c r="C7" s="418"/>
      <c r="D7" s="418"/>
      <c r="E7" s="33"/>
    </row>
    <row r="8" spans="2:5" ht="15.75">
      <c r="B8" s="27" t="s">
        <v>16</v>
      </c>
      <c r="C8" s="29">
        <f>69502.45-440</f>
        <v>69062.45</v>
      </c>
      <c r="D8" s="418">
        <f>inputPrYr!E18</f>
        <v>94172</v>
      </c>
      <c r="E8" s="33" t="s">
        <v>301</v>
      </c>
    </row>
    <row r="9" spans="2:5" ht="15.75">
      <c r="B9" s="27" t="s">
        <v>17</v>
      </c>
      <c r="C9" s="29">
        <v>592</v>
      </c>
      <c r="D9" s="29"/>
      <c r="E9" s="34"/>
    </row>
    <row r="10" spans="2:5" ht="15.75">
      <c r="B10" s="27" t="s">
        <v>18</v>
      </c>
      <c r="C10" s="29">
        <f>2848.83-17</f>
        <v>2831.83</v>
      </c>
      <c r="D10" s="29">
        <v>1975</v>
      </c>
      <c r="E10" s="32">
        <f>mvalloc!G13</f>
        <v>2811</v>
      </c>
    </row>
    <row r="11" spans="2:5" ht="15.75">
      <c r="B11" s="27" t="s">
        <v>19</v>
      </c>
      <c r="C11" s="29">
        <v>17</v>
      </c>
      <c r="D11" s="29">
        <v>52</v>
      </c>
      <c r="E11" s="32">
        <f>mvalloc!I13</f>
        <v>59</v>
      </c>
    </row>
    <row r="12" spans="2:5" ht="15.75">
      <c r="B12" s="27" t="s">
        <v>103</v>
      </c>
      <c r="C12" s="29">
        <f>16.99+418.08+5.21</f>
        <v>440.28</v>
      </c>
      <c r="D12" s="29">
        <v>61</v>
      </c>
      <c r="E12" s="32">
        <f>mvalloc!J13</f>
        <v>511</v>
      </c>
    </row>
    <row r="13" spans="2:5" ht="15.75">
      <c r="B13" s="27" t="s">
        <v>166</v>
      </c>
      <c r="C13" s="29"/>
      <c r="D13" s="29"/>
      <c r="E13" s="32">
        <f>mvalloc!K13</f>
        <v>0</v>
      </c>
    </row>
    <row r="14" spans="2:5" ht="15.75">
      <c r="B14" s="27" t="s">
        <v>104</v>
      </c>
      <c r="C14" s="29">
        <f>837.44+797.12+61.64+834.19+835.14</f>
        <v>3365.53</v>
      </c>
      <c r="D14" s="29">
        <v>3200</v>
      </c>
      <c r="E14" s="32">
        <f>inputOth!E36</f>
        <v>3250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76309.09</v>
      </c>
      <c r="D23" s="420">
        <f>SUM(D8:D21)</f>
        <v>99460</v>
      </c>
      <c r="E23" s="42">
        <f>SUM(E8:E21)</f>
        <v>6631</v>
      </c>
    </row>
    <row r="24" spans="2:5" ht="15.75">
      <c r="B24" s="43" t="s">
        <v>24</v>
      </c>
      <c r="C24" s="420">
        <f>C23+C6</f>
        <v>89992.09</v>
      </c>
      <c r="D24" s="420">
        <f>D23+D6</f>
        <v>99601.09</v>
      </c>
      <c r="E24" s="42">
        <f>E23+E6</f>
        <v>6771.0899999999965</v>
      </c>
    </row>
    <row r="25" spans="2:5" ht="15.75">
      <c r="B25" s="27" t="s">
        <v>25</v>
      </c>
      <c r="C25" s="418"/>
      <c r="D25" s="418"/>
      <c r="E25" s="32"/>
    </row>
    <row r="26" spans="2:5" ht="15.75">
      <c r="B26" s="38" t="s">
        <v>105</v>
      </c>
      <c r="C26" s="29">
        <v>3300</v>
      </c>
      <c r="D26" s="29">
        <v>1440</v>
      </c>
      <c r="E26" s="34">
        <v>1440</v>
      </c>
    </row>
    <row r="27" spans="2:5" ht="15.75">
      <c r="B27" s="38" t="s">
        <v>129</v>
      </c>
      <c r="C27" s="29">
        <v>15093</v>
      </c>
      <c r="D27" s="29">
        <v>22806</v>
      </c>
      <c r="E27" s="34">
        <v>22806</v>
      </c>
    </row>
    <row r="28" spans="2:5" ht="15.75">
      <c r="B28" s="37" t="s">
        <v>106</v>
      </c>
      <c r="C28" s="29">
        <v>3770</v>
      </c>
      <c r="D28" s="29">
        <v>2123</v>
      </c>
      <c r="E28" s="34">
        <v>2123</v>
      </c>
    </row>
    <row r="29" spans="2:5" ht="15.75">
      <c r="B29" s="38" t="s">
        <v>131</v>
      </c>
      <c r="C29" s="29">
        <v>1705</v>
      </c>
      <c r="D29" s="29">
        <v>18295</v>
      </c>
      <c r="E29" s="34">
        <v>18295</v>
      </c>
    </row>
    <row r="30" spans="2:5" ht="15.75">
      <c r="B30" s="38" t="s">
        <v>109</v>
      </c>
      <c r="C30" s="29">
        <v>21510</v>
      </c>
      <c r="D30" s="29">
        <v>17724</v>
      </c>
      <c r="E30" s="34">
        <v>17724</v>
      </c>
    </row>
    <row r="31" spans="2:5" ht="15.75">
      <c r="B31" s="38" t="s">
        <v>107</v>
      </c>
      <c r="C31" s="29">
        <v>3888</v>
      </c>
      <c r="D31" s="29">
        <v>23000</v>
      </c>
      <c r="E31" s="34">
        <v>25000</v>
      </c>
    </row>
    <row r="32" spans="2:5" ht="15.75">
      <c r="B32" s="38" t="s">
        <v>132</v>
      </c>
      <c r="C32" s="29">
        <f>98+3256+3028+73</f>
        <v>6455</v>
      </c>
      <c r="D32" s="29">
        <v>2500</v>
      </c>
      <c r="E32" s="34">
        <v>2500</v>
      </c>
    </row>
    <row r="33" spans="2:5" ht="15.75">
      <c r="B33" s="38" t="s">
        <v>810</v>
      </c>
      <c r="C33" s="29">
        <f>2952+1117</f>
        <v>4069</v>
      </c>
      <c r="D33" s="29">
        <v>2500</v>
      </c>
      <c r="E33" s="34">
        <v>2500</v>
      </c>
    </row>
    <row r="34" spans="2:5" ht="15.75">
      <c r="B34" s="37" t="s">
        <v>816</v>
      </c>
      <c r="C34" s="29">
        <v>8061</v>
      </c>
      <c r="D34" s="29">
        <v>8477</v>
      </c>
      <c r="E34" s="34">
        <v>9122</v>
      </c>
    </row>
    <row r="35" spans="2:5" ht="15.75">
      <c r="B35" s="37"/>
      <c r="C35" s="29"/>
      <c r="D35" s="29"/>
      <c r="E35" s="34"/>
    </row>
    <row r="36" spans="2:5" ht="15.75">
      <c r="B36" s="38"/>
      <c r="C36" s="29"/>
      <c r="D36" s="29"/>
      <c r="E36" s="34" t="s">
        <v>289</v>
      </c>
    </row>
    <row r="37" spans="2:5" ht="15.75">
      <c r="B37" s="38"/>
      <c r="C37" s="29"/>
      <c r="D37" s="29"/>
      <c r="E37" s="34"/>
    </row>
    <row r="38" spans="2:5" ht="15.75">
      <c r="B38" s="27" t="s">
        <v>108</v>
      </c>
      <c r="C38" s="29">
        <v>22000</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596</v>
      </c>
      <c r="E40" s="46">
        <f>nhood!E8</f>
        <v>1858</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89851</v>
      </c>
      <c r="D43" s="420">
        <f>SUM(D26:D38,D40:D41)</f>
        <v>99461</v>
      </c>
      <c r="E43" s="42">
        <f>SUM(E26:E38,E40:E41)</f>
        <v>103368</v>
      </c>
    </row>
    <row r="44" spans="2:5" ht="15.75">
      <c r="B44" s="27" t="s">
        <v>123</v>
      </c>
      <c r="C44" s="413">
        <f>C24-C43</f>
        <v>141.0899999999965</v>
      </c>
      <c r="D44" s="413">
        <f>D24-D43</f>
        <v>140.0899999999965</v>
      </c>
      <c r="E44" s="33" t="s">
        <v>301</v>
      </c>
    </row>
    <row r="45" spans="2:6" ht="15.75">
      <c r="B45" s="48" t="str">
        <f>CONCATENATE("",E1-2,"/",E1-1," Budget Authority Amount:")</f>
        <v>2012/2013 Budget Authority Amount:</v>
      </c>
      <c r="C45" s="143">
        <v>91655</v>
      </c>
      <c r="D45" s="172">
        <f>inputPrYr!D18</f>
        <v>99461</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103368</v>
      </c>
    </row>
    <row r="48" spans="2:5" ht="15.75">
      <c r="B48" s="436" t="str">
        <f>CONCATENATE(C75,"     ",D75)</f>
        <v>     </v>
      </c>
      <c r="C48" s="60"/>
      <c r="D48" s="52" t="s">
        <v>28</v>
      </c>
      <c r="E48" s="46">
        <f>IF(E47-E24&gt;0,E47-E24,0)</f>
        <v>96596.91</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96596.91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97877</v>
      </c>
      <c r="D55" s="14"/>
      <c r="E55" s="14"/>
    </row>
    <row r="56" spans="2:5" ht="15.75">
      <c r="B56" s="83" t="s">
        <v>33</v>
      </c>
      <c r="C56" s="143"/>
      <c r="D56" s="14"/>
      <c r="E56" s="14"/>
    </row>
    <row r="57" spans="2:5" ht="15.75">
      <c r="B57" s="83" t="s">
        <v>34</v>
      </c>
      <c r="C57" s="439">
        <f>C38</f>
        <v>22000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135</v>
      </c>
      <c r="D61" s="14"/>
      <c r="E61" s="14"/>
    </row>
    <row r="62" spans="2:5" ht="15.75">
      <c r="B62" s="87" t="s">
        <v>21</v>
      </c>
      <c r="C62" s="557">
        <v>1000</v>
      </c>
      <c r="D62" s="14"/>
      <c r="E62" s="14"/>
    </row>
    <row r="63" spans="2:5" ht="15.75">
      <c r="B63" s="88" t="s">
        <v>24</v>
      </c>
      <c r="C63" s="143">
        <f>SUM(C55:C62)</f>
        <v>121012</v>
      </c>
      <c r="D63" s="14"/>
      <c r="E63" s="14"/>
    </row>
    <row r="64" spans="2:5" ht="15.75">
      <c r="B64" s="88" t="s">
        <v>26</v>
      </c>
      <c r="C64" s="557">
        <v>32613</v>
      </c>
      <c r="D64" s="14"/>
      <c r="E64" s="14"/>
    </row>
    <row r="65" spans="2:5" ht="15.75">
      <c r="B65" s="88" t="s">
        <v>27</v>
      </c>
      <c r="C65" s="438">
        <f>SUM(C63-C64)</f>
        <v>88399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RICHLAND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RICHLAND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9019</v>
      </c>
      <c r="E16" s="200">
        <v>8259</v>
      </c>
    </row>
    <row r="17" spans="1:5" ht="15.75">
      <c r="A17" s="14"/>
      <c r="B17" s="83" t="s">
        <v>311</v>
      </c>
      <c r="C17" s="172" t="s">
        <v>156</v>
      </c>
      <c r="D17" s="200"/>
      <c r="E17" s="200"/>
    </row>
    <row r="18" spans="1:5" ht="15.75">
      <c r="A18" s="14"/>
      <c r="B18" s="83" t="s">
        <v>286</v>
      </c>
      <c r="C18" s="192" t="s">
        <v>326</v>
      </c>
      <c r="D18" s="200">
        <v>99461</v>
      </c>
      <c r="E18" s="200">
        <v>94172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102431</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108480</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1.823</v>
      </c>
      <c r="E41" s="14"/>
    </row>
    <row r="42" spans="1:5" ht="15.75">
      <c r="A42" s="14"/>
      <c r="B42" s="96" t="str">
        <f t="shared" si="0"/>
        <v>Debt Service</v>
      </c>
      <c r="C42" s="14"/>
      <c r="D42" s="348"/>
      <c r="E42" s="14"/>
    </row>
    <row r="43" spans="1:5" ht="15.75">
      <c r="A43" s="14"/>
      <c r="B43" s="96" t="str">
        <f t="shared" si="0"/>
        <v>Road</v>
      </c>
      <c r="C43" s="14"/>
      <c r="D43" s="348">
        <v>19.598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21.421</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78306</v>
      </c>
    </row>
    <row r="53" spans="1:5" ht="15.75">
      <c r="A53" s="353" t="str">
        <f>CONCATENATE("Assessed Valuation (",D5-2," budget column)")</f>
        <v>Assessed Valuation (2012 budget column)</v>
      </c>
      <c r="B53" s="354"/>
      <c r="C53" s="291"/>
      <c r="D53" s="28"/>
      <c r="E53" s="200">
        <v>3655698</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RICHLAND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14, 2013 at 7:30 P.M. at Renee Westerman Residence, 7518  SW 10 Ave, Kingman, KS 67068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Renee Westerman Residence, 7518  SW 10 Ave, Kingman, KS 67068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8636</v>
      </c>
      <c r="D17" s="549">
        <f>IF(inputPrYr!D41&gt;0,inputPrYr!D41,"  ")</f>
        <v>1.823</v>
      </c>
      <c r="E17" s="32">
        <f>IF(gen!$D$50&lt;&gt;0,gen!$D$50,"  ")</f>
        <v>9019</v>
      </c>
      <c r="F17" s="253">
        <f>IF(inputOth!D17&gt;0,inputOth!D17,"  ")</f>
        <v>2.105</v>
      </c>
      <c r="G17" s="32">
        <f>IF(gen!$E$50&lt;&gt;0,gen!$E$50,"  ")</f>
        <v>9019</v>
      </c>
      <c r="H17" s="32">
        <f>IF(gen!$E$57&lt;&gt;0,gen!$E$57," ")</f>
        <v>8038.109999999999</v>
      </c>
      <c r="I17" s="551">
        <f>IF(gen!E57&gt;0,ROUND(H17/$G$35*1000,3)," ")</f>
        <v>2.006</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89851</v>
      </c>
      <c r="D19" s="549">
        <f>IF(inputPrYr!D43&gt;0,inputPrYr!D43,"  ")</f>
        <v>19.598</v>
      </c>
      <c r="E19" s="32">
        <f>IF(road!$D$43&lt;&gt;0,road!$D$43,"  ")</f>
        <v>99461</v>
      </c>
      <c r="F19" s="253">
        <f>IF(inputOth!D19&gt;0,inputOth!D19,"  ")</f>
        <v>24.006</v>
      </c>
      <c r="G19" s="32">
        <f>IF(road!$E$43&lt;&gt;0,road!$E$43,"  ")</f>
        <v>103368</v>
      </c>
      <c r="H19" s="32">
        <f>IF(road!$E$50&lt;&gt;0,road!$E$50,"  ")</f>
        <v>96596.91</v>
      </c>
      <c r="I19" s="551">
        <f>IF(road!E50&gt;0,ROUND(H19/$G$35*1000,3)," ")</f>
        <v>24.105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32613</v>
      </c>
      <c r="D29" s="531"/>
      <c r="E29" s="550"/>
      <c r="F29" s="531"/>
      <c r="G29" s="550"/>
      <c r="H29" s="550"/>
      <c r="I29" s="531"/>
    </row>
    <row r="30" spans="2:9" ht="15.75">
      <c r="B30" s="83" t="s">
        <v>300</v>
      </c>
      <c r="C30" s="552">
        <f aca="true" t="shared" si="0" ref="C30:I30">SUM(C17:C29)</f>
        <v>131100</v>
      </c>
      <c r="D30" s="529">
        <f t="shared" si="0"/>
        <v>21.421</v>
      </c>
      <c r="E30" s="552">
        <f t="shared" si="0"/>
        <v>108480</v>
      </c>
      <c r="F30" s="529">
        <f t="shared" si="0"/>
        <v>26.111</v>
      </c>
      <c r="G30" s="552">
        <f t="shared" si="0"/>
        <v>112387</v>
      </c>
      <c r="H30" s="552">
        <f t="shared" si="0"/>
        <v>104635.02</v>
      </c>
      <c r="I30" s="555">
        <f t="shared" si="0"/>
        <v>26.111</v>
      </c>
    </row>
    <row r="31" spans="2:9" ht="15.75">
      <c r="B31" s="83" t="s">
        <v>44</v>
      </c>
      <c r="C31" s="32">
        <f>transfer!C29</f>
        <v>22000</v>
      </c>
      <c r="D31" s="14"/>
      <c r="E31" s="32">
        <f>transfer!D29</f>
        <v>0</v>
      </c>
      <c r="F31" s="62"/>
      <c r="G31" s="32">
        <f>transfer!E29</f>
        <v>0</v>
      </c>
      <c r="H31" s="14"/>
      <c r="I31" s="14"/>
    </row>
    <row r="32" spans="2:9" ht="16.5" thickBot="1">
      <c r="B32" s="83" t="s">
        <v>45</v>
      </c>
      <c r="C32" s="553">
        <f>C30-C31</f>
        <v>109100</v>
      </c>
      <c r="D32" s="14"/>
      <c r="E32" s="553">
        <f>E30-E31</f>
        <v>108480</v>
      </c>
      <c r="F32" s="14"/>
      <c r="G32" s="553">
        <f>G30-G31</f>
        <v>112387</v>
      </c>
      <c r="H32" s="14"/>
      <c r="I32" s="14"/>
    </row>
    <row r="33" spans="2:9" ht="16.5" thickTop="1">
      <c r="B33" s="83" t="s">
        <v>46</v>
      </c>
      <c r="C33" s="554">
        <f>inputPrYr!E52</f>
        <v>78306</v>
      </c>
      <c r="D33" s="62"/>
      <c r="E33" s="554">
        <f>inputPrYr!E25</f>
        <v>102431</v>
      </c>
      <c r="F33" s="14"/>
      <c r="G33" s="545" t="s">
        <v>301</v>
      </c>
      <c r="H33" s="14"/>
      <c r="I33" s="14"/>
    </row>
    <row r="34" spans="2:9" ht="15.75">
      <c r="B34" s="279" t="s">
        <v>47</v>
      </c>
      <c r="C34" s="55"/>
      <c r="D34" s="62"/>
      <c r="E34" s="55"/>
      <c r="F34" s="62"/>
      <c r="G34" s="14"/>
      <c r="H34" s="14"/>
      <c r="I34" s="14"/>
    </row>
    <row r="35" spans="2:9" ht="15.75">
      <c r="B35" s="563" t="s">
        <v>48</v>
      </c>
      <c r="C35" s="31">
        <f>inputPrYr!E53</f>
        <v>3655698</v>
      </c>
      <c r="D35" s="14"/>
      <c r="E35" s="32">
        <f>inputOth!E28</f>
        <v>3922856</v>
      </c>
      <c r="F35" s="14"/>
      <c r="G35" s="32">
        <f>inputOth!E7</f>
        <v>4007406</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RICHLAND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8038</v>
      </c>
      <c r="D6" s="142">
        <f aca="true" t="shared" si="0" ref="D6:D14">IF(C6&gt;0,C6/$D$20,"")</f>
        <v>2.005786286690193</v>
      </c>
      <c r="E6" s="143">
        <f aca="true" t="shared" si="1" ref="E6:E14">IF(C6&gt;0,ROUND(D6*$D$24,0),"")</f>
        <v>155</v>
      </c>
      <c r="F6" s="140"/>
    </row>
    <row r="7" spans="1:6" ht="15.75">
      <c r="A7" s="14"/>
      <c r="B7" s="83" t="str">
        <f>inputPrYr!B17</f>
        <v>Debt Service</v>
      </c>
      <c r="C7" s="141"/>
      <c r="D7" s="142">
        <f t="shared" si="0"/>
      </c>
      <c r="E7" s="143">
        <f t="shared" si="1"/>
      </c>
      <c r="F7" s="140"/>
    </row>
    <row r="8" spans="1:6" ht="15.75">
      <c r="A8" s="14"/>
      <c r="B8" s="83" t="str">
        <f>inputPrYr!B18</f>
        <v>Road</v>
      </c>
      <c r="C8" s="141">
        <v>96597</v>
      </c>
      <c r="D8" s="142">
        <f t="shared" si="0"/>
        <v>24.10462029552284</v>
      </c>
      <c r="E8" s="143">
        <f t="shared" si="1"/>
        <v>1858</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104635</v>
      </c>
      <c r="D15" s="146">
        <f>SUM(D6:D14)</f>
        <v>26.11040658221303</v>
      </c>
      <c r="E15" s="145">
        <f>SUM(E6:E14)</f>
        <v>2013</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4007406</v>
      </c>
      <c r="E18" s="14"/>
      <c r="F18" s="140"/>
    </row>
    <row r="19" spans="1:6" ht="15.75">
      <c r="A19" s="14"/>
      <c r="B19" s="14"/>
      <c r="C19" s="14"/>
      <c r="D19" s="14"/>
      <c r="E19" s="14"/>
      <c r="F19" s="140"/>
    </row>
    <row r="20" spans="1:6" ht="15.75">
      <c r="A20" s="14"/>
      <c r="B20" s="629" t="s">
        <v>378</v>
      </c>
      <c r="C20" s="629"/>
      <c r="D20" s="148">
        <f>IF(D18&gt;0,(D18*0.001),"")</f>
        <v>4007.406</v>
      </c>
      <c r="E20" s="14"/>
      <c r="F20" s="140"/>
    </row>
    <row r="21" spans="1:6" ht="15.75">
      <c r="A21" s="14"/>
      <c r="B21" s="48"/>
      <c r="C21" s="48"/>
      <c r="D21" s="149"/>
      <c r="E21" s="14"/>
      <c r="F21" s="140"/>
    </row>
    <row r="22" spans="1:6" ht="15.75">
      <c r="A22" s="627" t="s">
        <v>380</v>
      </c>
      <c r="B22" s="582"/>
      <c r="C22" s="582"/>
      <c r="D22" s="150">
        <f>inputOth!E13</f>
        <v>77074</v>
      </c>
      <c r="E22" s="151"/>
      <c r="F22" s="151"/>
    </row>
    <row r="23" spans="1:6" ht="15.75">
      <c r="A23" s="151"/>
      <c r="B23" s="151"/>
      <c r="C23" s="151"/>
      <c r="D23" s="152"/>
      <c r="E23" s="151"/>
      <c r="F23" s="151"/>
    </row>
    <row r="24" spans="1:6" ht="15.75">
      <c r="A24" s="151"/>
      <c r="B24" s="627" t="s">
        <v>381</v>
      </c>
      <c r="C24" s="628"/>
      <c r="D24" s="153">
        <f>IF(D22&gt;0,(D22*0.001),"")</f>
        <v>77.074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818</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RICHLAND TOWNSHIP </v>
      </c>
      <c r="I6">
        <f>CONCATENATE(I7)</f>
      </c>
    </row>
    <row r="7" spans="1:7" ht="15.75">
      <c r="A7" s="635" t="str">
        <f>CONCATENATE("   with respect to financing the ",inputPrYr!D5," annual budget for ",(inputPrYr!D2)," , ",(inputPrYr!D3)," , Kansas.")</f>
        <v>   with respect to financing the 2014 annual budget for RICHLAND TOWNSHIP , KINGMAN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RICHLAND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RICHLAND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RICHLAND TOWNSHIP of KINGMAN COUNTY, Kansas that is our desire to notify the public of increased property taxes to finance the 2014 RICHLAND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____18_____ day of ___July________, ",inputPrYr!D5-1," by the ",(inputPrYr!D2)," Board, ",(inputPrYr!D3),", Kansas.")</f>
        <v>Adopted this ____18_____ day of ___July________, 2013 by the RICHLAND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RICHLAND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8</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RICHLAND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4007406</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27969</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24748</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77074</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2.105</v>
      </c>
      <c r="E17" s="312"/>
    </row>
    <row r="18" spans="1:5" ht="15.75">
      <c r="A18" s="82" t="str">
        <f>inputPrYr!B17</f>
        <v>Debt Service</v>
      </c>
      <c r="B18" s="291"/>
      <c r="C18" s="19"/>
      <c r="D18" s="315"/>
      <c r="E18" s="312"/>
    </row>
    <row r="19" spans="1:5" ht="15.75">
      <c r="A19" s="82" t="str">
        <f>inputPrYr!B18</f>
        <v>Road</v>
      </c>
      <c r="B19" s="291"/>
      <c r="C19" s="19"/>
      <c r="D19" s="315">
        <v>24.006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26.111</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3922856</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3057.58</v>
      </c>
    </row>
    <row r="32" spans="1:5" ht="15.75">
      <c r="A32" s="322" t="s">
        <v>288</v>
      </c>
      <c r="B32" s="291"/>
      <c r="C32" s="291"/>
      <c r="D32" s="31"/>
      <c r="E32" s="34">
        <v>64</v>
      </c>
    </row>
    <row r="33" spans="1:5" ht="15.75">
      <c r="A33" s="322" t="s">
        <v>164</v>
      </c>
      <c r="B33" s="291"/>
      <c r="C33" s="291"/>
      <c r="D33" s="31"/>
      <c r="E33" s="34">
        <v>559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3250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5" sqref="E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820</v>
      </c>
      <c r="C7" s="390"/>
      <c r="D7" s="384"/>
      <c r="E7" s="383"/>
      <c r="F7" s="383"/>
    </row>
    <row r="8" spans="1:6" ht="15.75">
      <c r="A8" s="384"/>
      <c r="B8" s="384"/>
      <c r="C8" s="384"/>
      <c r="D8" s="384"/>
      <c r="E8" s="383"/>
      <c r="F8" s="383"/>
    </row>
    <row r="9" spans="1:6" ht="15.75">
      <c r="A9" s="384" t="s">
        <v>387</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821</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RICHLAND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9019</v>
      </c>
      <c r="F20" s="172">
        <f>IF(gen!$E$57&lt;&gt;0,gen!$E$57,0)</f>
        <v>8038.109999999999</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103368</v>
      </c>
      <c r="F22" s="172">
        <f>IF(road!$E$50&lt;&gt;0,road!$E$50,"  ")</f>
        <v>96596.91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112387</v>
      </c>
      <c r="F33" s="292">
        <f>SUM(F20:F28)</f>
        <v>104635.02</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RICHLAND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102431</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102431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27969</v>
      </c>
      <c r="F14" s="270"/>
      <c r="G14" s="55"/>
      <c r="H14" s="55"/>
      <c r="I14" s="53"/>
      <c r="J14" s="55"/>
    </row>
    <row r="15" spans="1:10" ht="15.75">
      <c r="A15" s="269"/>
      <c r="B15" s="14" t="s">
        <v>91</v>
      </c>
      <c r="C15" s="14" t="str">
        <f>CONCATENATE("Personal Property ",J1-2,"")</f>
        <v>Personal Property 2012</v>
      </c>
      <c r="D15" s="269" t="s">
        <v>86</v>
      </c>
      <c r="E15" s="273">
        <f>inputOth!E11</f>
        <v>24748</v>
      </c>
      <c r="F15" s="270"/>
      <c r="G15" s="53"/>
      <c r="H15" s="53"/>
      <c r="I15" s="55"/>
      <c r="J15" s="55"/>
    </row>
    <row r="16" spans="1:10" ht="15.75">
      <c r="A16" s="269"/>
      <c r="B16" s="14" t="s">
        <v>92</v>
      </c>
      <c r="C16" s="14" t="s">
        <v>112</v>
      </c>
      <c r="D16" s="14"/>
      <c r="E16" s="55"/>
      <c r="F16" s="55" t="s">
        <v>15</v>
      </c>
      <c r="G16" s="271">
        <f>IF(E14&gt;E15,E14-E15,0)</f>
        <v>3221</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3221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4007406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4004185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0.0008044083877243434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102513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102513</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RICHLAND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8259</v>
      </c>
      <c r="E11" s="253">
        <f>IF(inputOth!D17&gt;0,inputOth!D17,"  ")</f>
        <v>2.105</v>
      </c>
      <c r="F11" s="254"/>
      <c r="G11" s="96">
        <f>IF(inputPrYr!E16=0,0,G22-SUM(G12:G19))</f>
        <v>246.57999999999993</v>
      </c>
      <c r="H11" s="255"/>
      <c r="I11" s="96">
        <f>IF(inputPrYr!E16=0,0,I24-SUM(I12:I19))</f>
        <v>5</v>
      </c>
      <c r="J11" s="96">
        <v>48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94172</v>
      </c>
      <c r="E13" s="253">
        <f>IF(inputOth!D19&gt;0,inputOth!D19,"  ")</f>
        <v>24.006</v>
      </c>
      <c r="F13" s="254"/>
      <c r="G13" s="96">
        <f>IF(inputPrYr!E18=0,0,ROUND(D13*$G$30,0))</f>
        <v>2811</v>
      </c>
      <c r="H13" s="255"/>
      <c r="I13" s="96">
        <f>IF(inputPrYr!$E$18=0,0,ROUND($D$13*$I$32,0))</f>
        <v>59</v>
      </c>
      <c r="J13" s="96">
        <v>511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102431</v>
      </c>
      <c r="E20" s="259">
        <f>SUM(E11:E19)</f>
        <v>26.111</v>
      </c>
      <c r="F20" s="260"/>
      <c r="G20" s="258">
        <f>SUM(G11:G19)</f>
        <v>3057.58</v>
      </c>
      <c r="H20" s="258"/>
      <c r="I20" s="258">
        <f>SUM(I11:I19)</f>
        <v>64</v>
      </c>
      <c r="J20" s="258">
        <f>SUM(J11:J19)</f>
        <v>559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3057.58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559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0.029850143023108237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0.0006248108482783532</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0.0054573322529312416</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RICHLAND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22000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22000</v>
      </c>
      <c r="D27" s="245">
        <f>SUM(D10:D26)</f>
        <v>0</v>
      </c>
      <c r="E27" s="245">
        <f>SUM(E10:E26)</f>
        <v>0</v>
      </c>
      <c r="F27" s="140"/>
    </row>
    <row r="28" spans="1:6" ht="15.75">
      <c r="A28" s="140"/>
      <c r="B28" s="244" t="s">
        <v>632</v>
      </c>
      <c r="C28" s="140"/>
      <c r="D28" s="241"/>
      <c r="E28" s="241"/>
      <c r="F28" s="140"/>
    </row>
    <row r="29" spans="1:6" ht="15.75">
      <c r="A29" s="140"/>
      <c r="B29" s="192" t="s">
        <v>183</v>
      </c>
      <c r="C29" s="246">
        <f>C27</f>
        <v>22000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2013-07-18T16:39:58Z</cp:lastPrinted>
  <dcterms:created xsi:type="dcterms:W3CDTF">1998-08-26T16:30:41Z</dcterms:created>
  <dcterms:modified xsi:type="dcterms:W3CDTF">2013-07-18T17:46:11Z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