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<sst xmlns="http://schemas.openxmlformats.org/spreadsheetml/2006/main" count="1499" uniqueCount="829">
  <si>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</si>
  <si>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</si>
  <si>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</si>
  <si>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</si>
  <si>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</si>
  <si>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</si>
  <si>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</si>
  <si>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</si>
  <si>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</si>
  <si>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</si>
  <si>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</si>
  <si>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</si>
  <si>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</si>
  <si>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</si>
  <si>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</si>
  <si>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</si>
  <si>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</si>
  <si>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</si>
  <si>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</si>
  <si>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</si>
  <si>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</si>
  <si>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</si>
  <si>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</si>
  <si>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</si>
  <si>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</si>
  <si>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</si>
  <si>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</si>
  <si>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</si>
  <si>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</si>
  <si>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</si>
  <si>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</si>
  <si>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</si>
  <si>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</si>
  <si>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</si>
  <si>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</si>
  <si>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</si>
  <si>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</si>
  <si>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</si>
  <si>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</si>
  <si>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</si>
  <si>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</si>
  <si>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</si>
  <si>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</si>
  <si>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</si>
  <si>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</si>
  <si>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</si>
  <si>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</si>
  <si>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</si>
  <si>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</si>
  <si>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</si>
  <si>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</si>
  <si>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</si>
  <si>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</si>
  <si>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</si>
  <si>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</si>
  <si>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</si>
  <si>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</si>
  <si>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</si>
  <si>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</si>
  <si>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</si>
  <si>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</si>
  <si>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</si>
  <si>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</si>
  <si>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</si>
  <si>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</si>
  <si>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</si>
  <si>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</si>
  <si>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</si>
  <si>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</si>
  <si>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</si>
  <si>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</si>
  <si>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</si>
  <si>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</si>
  <si>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</si>
  <si>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</si>
  <si>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</si>
  <si>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</si>
  <si>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</si>
  <si>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</si>
  <si>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</si>
  <si>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</si>
  <si>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</si>
  <si>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</si>
  <si>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</si>
  <si>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</si>
  <si>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</si>
  <si>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</si>
  <si>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</si>
  <si>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</si>
  <si>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</si>
  <si>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</si>
  <si>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</si>
  <si>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</si>
  <si>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</si>
  <si>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</si>
  <si>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</si>
  <si>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</si>
  <si>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</si>
  <si>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</si>
  <si>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</si>
  <si>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</si>
  <si>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</si>
  <si>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</si>
  <si>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</si>
  <si>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</si>
  <si>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</si>
  <si>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</si>
  <si>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</si>
  <si>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</si>
  <si>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</si>
  <si>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</si>
  <si>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</si>
  <si>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</si>
  <si>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</si>
  <si>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</si>
  <si>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</si>
  <si>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</si>
  <si>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</si>
  <si>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</si>
  <si>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</si>
  <si>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</si>
  <si>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</si>
  <si>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</si>
  <si>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</si>
  <si>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</si>
  <si>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</si>
  <si>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</si>
  <si>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</si>
  <si>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</si>
  <si>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</si>
  <si>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</si>
  <si>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</si>
  <si>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</si>
  <si>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</si>
  <si>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</si>
  <si>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</si>
  <si>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</si>
  <si>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</si>
  <si>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</si>
  <si>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</si>
  <si>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</si>
  <si>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</si>
  <si>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</si>
  <si>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</si>
  <si>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</si>
  <si>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</si>
  <si>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</si>
  <si>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</si>
  <si>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</si>
  <si>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</si>
  <si>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</si>
  <si>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</si>
  <si>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</si>
  <si>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</si>
  <si>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</si>
  <si>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</si>
  <si>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</si>
  <si>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</si>
  <si>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</si>
  <si>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</si>
  <si>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</si>
  <si>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</si>
  <si>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</si>
  <si>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</si>
  <si>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</si>
  <si>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</si>
  <si>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</si>
  <si>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</si>
  <si>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</si>
  <si>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</si>
  <si>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</si>
  <si>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</si>
  <si>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</si>
  <si>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</si>
  <si>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</si>
  <si>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</si>
  <si>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</si>
  <si>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</si>
  <si>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</si>
  <si>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</si>
  <si>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</si>
  <si>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</si>
  <si>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</si>
  <si>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</si>
  <si>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</si>
  <si>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</si>
  <si>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</si>
  <si>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</si>
  <si>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</si>
  <si>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</si>
  <si>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</si>
  <si>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</si>
  <si>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</si>
  <si>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</si>
  <si>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</si>
  <si>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</si>
  <si>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</si>
  <si>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</si>
  <si>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</si>
  <si>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</si>
  <si>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</si>
  <si>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</si>
  <si>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</si>
  <si>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</si>
  <si>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</si>
  <si>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</si>
  <si>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</si>
  <si>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</si>
  <si>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</si>
  <si>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</si>
  <si>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</si>
  <si>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</si>
  <si>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</si>
  <si>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</si>
  <si>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</si>
  <si>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</si>
  <si>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</si>
  <si>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</si>
  <si>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</si>
  <si>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</si>
  <si>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</si>
  <si>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</si>
  <si>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</si>
  <si>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</si>
  <si>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</si>
  <si>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</si>
  <si>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</si>
  <si>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</si>
  <si>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</si>
  <si>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</si>
  <si>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</si>
  <si>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</si>
  <si>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</si>
  <si>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</si>
  <si>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</si>
  <si>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</si>
  <si>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</si>
  <si>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</si>
  <si>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</si>
  <si>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</si>
  <si>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</si>
  <si>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</si>
  <si>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</si>
  <si>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</si>
  <si>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</si>
  <si>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</si>
  <si>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</si>
  <si>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</si>
  <si>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</si>
  <si>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</si>
  <si>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</si>
  <si>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</si>
  <si>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</si>
  <si>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</si>
  <si>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</si>
  <si>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</si>
  <si>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</si>
  <si>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</si>
  <si>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</si>
  <si>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</si>
  <si>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</si>
  <si>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</si>
  <si>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</si>
  <si>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</si>
  <si>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</si>
  <si>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</si>
  <si>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</si>
  <si>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</si>
  <si>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</si>
  <si>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</si>
  <si>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</si>
  <si>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</si>
  <si>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</si>
  <si>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</si>
  <si>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</si>
  <si>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</si>
  <si>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</si>
  <si>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</si>
  <si>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</si>
  <si>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</si>
  <si>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</si>
  <si>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</si>
  <si>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</si>
  <si>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</si>
  <si>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</si>
  <si>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</si>
  <si>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</si>
  <si>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</si>
  <si>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</si>
  <si>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</si>
  <si>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</si>
  <si>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</si>
  <si>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</si>
  <si>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</si>
  <si>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</si>
  <si>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</si>
  <si>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</si>
  <si>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</si>
  <si>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</si>
  <si>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</si>
  <si>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</si>
  <si>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</si>
  <si>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</si>
  <si>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</si>
  <si>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</si>
  <si>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</si>
  <si>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</si>
  <si>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</si>
  <si>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</si>
  <si>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</si>
  <si>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</si>
  <si>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</si>
  <si>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</si>
  <si>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</si>
  <si>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</si>
  <si>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</si>
  <si>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</si>
  <si>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</si>
  <si>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</si>
  <si>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</si>
  <si>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</si>
  <si>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</si>
  <si>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</si>
  <si>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</si>
  <si>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</si>
  <si>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</si>
  <si>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</si>
  <si>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</si>
  <si>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</si>
  <si>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</si>
  <si>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</si>
  <si>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</si>
  <si>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</si>
  <si>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</si>
  <si>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</si>
  <si>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</si>
  <si>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</si>
  <si>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</si>
  <si>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</si>
  <si>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</si>
  <si>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</si>
  <si>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</si>
  <si>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</si>
  <si>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</si>
  <si>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</si>
  <si>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</si>
  <si>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</si>
  <si>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</si>
  <si>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</si>
  <si>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</si>
  <si>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</si>
  <si>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</si>
  <si>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</si>
  <si>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</si>
  <si>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</si>
  <si>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</si>
  <si>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</si>
  <si>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</si>
  <si>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</si>
  <si>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</si>
  <si>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</si>
  <si>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</si>
  <si>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</si>
  <si>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</si>
  <si>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</si>
  <si>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</si>
  <si>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</si>
  <si>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</si>
  <si>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</si>
  <si>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</si>
  <si>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</si>
  <si>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</si>
  <si>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</si>
  <si>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</si>
  <si>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</si>
  <si>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</si>
  <si>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</si>
  <si>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</si>
  <si>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</si>
  <si>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</si>
  <si>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</si>
  <si>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</si>
  <si>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</si>
  <si>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</si>
  <si>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</si>
  <si>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</si>
  <si>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</si>
  <si>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</si>
  <si>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</si>
  <si>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</si>
  <si>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</si>
  <si>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</si>
  <si>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</si>
  <si>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</si>
  <si>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</si>
  <si>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</si>
  <si>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</si>
  <si>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</si>
  <si>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</si>
  <si>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</si>
  <si>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</si>
  <si>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</si>
  <si>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</si>
  <si>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</si>
  <si>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</si>
  <si>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</si>
  <si>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</si>
  <si>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</si>
  <si>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</si>
  <si>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</si>
  <si>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</si>
  <si>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</si>
  <si>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</si>
  <si>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</si>
  <si>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</si>
  <si>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</si>
  <si>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</si>
  <si>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</si>
  <si>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</si>
  <si>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</si>
  <si>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</si>
  <si>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</si>
  <si>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</si>
  <si>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</si>
  <si>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</si>
  <si>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</si>
  <si>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</si>
  <si>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</si>
  <si>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</si>
  <si>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</si>
  <si>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</si>
  <si>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</si>
  <si>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</si>
  <si>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</si>
  <si>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</si>
  <si>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</si>
  <si>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</si>
  <si>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</si>
  <si>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</si>
  <si>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</si>
  <si>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</si>
  <si>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</si>
  <si>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</si>
  <si>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</si>
  <si>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</si>
  <si>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</si>
  <si>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</si>
  <si>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</si>
  <si>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</si>
  <si>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</si>
  <si>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</si>
  <si>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</si>
  <si>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</si>
  <si>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</si>
  <si>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</si>
  <si>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</si>
  <si>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</si>
  <si>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</si>
  <si>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</si>
  <si>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</si>
  <si>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</si>
  <si>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</si>
  <si>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</si>
  <si>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</si>
  <si>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</si>
  <si>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</si>
  <si>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</si>
  <si>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</si>
  <si>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</si>
  <si>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</si>
  <si>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</si>
  <si>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</si>
  <si>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</si>
  <si>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</si>
  <si>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</si>
  <si>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</si>
  <si>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</si>
  <si>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</si>
  <si>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</si>
  <si>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</si>
  <si>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</si>
  <si>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</si>
  <si>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</si>
  <si>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</si>
  <si>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</si>
  <si>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</si>
  <si>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</si>
  <si>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</si>
  <si>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</si>
  <si>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</si>
  <si>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</si>
  <si>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</si>
  <si>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</si>
  <si>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</si>
  <si>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</si>
  <si>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</si>
  <si>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</si>
  <si>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</si>
  <si>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</si>
  <si>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</si>
  <si>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</si>
  <si>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</si>
  <si>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</si>
  <si>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</si>
  <si>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</si>
  <si>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</si>
  <si>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</si>
  <si>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</si>
  <si>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</si>
  <si>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</si>
  <si>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</si>
  <si>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</si>
  <si>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</si>
  <si>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</si>
  <si>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</si>
  <si>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</si>
  <si>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</si>
  <si>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</si>
  <si>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</si>
  <si>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</si>
  <si>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</si>
  <si>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</si>
  <si>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</si>
  <si>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</si>
  <si>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</si>
  <si>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</si>
  <si>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</si>
  <si>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</si>
  <si>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</si>
  <si>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</si>
  <si>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</si>
  <si>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</si>
  <si>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</si>
  <si>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</si>
  <si>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</si>
  <si>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</si>
  <si>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</si>
  <si>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</si>
  <si>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</si>
  <si>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</si>
  <si>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</si>
  <si>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</si>
  <si>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</si>
  <si>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</si>
  <si>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</si>
  <si>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</si>
  <si>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</si>
  <si>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</si>
  <si>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</si>
  <si>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</si>
  <si>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</si>
  <si>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</si>
  <si>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</si>
  <si>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</si>
  <si>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</si>
  <si>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</si>
  <si>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</si>
  <si>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</si>
  <si>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</si>
  <si>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</si>
  <si>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</si>
  <si>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</si>
  <si>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</si>
  <si>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</si>
  <si>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</si>
  <si>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</si>
  <si>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</si>
  <si>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</si>
  <si>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</si>
  <si>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</si>
  <si>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</si>
  <si>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</si>
  <si>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</si>
  <si>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</si>
  <si>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</si>
  <si>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</si>
  <si>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</si>
  <si>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</si>
  <si>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</si>
  <si>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</si>
  <si>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</si>
  <si>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</si>
  <si>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</si>
  <si>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</si>
  <si>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</si>
  <si>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</si>
  <si>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</si>
  <si>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</si>
  <si>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</si>
  <si>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</si>
  <si>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</si>
  <si>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</si>
  <si>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</si>
  <si>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</si>
  <si>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</si>
  <si>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</si>
  <si>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</si>
  <si>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</si>
  <si>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</si>
  <si>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</si>
  <si>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</si>
  <si>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</si>
  <si>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</si>
  <si>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</si>
  <si>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</si>
  <si>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</si>
  <si>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</si>
  <si>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</si>
  <si>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</si>
  <si>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</si>
  <si>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</si>
  <si>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</si>
  <si>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</si>
  <si>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</si>
  <si>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</si>
  <si>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</si>
  <si>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</si>
  <si>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</si>
  <si>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</si>
  <si>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</si>
  <si>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</si>
  <si>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</si>
  <si>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</si>
  <si>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</si>
  <si>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</si>
  <si>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</si>
  <si>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</si>
  <si>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</si>
  <si>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</si>
  <si>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</si>
  <si>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</si>
  <si>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</si>
  <si>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</si>
  <si>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</si>
  <si>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</si>
  <si>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</si>
  <si>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</si>
  <si>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</si>
  <si>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</si>
  <si>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</si>
  <si>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</si>
  <si>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</si>
  <si>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</si>
  <si>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</si>
  <si>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</si>
  <si>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</si>
  <si>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</si>
  <si>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</si>
  <si>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</si>
  <si>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</si>
  <si>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</si>
  <si>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</si>
  <si>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</si>
  <si>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</si>
  <si>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</si>
  <si>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</si>
  <si>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</si>
  <si>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</si>
  <si>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</si>
  <si>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</si>
  <si>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</si>
  <si>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</si>
  <si>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</si>
  <si>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</si>
  <si>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</si>
  <si>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</si>
  <si>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</si>
  <si>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</si>
  <si>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</si>
  <si>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</si>
  <si>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</si>
  <si>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</si>
  <si>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</si>
  <si>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</si>
  <si>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</si>
  <si>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</si>
  <si>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</si>
  <si>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</si>
  <si>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</si>
  <si>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</si>
  <si>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</si>
  <si>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</si>
  <si>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</si>
  <si>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</si>
  <si>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</si>
  <si>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</si>
  <si>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</si>
  <si>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</si>
  <si>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</si>
  <si>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</si>
  <si>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</si>
  <si>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</si>
  <si>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</si>
  <si>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</si>
  <si>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</si>
  <si>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</si>
  <si>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</si>
  <si>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</si>
  <si>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</si>
  <si>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</si>
  <si>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</si>
  <si>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</si>
  <si>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</si>
  <si>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</si>
  <si>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</si>
  <si>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</si>
  <si>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</si>
  <si>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</si>
  <si>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</si>
  <si>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</si>
  <si>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</si>
  <si>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</si>
  <si>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</si>
  <si>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</si>
  <si>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</si>
  <si>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</si>
  <si>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</si>
  <si>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</si>
  <si>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</si>
  <si>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</si>
  <si>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</si>
  <si>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</si>
  <si>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</si>
  <si>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</si>
  <si>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</si>
  <si>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</si>
  <si>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</si>
  <si>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</si>
  <si>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</si>
  <si>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</si>
  <si>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</si>
  <si>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</si>
  <si>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</si>
  <si>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</si>
  <si>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</si>
  <si>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</si>
  <si>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</si>
  <si>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</si>
  <si>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</si>
  <si>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</si>
  <si>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</si>
  <si>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</si>
  <si>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</si>
  <si>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</si>
  <si>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</si>
  <si>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</si>
  <si>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</si>
  <si>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</si>
  <si>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</si>
  <si>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</si>
  <si>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</si>
  <si>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</si>
  <si>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</si>
  <si>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</si>
  <si>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</si>
  <si>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</si>
  <si>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</si>
  <si>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</si>
  <si>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</si>
  <si>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</si>
  <si>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</si>
  <si>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</si>
  <si>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</si>
  <si>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</si>
  <si>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</si>
  <si>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</si>
  <si>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</si>
  <si>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</si>
  <si>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</si>
  <si>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</si>
  <si>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</si>
  <si>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</si>
  <si>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</si>
  <si>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</si>
  <si>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</si>
  <si>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</si>
  <si>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</si>
  <si>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</si>
  <si>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</si>
  <si>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</si>
  <si>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</si>
  <si>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</si>
  <si>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</si>
  <si>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</si>
  <si>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</si>
  <si>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</si>
  <si>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</si>
  <si>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</si>
  <si>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</si>
  <si>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</si>
  <si>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</si>
  <si>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</si>
  <si>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</si>
  <si>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</si>
  <si>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</si>
  <si>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</si>
  <si>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</si>
  <si>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</si>
  <si>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</si>
  <si>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</si>
  <si>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</si>
  <si>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</si>
  <si>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</si>
  <si>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</si>
  <si>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</si>
  <si>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</si>
  <si>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</si>
  <si>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</si>
  <si>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</si>
  <si>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</si>
  <si>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</si>
  <si>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</si>
  <si>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</si>
  <si>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</si>
  <si>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</si>
  <si>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</si>
  <si>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</si>
  <si>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</si>
  <si>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</si>
  <si>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LIBERTY TOWNSHIP</t>
  </si>
  <si>
    <t>NASHVILLE CITY</t>
  </si>
  <si>
    <t>Cemetery</t>
  </si>
  <si>
    <t>Nashville Fire Dept.</t>
  </si>
  <si>
    <t>Fuel</t>
  </si>
  <si>
    <t>Other/Equip.</t>
  </si>
  <si>
    <t>RESOLUTION NO._______1___________</t>
  </si>
  <si>
    <t>August 8, 2013</t>
  </si>
  <si>
    <t>8:00 P.M.</t>
  </si>
  <si>
    <t>Gene Hellman Residence, 111 S Gregory St, Nashville,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</si>
</sst>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0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132</v>
      </c>
    </row>
    <row r="4" ht="15.75">
      <c r="A4" s="220"/>
    </row>
    <row r="5" ht="52.5" customHeight="1">
      <c r="A5" s="221" t="s">
        <v>343</v>
      </c>
    </row>
    <row r="6" ht="15.75">
      <c r="A6" s="221"/>
    </row>
    <row r="7" ht="51" customHeight="1">
      <c r="A7" s="221" t="s">
        <v>362</v>
      </c>
    </row>
    <row r="8" ht="15.75">
      <c r="A8" s="221"/>
    </row>
    <row r="9" ht="15.75">
      <c r="A9" s="221" t="s">
        <v>133</v>
      </c>
    </row>
    <row r="12" ht="15.75">
      <c r="A12" s="218" t="s">
        <v>191</v>
      </c>
    </row>
    <row r="14" ht="15.75">
      <c r="A14" s="220" t="s">
        <v>192</v>
      </c>
    </row>
    <row r="17" ht="38.25" customHeight="1">
      <c r="A17" s="222" t="s">
        <v>317</v>
      </c>
    </row>
    <row r="18" ht="9.75" customHeight="1">
      <c r="A18" s="222"/>
    </row>
    <row r="21" ht="15.75">
      <c r="A21" s="218" t="s">
        <v>134</v>
      </c>
    </row>
    <row r="23" ht="34.5" customHeight="1">
      <c r="A23" s="221" t="s">
        <v>193</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194</v>
      </c>
    </row>
    <row r="35" ht="15.75">
      <c r="A35" s="221" t="s">
        <v>138</v>
      </c>
    </row>
    <row r="36" ht="15.75">
      <c r="A36" s="221"/>
    </row>
    <row r="37" ht="72" customHeight="1">
      <c r="A37" s="221" t="s">
        <v>405</v>
      </c>
    </row>
    <row r="39" ht="15.75">
      <c r="A39" s="218" t="s">
        <v>139</v>
      </c>
    </row>
    <row r="41" ht="70.5" customHeight="1">
      <c r="A41" s="221" t="s">
        <v>781</v>
      </c>
    </row>
    <row r="42" ht="52.5" customHeight="1">
      <c r="A42" s="228" t="s">
        <v>140</v>
      </c>
    </row>
    <row r="43" ht="33" customHeight="1">
      <c r="A43" s="221" t="s">
        <v>170</v>
      </c>
    </row>
    <row r="44" ht="10.5" customHeight="1">
      <c r="A44" s="221"/>
    </row>
    <row r="45" ht="108" customHeight="1">
      <c r="A45" s="221" t="s">
        <v>782</v>
      </c>
    </row>
    <row r="46" ht="59.25" customHeight="1">
      <c r="A46" s="221" t="s">
        <v>141</v>
      </c>
    </row>
    <row r="47" ht="101.25" customHeight="1">
      <c r="A47" s="221" t="s">
        <v>231</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571" t="s">
        <v>783</v>
      </c>
    </row>
    <row r="74" ht="78.75" customHeight="1">
      <c r="A74" s="571" t="s">
        <v>784</v>
      </c>
    </row>
    <row r="75" ht="73.5" customHeight="1">
      <c r="A75" s="221" t="s">
        <v>785</v>
      </c>
    </row>
    <row r="76" ht="120.75" customHeight="1">
      <c r="A76" s="221" t="s">
        <v>786</v>
      </c>
    </row>
    <row r="77" ht="72.75" customHeight="1">
      <c r="A77" s="221" t="s">
        <v>787</v>
      </c>
    </row>
    <row r="78" ht="72.75" customHeight="1">
      <c r="A78" s="571" t="s">
        <v>788</v>
      </c>
    </row>
    <row r="79" ht="100.5" customHeight="1">
      <c r="A79" s="221" t="s">
        <v>789</v>
      </c>
    </row>
    <row r="80" ht="110.25" customHeight="1">
      <c r="A80" s="221" t="s">
        <v>790</v>
      </c>
    </row>
    <row r="81" ht="100.5" customHeight="1">
      <c r="A81" s="229" t="s">
        <v>791</v>
      </c>
    </row>
    <row r="82" ht="61.5" customHeight="1">
      <c r="A82" s="383" t="s">
        <v>792</v>
      </c>
    </row>
    <row r="83" ht="118.5" customHeight="1">
      <c r="A83" s="221" t="s">
        <v>793</v>
      </c>
    </row>
    <row r="84" ht="86.25" customHeight="1">
      <c r="A84" s="229" t="s">
        <v>794</v>
      </c>
    </row>
    <row r="85" ht="101.25" customHeight="1">
      <c r="A85" s="229" t="s">
        <v>795</v>
      </c>
    </row>
    <row r="86" ht="133.5" customHeight="1">
      <c r="A86" s="221" t="s">
        <v>796</v>
      </c>
    </row>
    <row r="87" ht="137.25" customHeight="1">
      <c r="A87" s="221" t="s">
        <v>797</v>
      </c>
    </row>
    <row r="88" ht="101.25" customHeight="1">
      <c r="A88" s="221" t="s">
        <v>798</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571" t="s">
        <v>805</v>
      </c>
    </row>
    <row r="98" ht="116.25" customHeight="1">
      <c r="A98" s="571" t="s">
        <v>806</v>
      </c>
    </row>
    <row r="99" ht="90" customHeight="1">
      <c r="A99" s="221" t="s">
        <v>799</v>
      </c>
    </row>
    <row r="100" ht="48.75" customHeight="1">
      <c r="A100" s="221" t="s">
        <v>800</v>
      </c>
    </row>
    <row r="101" ht="61.5" customHeight="1">
      <c r="A101" s="221" t="s">
        <v>801</v>
      </c>
    </row>
    <row r="102" ht="9" customHeight="1"/>
    <row r="103" ht="78.75" customHeight="1">
      <c r="A103" s="221" t="s">
        <v>423</v>
      </c>
    </row>
    <row r="105" ht="73.5" customHeight="1">
      <c r="A105" s="571" t="s">
        <v>802</v>
      </c>
    </row>
    <row r="106" ht="108" customHeight="1">
      <c r="A106" s="571" t="s">
        <v>803</v>
      </c>
    </row>
    <row r="107" ht="96" customHeight="1">
      <c r="A107" s="571" t="s">
        <v>804</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LIBERTY TOWNSHIP</v>
      </c>
      <c r="B1" s="281"/>
      <c r="C1" s="281"/>
      <c r="D1" s="281"/>
      <c r="E1" s="281"/>
      <c r="F1" s="281"/>
      <c r="G1" s="281"/>
      <c r="H1" s="281"/>
      <c r="I1" s="66"/>
      <c r="J1" s="66"/>
      <c r="K1" s="231">
        <f>inputPrYr!D9</f>
        <v>2014</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77</v>
      </c>
      <c r="F6" s="288" t="s">
        <v>10</v>
      </c>
      <c r="G6" s="289"/>
      <c r="H6" s="288">
        <f>K1-1</f>
        <v>2013</v>
      </c>
      <c r="I6" s="289"/>
      <c r="J6" s="288">
        <f>K1</f>
        <v>2014</v>
      </c>
      <c r="K6" s="289"/>
    </row>
    <row r="7" spans="1:11" ht="15.75">
      <c r="A7" s="290" t="s">
        <v>11</v>
      </c>
      <c r="B7" s="237" t="s">
        <v>12</v>
      </c>
      <c r="C7" s="237" t="s">
        <v>300</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61</v>
      </c>
      <c r="G22" s="287" t="s">
        <v>21</v>
      </c>
      <c r="H22" s="287" t="s">
        <v>21</v>
      </c>
      <c r="I22" s="311"/>
      <c r="J22" s="311"/>
      <c r="K22" s="311"/>
    </row>
    <row r="23" spans="1:11" s="312" customFormat="1" ht="15.75">
      <c r="A23" s="317" t="s">
        <v>22</v>
      </c>
      <c r="B23" s="237" t="s">
        <v>7</v>
      </c>
      <c r="C23" s="318" t="s">
        <v>23</v>
      </c>
      <c r="D23" s="237" t="s">
        <v>300</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H22" sqref="H2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LIBERTY TOWNSHIP</v>
      </c>
      <c r="C1" s="66"/>
      <c r="D1" s="66"/>
      <c r="E1" s="231">
        <f>inputPrYr!D9</f>
        <v>2014</v>
      </c>
    </row>
    <row r="2" spans="2:5" ht="15.75">
      <c r="B2" s="573" t="s">
        <v>780</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984</v>
      </c>
      <c r="D6" s="418">
        <f>C47</f>
        <v>224.89999999999964</v>
      </c>
      <c r="E6" s="267">
        <f>D47</f>
        <v>87.89999999999964</v>
      </c>
    </row>
    <row r="7" spans="2:5" ht="15.75">
      <c r="B7" s="82" t="s">
        <v>75</v>
      </c>
      <c r="C7" s="418"/>
      <c r="D7" s="418"/>
      <c r="E7" s="328"/>
    </row>
    <row r="8" spans="2:5" ht="15.75">
      <c r="B8" s="82" t="s">
        <v>287</v>
      </c>
      <c r="C8" s="326">
        <f>8331.59-90</f>
        <v>8241.59</v>
      </c>
      <c r="D8" s="418">
        <f>inputPrYr!E20</f>
        <v>9274</v>
      </c>
      <c r="E8" s="328" t="s">
        <v>266</v>
      </c>
    </row>
    <row r="9" spans="2:5" ht="15.75">
      <c r="B9" s="82" t="s">
        <v>288</v>
      </c>
      <c r="C9" s="326">
        <v>122</v>
      </c>
      <c r="D9" s="326"/>
      <c r="E9" s="175"/>
    </row>
    <row r="10" spans="2:5" ht="15.75">
      <c r="B10" s="82" t="s">
        <v>289</v>
      </c>
      <c r="C10" s="326">
        <f>1053.85-18</f>
        <v>1035.85</v>
      </c>
      <c r="D10" s="326">
        <v>824</v>
      </c>
      <c r="E10" s="267">
        <f>mvalloc!G12</f>
        <v>1103</v>
      </c>
    </row>
    <row r="11" spans="2:5" ht="15.75">
      <c r="B11" s="82" t="s">
        <v>290</v>
      </c>
      <c r="C11" s="326">
        <f>2.59+4.36+1.07+9.98</f>
        <v>18</v>
      </c>
      <c r="D11" s="326">
        <v>18</v>
      </c>
      <c r="E11" s="267">
        <f>mvalloc!I12</f>
        <v>17</v>
      </c>
    </row>
    <row r="12" spans="2:5" ht="15.75">
      <c r="B12" s="329" t="s">
        <v>24</v>
      </c>
      <c r="C12" s="326">
        <f>83.52+5.62+1+0.32</f>
        <v>90.46</v>
      </c>
      <c r="D12" s="326">
        <v>15</v>
      </c>
      <c r="E12" s="267">
        <f>mvalloc!J12</f>
        <v>145</v>
      </c>
    </row>
    <row r="13" spans="2:5" ht="15.75">
      <c r="B13" s="329" t="s">
        <v>116</v>
      </c>
      <c r="C13" s="326"/>
      <c r="D13" s="326"/>
      <c r="E13" s="267">
        <f>inputOth!E70</f>
        <v>0</v>
      </c>
    </row>
    <row r="14" spans="2:5" ht="15.75">
      <c r="B14" s="329" t="s">
        <v>117</v>
      </c>
      <c r="C14" s="326"/>
      <c r="D14" s="326"/>
      <c r="E14" s="267">
        <f>mvalloc!K12</f>
        <v>0</v>
      </c>
    </row>
    <row r="15" spans="2:5" ht="15.75">
      <c r="B15" s="82" t="s">
        <v>291</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293</v>
      </c>
      <c r="C22" s="326"/>
      <c r="D22" s="326"/>
      <c r="E22" s="175"/>
    </row>
    <row r="23" spans="2:5" ht="15.75">
      <c r="B23" s="332" t="s">
        <v>239</v>
      </c>
      <c r="C23" s="326"/>
      <c r="D23" s="326"/>
      <c r="E23" s="175"/>
    </row>
    <row r="24" spans="2:5" ht="15.75">
      <c r="B24" s="332" t="s">
        <v>240</v>
      </c>
      <c r="C24" s="420">
        <f>IF(C25*0.1&lt;C23,"Exceed 10% Rule","")</f>
      </c>
      <c r="D24" s="420">
        <f>IF(D25*0.1&lt;D23,"Exceed 10% Rule","")</f>
      </c>
      <c r="E24" s="336">
        <f>IF(E25*0.1+E53&lt;E23,"Exceed 10% Rule","")</f>
      </c>
    </row>
    <row r="25" spans="2:5" ht="15.75">
      <c r="B25" s="334" t="s">
        <v>294</v>
      </c>
      <c r="C25" s="421">
        <f>SUM(C8:C23)</f>
        <v>9507.9</v>
      </c>
      <c r="D25" s="421">
        <f>SUM(D8:D23)</f>
        <v>10131</v>
      </c>
      <c r="E25" s="335">
        <f>SUM(E8:E23)</f>
        <v>1265</v>
      </c>
    </row>
    <row r="26" spans="2:5" ht="15.75">
      <c r="B26" s="100" t="s">
        <v>295</v>
      </c>
      <c r="C26" s="421">
        <f>C25+C6</f>
        <v>10491.9</v>
      </c>
      <c r="D26" s="421">
        <f>D25+D6</f>
        <v>10355.9</v>
      </c>
      <c r="E26" s="335">
        <f>E25+E6</f>
        <v>1352.8999999999996</v>
      </c>
    </row>
    <row r="27" spans="2:5" ht="15.75">
      <c r="B27" s="82" t="s">
        <v>296</v>
      </c>
      <c r="C27" s="418"/>
      <c r="D27" s="418"/>
      <c r="E27" s="267"/>
    </row>
    <row r="28" spans="2:5" ht="15.75">
      <c r="B28" s="330"/>
      <c r="C28" s="326"/>
      <c r="D28" s="326"/>
      <c r="E28" s="175"/>
    </row>
    <row r="29" spans="2:5" ht="15.75">
      <c r="B29" s="331" t="s">
        <v>56</v>
      </c>
      <c r="C29" s="326">
        <v>600</v>
      </c>
      <c r="D29" s="326">
        <v>600</v>
      </c>
      <c r="E29" s="175">
        <v>600</v>
      </c>
    </row>
    <row r="30" spans="2:5" ht="15.75">
      <c r="B30" s="331" t="s">
        <v>80</v>
      </c>
      <c r="C30" s="326">
        <v>670</v>
      </c>
      <c r="D30" s="326"/>
      <c r="E30" s="175"/>
    </row>
    <row r="31" spans="2:5" ht="15.75">
      <c r="B31" s="331" t="s">
        <v>57</v>
      </c>
      <c r="C31" s="326">
        <v>1399</v>
      </c>
      <c r="D31" s="326">
        <v>520</v>
      </c>
      <c r="E31" s="175">
        <v>520</v>
      </c>
    </row>
    <row r="32" spans="2:5" ht="15.75">
      <c r="B32" s="331" t="s">
        <v>307</v>
      </c>
      <c r="C32" s="326">
        <v>29</v>
      </c>
      <c r="D32" s="326">
        <v>477</v>
      </c>
      <c r="E32" s="175">
        <v>477</v>
      </c>
    </row>
    <row r="33" spans="2:5" ht="15.75">
      <c r="B33" s="330" t="s">
        <v>58</v>
      </c>
      <c r="C33" s="326"/>
      <c r="D33" s="326">
        <v>3465</v>
      </c>
      <c r="E33" s="175">
        <v>3465</v>
      </c>
    </row>
    <row r="34" spans="2:5" ht="15.75">
      <c r="B34" s="330" t="s">
        <v>81</v>
      </c>
      <c r="C34" s="326"/>
      <c r="D34" s="326"/>
      <c r="E34" s="175"/>
    </row>
    <row r="35" spans="2:5" ht="15.75">
      <c r="B35" s="331" t="s">
        <v>83</v>
      </c>
      <c r="C35" s="326">
        <v>3975</v>
      </c>
      <c r="D35" s="326">
        <v>2650</v>
      </c>
      <c r="E35" s="175">
        <v>2729</v>
      </c>
    </row>
    <row r="36" spans="2:5" ht="15.75">
      <c r="B36" s="331" t="s">
        <v>817</v>
      </c>
      <c r="C36" s="326">
        <v>94</v>
      </c>
      <c r="D36" s="326">
        <v>99</v>
      </c>
      <c r="E36" s="175">
        <v>99</v>
      </c>
    </row>
    <row r="37" spans="2:5" ht="15.75">
      <c r="B37" s="330" t="s">
        <v>821</v>
      </c>
      <c r="C37" s="326"/>
      <c r="D37" s="326">
        <v>800</v>
      </c>
      <c r="E37" s="175">
        <v>800</v>
      </c>
    </row>
    <row r="38" spans="2:5" ht="15.75">
      <c r="B38" s="331" t="s">
        <v>822</v>
      </c>
      <c r="C38" s="326">
        <v>3500</v>
      </c>
      <c r="D38" s="326">
        <v>1358</v>
      </c>
      <c r="E38" s="175">
        <v>1358</v>
      </c>
    </row>
    <row r="39" spans="2:5" ht="15.75">
      <c r="B39" s="329" t="s">
        <v>198</v>
      </c>
      <c r="C39" s="326"/>
      <c r="D39" s="326"/>
      <c r="E39" s="175"/>
    </row>
    <row r="40" spans="2:10" ht="15.75">
      <c r="B40" s="329" t="s">
        <v>199</v>
      </c>
      <c r="C40" s="420">
        <f>IF(AND($C$39&gt;0,$C$8&gt;0),"Not Authorized","")</f>
      </c>
      <c r="D40" s="420">
        <f>IF(AND($D$39&gt;0,$D$8&gt;0),"Not Authorized","")</f>
      </c>
      <c r="E40" s="336">
        <f>IF(AND(E53&gt;0,$E$39&gt;0),"Not Authorized","")</f>
      </c>
      <c r="G40" s="649" t="str">
        <f>CONCATENATE("Projected Carryover Into ",E1+1,"")</f>
        <v>Projected Carryover Into 2015</v>
      </c>
      <c r="H40" s="650"/>
      <c r="I40" s="650"/>
      <c r="J40" s="625"/>
    </row>
    <row r="41" spans="2:10" ht="15.75">
      <c r="B41" s="82" t="s">
        <v>200</v>
      </c>
      <c r="C41" s="326"/>
      <c r="D41" s="326"/>
      <c r="E41" s="175"/>
      <c r="G41" s="574"/>
      <c r="H41" s="575"/>
      <c r="I41" s="575"/>
      <c r="J41" s="576"/>
    </row>
    <row r="42" spans="2:10" ht="15.75">
      <c r="B42" s="82" t="s">
        <v>812</v>
      </c>
      <c r="C42" s="420">
        <f>IF(C26*0.25&lt;C41,"Exceeds 25%","")</f>
      </c>
      <c r="D42" s="420">
        <f>IF(D26*0.25&lt;D41,"Exceeds 25%","")</f>
      </c>
      <c r="E42" s="336">
        <f>IF(E26*0.25+E53&lt;E41,"Exceeds 25%","")</f>
      </c>
      <c r="G42" s="577">
        <f>D47</f>
        <v>87.89999999999964</v>
      </c>
      <c r="H42" s="578" t="str">
        <f>CONCATENATE("",E1-1," Ending Cash Balance (est.)")</f>
        <v>2013 Ending Cash Balance (est.)</v>
      </c>
      <c r="I42" s="579"/>
      <c r="J42" s="576"/>
    </row>
    <row r="43" spans="2:10" ht="15.75">
      <c r="B43" s="329" t="s">
        <v>241</v>
      </c>
      <c r="C43" s="326"/>
      <c r="D43" s="326">
        <v>299</v>
      </c>
      <c r="E43" s="186">
        <f>nhood!E6</f>
        <v>220</v>
      </c>
      <c r="G43" s="577">
        <f>E25</f>
        <v>1265</v>
      </c>
      <c r="H43" s="580" t="str">
        <f>CONCATENATE("",E1," Non-AV Receipts (est.)")</f>
        <v>2014 Non-AV Receipts (est.)</v>
      </c>
      <c r="I43" s="580"/>
      <c r="J43" s="576"/>
    </row>
    <row r="44" spans="2:10" ht="15.75">
      <c r="B44" s="329" t="s">
        <v>239</v>
      </c>
      <c r="C44" s="326"/>
      <c r="D44" s="326"/>
      <c r="E44" s="175">
        <v>0</v>
      </c>
      <c r="G44" s="581">
        <f>E53</f>
        <v>8915.1</v>
      </c>
      <c r="H44" s="580" t="str">
        <f>CONCATENATE("",E1," Ad Valorem Tax (est.)")</f>
        <v>2014 Ad Valorem Tax (est.)</v>
      </c>
      <c r="I44" s="580"/>
      <c r="J44" s="576"/>
    </row>
    <row r="45" spans="2:10" ht="15.75">
      <c r="B45" s="329" t="s">
        <v>751</v>
      </c>
      <c r="C45" s="420">
        <f>IF(C46*0.1&lt;C44,"Exceed 10% Rule","")</f>
      </c>
      <c r="D45" s="420">
        <f>IF(D46*0.1&lt;D44,"Exceed 10% Rule","")</f>
      </c>
      <c r="E45" s="336">
        <f>IF(E46*0.1&lt;E44,"Exceed 10% Rule","")</f>
      </c>
      <c r="G45" s="577">
        <f>SUM(G42:G44)</f>
        <v>10268</v>
      </c>
      <c r="H45" s="580" t="str">
        <f>CONCATENATE("Total ",E1," Resources Available")</f>
        <v>Total 2014 Resources Available</v>
      </c>
      <c r="I45" s="579"/>
      <c r="J45" s="576"/>
    </row>
    <row r="46" spans="2:10" ht="15.75">
      <c r="B46" s="100" t="s">
        <v>297</v>
      </c>
      <c r="C46" s="421">
        <f>SUM(C28:C39,C41,C43:C44)</f>
        <v>10267</v>
      </c>
      <c r="D46" s="421">
        <f>SUM(D28:D39,D41,D43:D44)</f>
        <v>10268</v>
      </c>
      <c r="E46" s="335">
        <f>SUM(E28:E39,E43:E44,E41)</f>
        <v>10268</v>
      </c>
      <c r="G46" s="582"/>
      <c r="H46" s="580"/>
      <c r="I46" s="580"/>
      <c r="J46" s="576"/>
    </row>
    <row r="47" spans="2:10" ht="15.75">
      <c r="B47" s="82" t="s">
        <v>74</v>
      </c>
      <c r="C47" s="422">
        <f>C26-C46</f>
        <v>224.89999999999964</v>
      </c>
      <c r="D47" s="422">
        <f>D26-D46</f>
        <v>87.89999999999964</v>
      </c>
      <c r="E47" s="328" t="s">
        <v>266</v>
      </c>
      <c r="G47" s="581">
        <f>C46*0.05+C46</f>
        <v>10780.35</v>
      </c>
      <c r="H47" s="580" t="str">
        <f>CONCATENATE("Less ",E1-2," Expenditures + 5%")</f>
        <v>Less 2012 Expenditures + 5%</v>
      </c>
      <c r="I47" s="579"/>
      <c r="J47" s="576"/>
    </row>
    <row r="48" spans="2:10" ht="15.75">
      <c r="B48" s="121" t="str">
        <f>CONCATENATE("",E1-2,"/",E1-1," Budget Authority Amount:")</f>
        <v>2012/2013 Budget Authority Amount:</v>
      </c>
      <c r="C48" s="362">
        <v>10268</v>
      </c>
      <c r="D48" s="69">
        <f>inputPrYr!D20</f>
        <v>10268</v>
      </c>
      <c r="E48" s="328" t="s">
        <v>266</v>
      </c>
      <c r="F48" s="337"/>
      <c r="G48" s="583">
        <f>G45-G47</f>
        <v>-512.3500000000004</v>
      </c>
      <c r="H48" s="584" t="str">
        <f>CONCATENATE("Projected ",E1+1," Carryover (est.)")</f>
        <v>Projected 2015 Carryover (est.)</v>
      </c>
      <c r="I48" s="585"/>
      <c r="J48" s="586"/>
    </row>
    <row r="49" spans="2:6" ht="15.75">
      <c r="B49" s="121"/>
      <c r="C49" s="643" t="s">
        <v>748</v>
      </c>
      <c r="D49" s="644"/>
      <c r="E49" s="175"/>
      <c r="F49" s="337">
        <f>IF(E46/0.95-E46&lt;E49,"Exceeds 5%","")</f>
      </c>
    </row>
    <row r="50" spans="2:10" ht="15.75">
      <c r="B50" s="532" t="str">
        <f>CONCATENATE(C70,"      ",D70)</f>
        <v>      </v>
      </c>
      <c r="C50" s="645" t="s">
        <v>749</v>
      </c>
      <c r="D50" s="646"/>
      <c r="E50" s="267">
        <f>E46+E49</f>
        <v>10268</v>
      </c>
      <c r="G50" s="545">
        <f>IF(inputOth!E11=0,"",ROUND(gen!E53/inputOth!E11*1000,3))</f>
        <v>4.18</v>
      </c>
      <c r="H50" s="546" t="str">
        <f>CONCATENATE("Projected ",E1-1," Mill Rate (est.)")</f>
        <v>Projected 2013 Mill Rate (est.)</v>
      </c>
      <c r="I50" s="547"/>
      <c r="J50" s="548"/>
    </row>
    <row r="51" spans="2:10" ht="15.75">
      <c r="B51" s="532" t="str">
        <f>CONCATENATE(C71,"       ",D71)</f>
        <v>       </v>
      </c>
      <c r="C51" s="535"/>
      <c r="D51" s="534" t="s">
        <v>299</v>
      </c>
      <c r="E51" s="186">
        <f>IF(E50-E26&gt;0,E50-E26,0)</f>
        <v>8915.1</v>
      </c>
      <c r="G51" s="549"/>
      <c r="H51" s="549"/>
      <c r="I51" s="549"/>
      <c r="J51" s="549"/>
    </row>
    <row r="52" spans="2:10" ht="15.75">
      <c r="B52" s="216"/>
      <c r="C52" s="533" t="s">
        <v>750</v>
      </c>
      <c r="D52" s="537">
        <f>inputOth!$E$77</f>
        <v>0</v>
      </c>
      <c r="E52" s="267">
        <f>ROUND(IF(D52&gt;0,(E51*D52),0),0)</f>
        <v>0</v>
      </c>
      <c r="G52" s="649" t="str">
        <f>CONCATENATE("Desired Carryover Into ",E1+1,"")</f>
        <v>Desired Carryover Into 2015</v>
      </c>
      <c r="H52" s="651"/>
      <c r="I52" s="651"/>
      <c r="J52" s="625"/>
    </row>
    <row r="53" spans="2:10" ht="15.75">
      <c r="B53" s="66"/>
      <c r="C53" s="647" t="str">
        <f>CONCATENATE("Amount of  ",$E$1-1," Ad Valorem Tax")</f>
        <v>Amount of  2013 Ad Valorem Tax</v>
      </c>
      <c r="D53" s="648"/>
      <c r="E53" s="186">
        <f>E51+E52</f>
        <v>8915.1</v>
      </c>
      <c r="G53" s="550"/>
      <c r="H53" s="541"/>
      <c r="I53" s="543"/>
      <c r="J53" s="551"/>
    </row>
    <row r="54" spans="2:10" ht="15.75">
      <c r="B54" s="66"/>
      <c r="C54" s="66"/>
      <c r="D54" s="66"/>
      <c r="E54" s="66"/>
      <c r="G54" s="552" t="s">
        <v>754</v>
      </c>
      <c r="H54" s="543"/>
      <c r="I54" s="543"/>
      <c r="J54" s="553">
        <v>0</v>
      </c>
    </row>
    <row r="55" spans="2:10" s="339" customFormat="1" ht="15.75">
      <c r="B55" s="73"/>
      <c r="C55" s="73"/>
      <c r="D55" s="274"/>
      <c r="E55" s="73"/>
      <c r="G55" s="550" t="s">
        <v>755</v>
      </c>
      <c r="H55" s="541"/>
      <c r="I55" s="541"/>
      <c r="J55" s="554">
        <f>IF(gen!J54=0,"",ROUND((J54+E53-G48)/inputOth!E11*1000,3)-G50)</f>
      </c>
    </row>
    <row r="56" spans="2:10" s="340" customFormat="1" ht="15.75">
      <c r="B56" s="66"/>
      <c r="C56" s="66"/>
      <c r="D56" s="194"/>
      <c r="E56" s="66"/>
      <c r="G56" s="555" t="str">
        <f>CONCATENATE("",E1," Total Expenditures Must Be:")</f>
        <v>2014 Total Expenditures Must Be:</v>
      </c>
      <c r="H56" s="556"/>
      <c r="I56" s="557"/>
      <c r="J56" s="558">
        <f>IF((J54&gt;0),(E46+J54-G48),0)</f>
        <v>0</v>
      </c>
    </row>
    <row r="57" spans="2:5" ht="15.75">
      <c r="B57" s="216" t="s">
        <v>280</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LIBERTY TOWNSHIP</v>
      </c>
      <c r="C1" s="66"/>
      <c r="D1" s="66"/>
      <c r="E1" s="342">
        <f>inputPrYr!$D$9</f>
        <v>2014</v>
      </c>
    </row>
    <row r="2" spans="2:5" ht="15.75">
      <c r="B2" s="66"/>
      <c r="C2" s="66"/>
      <c r="D2" s="66"/>
      <c r="E2" s="216"/>
    </row>
    <row r="3" spans="2:5" ht="15.75">
      <c r="B3" s="573" t="s">
        <v>780</v>
      </c>
      <c r="C3" s="213"/>
      <c r="D3" s="213"/>
      <c r="E3" s="68"/>
    </row>
    <row r="4" spans="2:5" ht="15.75">
      <c r="B4" s="66"/>
      <c r="C4" s="343"/>
      <c r="D4" s="343"/>
      <c r="E4" s="343"/>
    </row>
    <row r="5" spans="2:5" ht="15.75">
      <c r="B5" s="74" t="s">
        <v>281</v>
      </c>
      <c r="C5" s="416" t="s">
        <v>282</v>
      </c>
      <c r="D5" s="419" t="s">
        <v>283</v>
      </c>
      <c r="E5" s="76" t="s">
        <v>284</v>
      </c>
    </row>
    <row r="6" spans="2:5" ht="15.75">
      <c r="B6" s="517" t="s">
        <v>321</v>
      </c>
      <c r="C6" s="417" t="str">
        <f>CONCATENATE("Actual ",$E$1-2,"")</f>
        <v>Actual 2012</v>
      </c>
      <c r="D6" s="417" t="str">
        <f>CONCATENATE("Estimate ",$E$1-1,"")</f>
        <v>Estimate 2013</v>
      </c>
      <c r="E6" s="81" t="str">
        <f>CONCATENATE("Year ",$E$1,"")</f>
        <v>Year 2014</v>
      </c>
    </row>
    <row r="7" spans="2:5" ht="15.75">
      <c r="B7" s="82" t="s">
        <v>98</v>
      </c>
      <c r="C7" s="426"/>
      <c r="D7" s="536">
        <f>C52</f>
        <v>0</v>
      </c>
      <c r="E7" s="344">
        <f>D52</f>
        <v>0</v>
      </c>
    </row>
    <row r="8" spans="2:5" ht="15.75">
      <c r="B8" s="82" t="s">
        <v>75</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751</v>
      </c>
      <c r="C50" s="420">
        <f>IF(C51*0.1&lt;C49,"Exceed 10% Rule","")</f>
      </c>
      <c r="D50" s="420">
        <f>IF(D51*0.1&lt;D49,"Exceed 10% Rule","")</f>
      </c>
      <c r="E50" s="336">
        <f>IF(E51*0.1&lt;E49,"Exceed 10% Rule","")</f>
      </c>
      <c r="G50" s="652" t="str">
        <f>CONCATENATE("Projected Carryover Into ",E1+1,"")</f>
        <v>Projected Carryover Into 2015</v>
      </c>
      <c r="H50" s="653"/>
      <c r="I50" s="654"/>
    </row>
    <row r="51" spans="2:9" ht="15.75">
      <c r="B51" s="100" t="s">
        <v>297</v>
      </c>
      <c r="C51" s="424">
        <f>SUM(C32:C49)</f>
        <v>0</v>
      </c>
      <c r="D51" s="424">
        <f>SUM(D32:D49)</f>
        <v>0</v>
      </c>
      <c r="E51" s="351">
        <f>SUM(E32:E49)</f>
        <v>0</v>
      </c>
      <c r="G51" s="540"/>
      <c r="H51" s="541"/>
      <c r="I51" s="542"/>
    </row>
    <row r="52" spans="2:9" ht="15.75">
      <c r="B52" s="82" t="s">
        <v>74</v>
      </c>
      <c r="C52" s="425">
        <f>C30-C51</f>
        <v>0</v>
      </c>
      <c r="D52" s="425">
        <f>D30-D51</f>
        <v>0</v>
      </c>
      <c r="E52" s="328" t="s">
        <v>266</v>
      </c>
      <c r="G52" s="559">
        <f>D52</f>
        <v>0</v>
      </c>
      <c r="H52" s="560"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266</v>
      </c>
      <c r="F53" s="337"/>
      <c r="G53" s="559">
        <f>E29</f>
        <v>0</v>
      </c>
      <c r="H53" s="561" t="str">
        <f>CONCATENATE("",E1," Non-AV Receipts (est.)")</f>
        <v>2014 Non-AV Receipts (est.)</v>
      </c>
      <c r="I53" s="542"/>
    </row>
    <row r="54" spans="2:9" ht="15.75">
      <c r="B54" s="121"/>
      <c r="C54" s="643" t="s">
        <v>748</v>
      </c>
      <c r="D54" s="644"/>
      <c r="E54" s="175"/>
      <c r="F54" s="337">
        <f>IF(E51/0.95-E51&lt;E54,"Exceeds 5%","")</f>
      </c>
      <c r="G54" s="562">
        <f>E58</f>
        <v>0</v>
      </c>
      <c r="H54" s="561" t="str">
        <f>CONCATENATE("",E1," Ad Valorem Tax (est.)")</f>
        <v>2014 Ad Valorem Tax (est.)</v>
      </c>
      <c r="I54" s="542"/>
    </row>
    <row r="55" spans="2:9" ht="15.75">
      <c r="B55" s="532" t="str">
        <f>CONCATENATE(C68,"     ",D68)</f>
        <v>     </v>
      </c>
      <c r="C55" s="645" t="s">
        <v>749</v>
      </c>
      <c r="D55" s="646"/>
      <c r="E55" s="267">
        <f>E51+E54</f>
        <v>0</v>
      </c>
      <c r="G55" s="559">
        <f>SUM(G52:G54)</f>
        <v>0</v>
      </c>
      <c r="H55" s="561" t="str">
        <f>CONCATENATE("Total ",E1," Resources Available")</f>
        <v>Total 2014 Resources Available</v>
      </c>
      <c r="I55" s="542"/>
    </row>
    <row r="56" spans="2:9" ht="15.75">
      <c r="B56" s="532" t="str">
        <f>CONCATENATE(C69,"     ",D69)</f>
        <v>     </v>
      </c>
      <c r="C56" s="535"/>
      <c r="D56" s="534" t="s">
        <v>299</v>
      </c>
      <c r="E56" s="186">
        <f>IF(E55-E30&gt;0,E55-E30,0)</f>
        <v>0</v>
      </c>
      <c r="G56" s="563"/>
      <c r="H56" s="561"/>
      <c r="I56" s="542"/>
    </row>
    <row r="57" spans="2:9" ht="15.75">
      <c r="B57" s="216"/>
      <c r="C57" s="533" t="s">
        <v>750</v>
      </c>
      <c r="D57" s="537">
        <f>inputOth!$E77</f>
        <v>0</v>
      </c>
      <c r="E57" s="267">
        <f>ROUND(IF(D57&gt;0,(E56*D57),0),0)</f>
        <v>0</v>
      </c>
      <c r="G57" s="562">
        <f>C51</f>
        <v>0</v>
      </c>
      <c r="H57" s="561" t="str">
        <f>CONCATENATE("Less ",E1-2," Expenditures")</f>
        <v>Less 2012 Expenditures</v>
      </c>
      <c r="I57" s="542"/>
    </row>
    <row r="58" spans="2:9" ht="15.75">
      <c r="B58" s="66"/>
      <c r="C58" s="647" t="str">
        <f>CONCATENATE("Amount of  ",$E$1-1," Ad Valorem Tax")</f>
        <v>Amount of  2013 Ad Valorem Tax</v>
      </c>
      <c r="D58" s="648"/>
      <c r="E58" s="186">
        <f>E56+E57</f>
        <v>0</v>
      </c>
      <c r="G58" s="564">
        <f>G55-G57</f>
        <v>0</v>
      </c>
      <c r="H58" s="565" t="str">
        <f>CONCATENATE("Projected ",E1+1," carryover (est.)")</f>
        <v>Projected 2015 carryover (est.)</v>
      </c>
      <c r="I58" s="544"/>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 operator="greaterThan" stopIfTrue="1">
      <formula>$C$53</formula>
    </cfRule>
  </conditionalFormatting>
  <conditionalFormatting sqref="D51">
    <cfRule type="cellIs" priority="8" dxfId="1"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9">
      <selection activeCell="H22" sqref="H2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LIBERTY TOWNSHIP</v>
      </c>
      <c r="C1" s="66"/>
      <c r="D1" s="66"/>
      <c r="E1" s="231">
        <f>inputPrYr!D9</f>
        <v>2014</v>
      </c>
    </row>
    <row r="2" spans="2:5" ht="15.75">
      <c r="B2" s="573" t="s">
        <v>780</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2012</v>
      </c>
      <c r="D5" s="417" t="str">
        <f>gen!D5</f>
        <v>Estimate 2013</v>
      </c>
      <c r="E5" s="81" t="str">
        <f>gen!E5</f>
        <v>Year 2014</v>
      </c>
    </row>
    <row r="6" spans="2:5" ht="15.75">
      <c r="B6" s="82" t="s">
        <v>73</v>
      </c>
      <c r="C6" s="326">
        <v>4270</v>
      </c>
      <c r="D6" s="418">
        <f>C42</f>
        <v>1990.300000000003</v>
      </c>
      <c r="E6" s="267">
        <f>D42</f>
        <v>0.3000000000029104</v>
      </c>
    </row>
    <row r="7" spans="2:5" ht="15.75">
      <c r="B7" s="82" t="s">
        <v>75</v>
      </c>
      <c r="C7" s="418"/>
      <c r="D7" s="418"/>
      <c r="E7" s="328"/>
    </row>
    <row r="8" spans="2:5" ht="15.75">
      <c r="B8" s="82" t="s">
        <v>287</v>
      </c>
      <c r="C8" s="326">
        <f>37692.25-514</f>
        <v>37178.25</v>
      </c>
      <c r="D8" s="418">
        <f>inputPrYr!E22</f>
        <v>33888</v>
      </c>
      <c r="E8" s="328" t="s">
        <v>266</v>
      </c>
    </row>
    <row r="9" spans="2:5" ht="15.75">
      <c r="B9" s="82" t="s">
        <v>288</v>
      </c>
      <c r="C9" s="326">
        <v>323</v>
      </c>
      <c r="D9" s="326"/>
      <c r="E9" s="175"/>
    </row>
    <row r="10" spans="2:5" ht="15.75">
      <c r="B10" s="82" t="s">
        <v>289</v>
      </c>
      <c r="C10" s="326">
        <f>3424.08-8</f>
        <v>3416.08</v>
      </c>
      <c r="D10" s="326">
        <v>2773</v>
      </c>
      <c r="E10" s="267">
        <f>mvalloc!G14</f>
        <v>2798</v>
      </c>
    </row>
    <row r="11" spans="2:5" ht="15.75">
      <c r="B11" s="82" t="s">
        <v>290</v>
      </c>
      <c r="C11" s="326">
        <v>7.66</v>
      </c>
      <c r="D11" s="326">
        <v>44</v>
      </c>
      <c r="E11" s="267">
        <f>mvalloc!I14</f>
        <v>6</v>
      </c>
    </row>
    <row r="12" spans="2:5" ht="15.75">
      <c r="B12" s="82" t="s">
        <v>54</v>
      </c>
      <c r="C12" s="326">
        <f>506.09+1.91+6.08</f>
        <v>514.08</v>
      </c>
      <c r="D12" s="326">
        <v>77</v>
      </c>
      <c r="E12" s="267">
        <f>mvalloc!J14</f>
        <v>777</v>
      </c>
    </row>
    <row r="13" spans="2:5" ht="15.75">
      <c r="B13" s="82" t="s">
        <v>117</v>
      </c>
      <c r="C13" s="326"/>
      <c r="D13" s="326"/>
      <c r="E13" s="267">
        <f>mvalloc!K14</f>
        <v>0</v>
      </c>
    </row>
    <row r="14" spans="2:5" ht="15.75">
      <c r="B14" s="82" t="s">
        <v>55</v>
      </c>
      <c r="C14" s="326">
        <f>505.34+481.01+37.2+503.38+503.95</f>
        <v>2030.8799999999999</v>
      </c>
      <c r="D14" s="326">
        <v>2010</v>
      </c>
      <c r="E14" s="267">
        <f>inputOth!E72</f>
        <v>2020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293</v>
      </c>
      <c r="C20" s="326"/>
      <c r="D20" s="326">
        <v>2529</v>
      </c>
      <c r="E20" s="175"/>
    </row>
    <row r="21" spans="2:5" ht="15.75">
      <c r="B21" s="332" t="s">
        <v>239</v>
      </c>
      <c r="C21" s="326"/>
      <c r="D21" s="326"/>
      <c r="E21" s="175"/>
    </row>
    <row r="22" spans="2:5" ht="15.75">
      <c r="B22" s="332" t="s">
        <v>240</v>
      </c>
      <c r="C22" s="420">
        <f>IF(C23*0.1&lt;C21,"Exceed 10% Rule","")</f>
      </c>
      <c r="D22" s="420">
        <f>IF(D23*0.1&lt;D21,"Exceed 10% Rule","")</f>
      </c>
      <c r="E22" s="336">
        <f>IF(E23*0.1+E48&lt;E21,"Exceed 10% Rule","")</f>
      </c>
    </row>
    <row r="23" spans="2:5" ht="15.75">
      <c r="B23" s="334" t="s">
        <v>294</v>
      </c>
      <c r="C23" s="421">
        <f>SUM(C8:C21)</f>
        <v>43469.950000000004</v>
      </c>
      <c r="D23" s="421">
        <f>SUM(D8:D21)</f>
        <v>41321</v>
      </c>
      <c r="E23" s="335">
        <f>SUM(E8:E21)</f>
        <v>5601</v>
      </c>
    </row>
    <row r="24" spans="2:5" ht="15.75">
      <c r="B24" s="100" t="s">
        <v>295</v>
      </c>
      <c r="C24" s="421">
        <f>C23+C6</f>
        <v>47739.950000000004</v>
      </c>
      <c r="D24" s="421">
        <f>D23+D6</f>
        <v>43311.3</v>
      </c>
      <c r="E24" s="335">
        <f>E23+E6</f>
        <v>5601.300000000003</v>
      </c>
    </row>
    <row r="25" spans="2:5" ht="15.75">
      <c r="B25" s="82" t="s">
        <v>296</v>
      </c>
      <c r="C25" s="418"/>
      <c r="D25" s="418"/>
      <c r="E25" s="267"/>
    </row>
    <row r="26" spans="2:5" ht="15.75">
      <c r="B26" s="331"/>
      <c r="C26" s="326"/>
      <c r="D26" s="326"/>
      <c r="E26" s="175"/>
    </row>
    <row r="27" spans="2:5" ht="15.75">
      <c r="B27" s="331" t="s">
        <v>56</v>
      </c>
      <c r="C27" s="326">
        <v>300</v>
      </c>
      <c r="D27" s="326">
        <v>1440</v>
      </c>
      <c r="E27" s="175">
        <v>1440</v>
      </c>
    </row>
    <row r="28" spans="2:5" ht="15.75">
      <c r="B28" s="331" t="s">
        <v>80</v>
      </c>
      <c r="C28" s="326">
        <f>5951.54+3022.73</f>
        <v>8974.27</v>
      </c>
      <c r="D28" s="326">
        <v>13000</v>
      </c>
      <c r="E28" s="175">
        <v>13000</v>
      </c>
    </row>
    <row r="29" spans="2:5" ht="15.75">
      <c r="B29" s="330" t="s">
        <v>57</v>
      </c>
      <c r="C29" s="326">
        <v>480</v>
      </c>
      <c r="D29" s="326">
        <v>1700</v>
      </c>
      <c r="E29" s="175">
        <v>1700</v>
      </c>
    </row>
    <row r="30" spans="2:5" ht="15.75">
      <c r="B30" s="331" t="s">
        <v>82</v>
      </c>
      <c r="C30" s="326">
        <f>2121.21+2685.73</f>
        <v>4806.9400000000005</v>
      </c>
      <c r="D30" s="326">
        <v>7343</v>
      </c>
      <c r="E30" s="175">
        <v>7343</v>
      </c>
    </row>
    <row r="31" spans="2:5" ht="15.75">
      <c r="B31" s="331" t="s">
        <v>60</v>
      </c>
      <c r="C31" s="326">
        <v>158</v>
      </c>
      <c r="D31" s="326">
        <v>2466</v>
      </c>
      <c r="E31" s="175">
        <v>2466</v>
      </c>
    </row>
    <row r="32" spans="2:5" ht="15.75">
      <c r="B32" s="331" t="s">
        <v>58</v>
      </c>
      <c r="C32" s="326">
        <v>10158</v>
      </c>
      <c r="D32" s="326">
        <v>5976</v>
      </c>
      <c r="E32" s="175">
        <v>7067</v>
      </c>
    </row>
    <row r="33" spans="2:5" ht="15.75">
      <c r="B33" s="331" t="s">
        <v>83</v>
      </c>
      <c r="C33" s="326"/>
      <c r="D33" s="326"/>
      <c r="E33" s="175"/>
    </row>
    <row r="34" spans="2:5" ht="15.75">
      <c r="B34" s="330" t="s">
        <v>823</v>
      </c>
      <c r="C34" s="326">
        <f>8660.26+647.18</f>
        <v>9307.44</v>
      </c>
      <c r="D34" s="326">
        <v>3500</v>
      </c>
      <c r="E34" s="175">
        <v>3500</v>
      </c>
    </row>
    <row r="35" spans="2:5" ht="15.75">
      <c r="B35" s="330" t="s">
        <v>822</v>
      </c>
      <c r="C35" s="326"/>
      <c r="D35" s="326">
        <v>6795</v>
      </c>
      <c r="E35" s="175">
        <v>6795</v>
      </c>
    </row>
    <row r="36" spans="2:5" ht="15.75">
      <c r="B36" s="82" t="s">
        <v>59</v>
      </c>
      <c r="C36" s="326">
        <v>11565</v>
      </c>
      <c r="D36" s="326"/>
      <c r="E36" s="175"/>
    </row>
    <row r="37" spans="2:5" ht="15.75">
      <c r="B37" s="82" t="s">
        <v>756</v>
      </c>
      <c r="C37" s="420">
        <f>IF(C24*0.25&lt;C36,"Exceeds 25%","")</f>
      </c>
      <c r="D37" s="420">
        <f>IF(D24*0.25&lt;D36,"Exceeds 25%","")</f>
      </c>
      <c r="E37" s="336">
        <f>IF(E24*0.25+E48&lt;E36,"Exceeds 25%","")</f>
      </c>
    </row>
    <row r="38" spans="2:5" ht="15.75">
      <c r="B38" s="329" t="s">
        <v>241</v>
      </c>
      <c r="C38" s="326"/>
      <c r="D38" s="326">
        <v>1091</v>
      </c>
      <c r="E38" s="186">
        <f>nhood!E8</f>
        <v>932</v>
      </c>
    </row>
    <row r="39" spans="2:5" ht="15.75">
      <c r="B39" s="329" t="s">
        <v>239</v>
      </c>
      <c r="C39" s="326"/>
      <c r="D39" s="326"/>
      <c r="E39" s="175">
        <v>0</v>
      </c>
    </row>
    <row r="40" spans="2:5" ht="15.75">
      <c r="B40" s="329" t="s">
        <v>751</v>
      </c>
      <c r="C40" s="420">
        <f>IF(C41*0.1&lt;C39,"Exceed 10% Rule","")</f>
      </c>
      <c r="D40" s="420">
        <f>IF(D41*0.1&lt;D39,"Exceed 10% Rule","")</f>
      </c>
      <c r="E40" s="336">
        <f>IF(E41*0.1&lt;E39,"Exceed 10% Rule","")</f>
      </c>
    </row>
    <row r="41" spans="2:5" ht="15.75">
      <c r="B41" s="100" t="s">
        <v>297</v>
      </c>
      <c r="C41" s="421">
        <f>SUM(C26:C39)</f>
        <v>45749.65</v>
      </c>
      <c r="D41" s="421">
        <f>SUM(D26:D39)</f>
        <v>43311</v>
      </c>
      <c r="E41" s="335">
        <f>SUM(E26:E36,E39)</f>
        <v>43311</v>
      </c>
    </row>
    <row r="42" spans="2:5" ht="15.75">
      <c r="B42" s="82" t="s">
        <v>74</v>
      </c>
      <c r="C42" s="422">
        <f>C24-C41</f>
        <v>1990.300000000003</v>
      </c>
      <c r="D42" s="422">
        <f>D24-D41</f>
        <v>0.3000000000029104</v>
      </c>
      <c r="E42" s="328" t="s">
        <v>266</v>
      </c>
    </row>
    <row r="43" spans="2:6" ht="15.75">
      <c r="B43" s="121" t="str">
        <f>CONCATENATE("",$E$1-2,"/",$E$1-1," Budget Authority Amount:")</f>
        <v>2012/2013 Budget Authority Amount:</v>
      </c>
      <c r="C43" s="362">
        <v>45750</v>
      </c>
      <c r="D43" s="85">
        <f>inputPrYr!D22</f>
        <v>43311</v>
      </c>
      <c r="E43" s="328" t="s">
        <v>266</v>
      </c>
      <c r="F43" s="337"/>
    </row>
    <row r="44" spans="2:6" ht="15.75">
      <c r="B44" s="121"/>
      <c r="C44" s="643" t="s">
        <v>748</v>
      </c>
      <c r="D44" s="644"/>
      <c r="E44" s="175"/>
      <c r="F44" s="337">
        <f>IF(E41/0.95-E41&lt;E44,"Exceeds 5%","")</f>
      </c>
    </row>
    <row r="45" spans="2:5" ht="15.75">
      <c r="B45" s="532" t="str">
        <f>CONCATENATE(C70,"     ",D70)</f>
        <v>     </v>
      </c>
      <c r="C45" s="645" t="s">
        <v>749</v>
      </c>
      <c r="D45" s="646"/>
      <c r="E45" s="267">
        <f>E41+E44</f>
        <v>43311</v>
      </c>
    </row>
    <row r="46" spans="2:5" ht="15.75">
      <c r="B46" s="532" t="str">
        <f>CONCATENATE(C71,"     ",D71)</f>
        <v>     </v>
      </c>
      <c r="C46" s="535"/>
      <c r="D46" s="534" t="s">
        <v>299</v>
      </c>
      <c r="E46" s="186">
        <f>IF(E45-E24&gt;0,E45-E24,0)</f>
        <v>37709.7</v>
      </c>
    </row>
    <row r="47" spans="2:5" ht="15.75">
      <c r="B47" s="216"/>
      <c r="C47" s="533" t="s">
        <v>750</v>
      </c>
      <c r="D47" s="537">
        <f>inputOth!$E$77</f>
        <v>0</v>
      </c>
      <c r="E47" s="267">
        <f>ROUND(IF(D47&gt;0,(E46*D47),0),0)</f>
        <v>0</v>
      </c>
    </row>
    <row r="48" spans="2:5" ht="15.75">
      <c r="B48" s="66"/>
      <c r="C48" s="647" t="str">
        <f>CONCATENATE("Amount of  ",$E$1-1," Ad Valorem Tax")</f>
        <v>Amount of  2013 Ad Valorem Tax</v>
      </c>
      <c r="D48" s="648"/>
      <c r="E48" s="186">
        <f>E46+E47</f>
        <v>37709.7</v>
      </c>
    </row>
    <row r="49" spans="2:5" ht="15.75">
      <c r="B49" s="66"/>
      <c r="C49" s="66"/>
      <c r="D49" s="66"/>
      <c r="E49" s="66"/>
    </row>
    <row r="50" spans="2:5" ht="15.75">
      <c r="B50" s="66"/>
      <c r="C50" s="66"/>
      <c r="D50" s="66"/>
      <c r="E50" s="66"/>
    </row>
    <row r="51" spans="2:5" ht="15.75">
      <c r="B51" s="161" t="s">
        <v>301</v>
      </c>
      <c r="C51" s="209">
        <f>E1-2</f>
        <v>2012</v>
      </c>
      <c r="D51" s="66"/>
      <c r="E51" s="66"/>
    </row>
    <row r="52" spans="2:5" ht="15.75">
      <c r="B52" s="79" t="s">
        <v>302</v>
      </c>
      <c r="C52" s="81" t="s">
        <v>303</v>
      </c>
      <c r="D52" s="66"/>
      <c r="E52" s="66"/>
    </row>
    <row r="53" spans="2:5" ht="15.75">
      <c r="B53" s="108" t="s">
        <v>285</v>
      </c>
      <c r="C53" s="531">
        <v>0</v>
      </c>
      <c r="D53" s="66"/>
      <c r="E53" s="66"/>
    </row>
    <row r="54" spans="2:5" ht="15.75">
      <c r="B54" s="108" t="s">
        <v>304</v>
      </c>
      <c r="C54" s="362"/>
      <c r="D54" s="66"/>
      <c r="E54" s="66"/>
    </row>
    <row r="55" spans="2:5" ht="15.75">
      <c r="B55" s="108" t="s">
        <v>305</v>
      </c>
      <c r="C55" s="526">
        <f>IF(C36&gt;0,C36,0)</f>
        <v>11565</v>
      </c>
      <c r="D55" s="353">
        <f>IF(C36&gt;(C24*0.25),"Exceeds 25% of Resources Available","")</f>
      </c>
      <c r="E55" s="66"/>
    </row>
    <row r="56" spans="2:5" ht="15.75">
      <c r="B56" s="108" t="s">
        <v>202</v>
      </c>
      <c r="C56" s="525">
        <f>IF(gen!C39&gt;0,gen!C39,0)</f>
        <v>0</v>
      </c>
      <c r="D56" s="655">
        <f>IF(AND(gen!C39&gt;0,gen!C41&gt;0),"Not Auth. Two General Transfers - Only One","")</f>
      </c>
      <c r="E56" s="66"/>
    </row>
    <row r="57" spans="2:5" ht="15.75">
      <c r="B57" s="108" t="s">
        <v>203</v>
      </c>
      <c r="C57" s="526">
        <f>IF(gen!C41&gt;0,gen!C41,0)</f>
        <v>0</v>
      </c>
      <c r="D57" s="656"/>
      <c r="E57" s="66"/>
    </row>
    <row r="58" spans="2:5" ht="15.75">
      <c r="B58" s="177"/>
      <c r="C58" s="531"/>
      <c r="D58" s="66"/>
      <c r="E58" s="66"/>
    </row>
    <row r="59" spans="2:5" ht="15.75">
      <c r="B59" s="177" t="s">
        <v>293</v>
      </c>
      <c r="C59" s="531"/>
      <c r="D59" s="66"/>
      <c r="E59" s="66"/>
    </row>
    <row r="60" spans="2:5" ht="15.75">
      <c r="B60" s="177" t="s">
        <v>824</v>
      </c>
      <c r="C60" s="531">
        <v>1304</v>
      </c>
      <c r="D60" s="66"/>
      <c r="E60" s="66"/>
    </row>
    <row r="61" spans="2:5" ht="15.75">
      <c r="B61" s="354" t="s">
        <v>295</v>
      </c>
      <c r="C61" s="524">
        <f>SUM(C53,C55:C60)</f>
        <v>12869</v>
      </c>
      <c r="D61" s="66"/>
      <c r="E61" s="66"/>
    </row>
    <row r="62" spans="2:5" ht="15.75">
      <c r="B62" s="354" t="s">
        <v>297</v>
      </c>
      <c r="C62" s="531"/>
      <c r="D62" s="66"/>
      <c r="E62" s="66"/>
    </row>
    <row r="63" spans="2:5" ht="15.75">
      <c r="B63" s="354" t="s">
        <v>298</v>
      </c>
      <c r="C63" s="524">
        <f>C61-C62</f>
        <v>12869</v>
      </c>
      <c r="D63" s="66"/>
      <c r="E63" s="66"/>
    </row>
    <row r="64" spans="2:5" ht="15.75">
      <c r="B64" s="66"/>
      <c r="C64" s="66"/>
      <c r="D64" s="66"/>
      <c r="E64" s="66"/>
    </row>
    <row r="65" spans="2:5" ht="15.75">
      <c r="B65" s="216" t="s">
        <v>280</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 operator="greaterThan" stopIfTrue="1">
      <formula>$C$43</formula>
    </cfRule>
  </conditionalFormatting>
  <conditionalFormatting sqref="D41">
    <cfRule type="cellIs" priority="11" dxfId="1"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74" t="s">
        <v>306</v>
      </c>
      <c r="D1" s="66"/>
      <c r="E1" s="231">
        <f>inputPrYr!D9</f>
        <v>2014</v>
      </c>
    </row>
    <row r="2" spans="2:5" ht="15.75">
      <c r="B2" s="573" t="s">
        <v>780</v>
      </c>
      <c r="C2" s="66"/>
      <c r="D2" s="66"/>
      <c r="E2" s="357"/>
    </row>
    <row r="3" spans="2:5" ht="15.75">
      <c r="B3" s="66"/>
      <c r="C3" s="72"/>
      <c r="D3" s="72"/>
      <c r="E3" s="66"/>
    </row>
    <row r="4" spans="2:5" ht="15.75">
      <c r="B4" s="74" t="s">
        <v>281</v>
      </c>
      <c r="C4" s="416" t="s">
        <v>282</v>
      </c>
      <c r="D4" s="419" t="s">
        <v>283</v>
      </c>
      <c r="E4" s="76" t="s">
        <v>284</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2012/2013 Budget Authority Amount:</v>
      </c>
      <c r="C33" s="362">
        <f>inputOth!$B86</f>
        <v>0</v>
      </c>
      <c r="D33" s="85">
        <f>inputPrYr!$D23</f>
        <v>0</v>
      </c>
      <c r="E33" s="328" t="s">
        <v>266</v>
      </c>
      <c r="F33" s="337"/>
    </row>
    <row r="34" spans="2:6" ht="15.75">
      <c r="B34" s="121"/>
      <c r="C34" s="643" t="s">
        <v>748</v>
      </c>
      <c r="D34" s="644"/>
      <c r="E34" s="175"/>
      <c r="F34" s="337">
        <f>IF(E31/0.95-E31&lt;E34,"Exceeds 5%","")</f>
      </c>
    </row>
    <row r="35" spans="2:5" ht="15.75">
      <c r="B35" s="532" t="str">
        <f>CONCATENATE(C79,"     ",D79)</f>
        <v>     </v>
      </c>
      <c r="C35" s="645" t="s">
        <v>749</v>
      </c>
      <c r="D35" s="646"/>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281</v>
      </c>
      <c r="C39" s="72"/>
      <c r="D39" s="72"/>
      <c r="E39" s="72"/>
    </row>
    <row r="40" spans="2:5" ht="15.75">
      <c r="B40" s="66"/>
      <c r="C40" s="416" t="s">
        <v>282</v>
      </c>
      <c r="D40" s="419" t="s">
        <v>283</v>
      </c>
      <c r="E40" s="76" t="s">
        <v>284</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2012/2013 Budget Authority Amount:</v>
      </c>
      <c r="C69" s="362">
        <f>inputOth!$B87</f>
        <v>0</v>
      </c>
      <c r="D69" s="85">
        <f>inputPrYr!$D24</f>
        <v>0</v>
      </c>
      <c r="E69" s="328" t="s">
        <v>266</v>
      </c>
      <c r="F69" s="337"/>
    </row>
    <row r="70" spans="2:6" ht="15.75">
      <c r="B70" s="121"/>
      <c r="C70" s="643" t="s">
        <v>748</v>
      </c>
      <c r="D70" s="644"/>
      <c r="E70" s="175"/>
      <c r="F70" s="337">
        <f>IF(E67/0.95-E67&lt;E70,"Exceeds 5%","")</f>
      </c>
    </row>
    <row r="71" spans="2:5" ht="15.75">
      <c r="B71" s="532" t="str">
        <f>CONCATENATE(C81,"     ",D81)</f>
        <v>     </v>
      </c>
      <c r="C71" s="645" t="s">
        <v>749</v>
      </c>
      <c r="D71" s="646"/>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2014</v>
      </c>
    </row>
    <row r="2" spans="2:5" ht="15.75">
      <c r="B2" s="573" t="s">
        <v>780</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287</v>
      </c>
      <c r="C8" s="326"/>
      <c r="D8" s="418">
        <f>inputPrYr!E25</f>
        <v>0</v>
      </c>
      <c r="E8" s="328" t="s">
        <v>266</v>
      </c>
    </row>
    <row r="9" spans="2:5" ht="15.75">
      <c r="B9" s="82" t="s">
        <v>288</v>
      </c>
      <c r="C9" s="326"/>
      <c r="D9" s="326"/>
      <c r="E9" s="175"/>
    </row>
    <row r="10" spans="2:5" ht="15.75">
      <c r="B10" s="82" t="s">
        <v>289</v>
      </c>
      <c r="C10" s="326"/>
      <c r="D10" s="326"/>
      <c r="E10" s="267">
        <f>mvalloc!G17</f>
        <v>0</v>
      </c>
    </row>
    <row r="11" spans="2:5" ht="15.75">
      <c r="B11" s="82" t="s">
        <v>290</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nhood!E11</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2012/2013 Budget Authority Amount:</v>
      </c>
      <c r="C33" s="362">
        <f>inputOth!$B88</f>
        <v>0</v>
      </c>
      <c r="D33" s="85">
        <f>inputPrYr!$D25</f>
        <v>0</v>
      </c>
      <c r="E33" s="328" t="s">
        <v>266</v>
      </c>
      <c r="F33" s="337"/>
    </row>
    <row r="34" spans="2:6" ht="15.75">
      <c r="B34" s="121"/>
      <c r="C34" s="643" t="s">
        <v>748</v>
      </c>
      <c r="D34" s="644"/>
      <c r="E34" s="175"/>
      <c r="F34" s="337">
        <f>IF(E31/0.95-E31&lt;E34,"Exceeds 5%","")</f>
      </c>
    </row>
    <row r="35" spans="2:5" ht="15.75">
      <c r="B35" s="532" t="str">
        <f>CONCATENATE(C79,"     ",D79)</f>
        <v>     </v>
      </c>
      <c r="C35" s="645" t="s">
        <v>749</v>
      </c>
      <c r="D35" s="646"/>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281</v>
      </c>
      <c r="C39" s="72"/>
      <c r="D39" s="72"/>
      <c r="E39" s="72"/>
    </row>
    <row r="40" spans="2:5" ht="15.75">
      <c r="B40" s="66"/>
      <c r="C40" s="416" t="s">
        <v>282</v>
      </c>
      <c r="D40" s="419" t="s">
        <v>283</v>
      </c>
      <c r="E40" s="76" t="s">
        <v>284</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inputPrYr!E26</f>
        <v>0</v>
      </c>
      <c r="E44" s="328" t="s">
        <v>266</v>
      </c>
    </row>
    <row r="45" spans="2:5" ht="15.75">
      <c r="B45" s="82" t="s">
        <v>288</v>
      </c>
      <c r="C45" s="326"/>
      <c r="D45" s="326"/>
      <c r="E45" s="175"/>
    </row>
    <row r="46" spans="2:5" ht="15.75">
      <c r="B46" s="82" t="s">
        <v>289</v>
      </c>
      <c r="C46" s="326"/>
      <c r="D46" s="326"/>
      <c r="E46" s="267">
        <f>mvalloc!G18</f>
        <v>0</v>
      </c>
    </row>
    <row r="47" spans="2:5" ht="15.75">
      <c r="B47" s="82" t="s">
        <v>290</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nhood!E12</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2012/2013 Budget Authority Amount:</v>
      </c>
      <c r="C69" s="362">
        <f>inputOth!$B89</f>
        <v>0</v>
      </c>
      <c r="D69" s="85">
        <f>inputPrYr!$D26</f>
        <v>0</v>
      </c>
      <c r="E69" s="328" t="s">
        <v>266</v>
      </c>
      <c r="F69" s="337"/>
    </row>
    <row r="70" spans="2:6" ht="15.75">
      <c r="B70" s="121"/>
      <c r="C70" s="643" t="s">
        <v>748</v>
      </c>
      <c r="D70" s="644"/>
      <c r="E70" s="175"/>
      <c r="F70" s="337">
        <f>IF(E67/0.95-E67&lt;E70,"Exceeds 5%","")</f>
      </c>
    </row>
    <row r="71" spans="2:5" ht="15.75">
      <c r="B71" s="532" t="str">
        <f>CONCATENATE(C81,"     ",D81)</f>
        <v>     </v>
      </c>
      <c r="C71" s="645" t="s">
        <v>749</v>
      </c>
      <c r="D71" s="646"/>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2014</v>
      </c>
    </row>
    <row r="2" spans="2:5" ht="15.75">
      <c r="B2" s="573" t="s">
        <v>780</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2012/2013 Budget Authority Amount:</v>
      </c>
      <c r="C33" s="362">
        <f>inputOth!$B90</f>
        <v>0</v>
      </c>
      <c r="D33" s="85">
        <f>inputPrYr!$D27</f>
        <v>0</v>
      </c>
      <c r="E33" s="328" t="s">
        <v>266</v>
      </c>
      <c r="F33" s="337"/>
    </row>
    <row r="34" spans="2:6" ht="15.75">
      <c r="B34" s="121"/>
      <c r="C34" s="643" t="s">
        <v>748</v>
      </c>
      <c r="D34" s="644"/>
      <c r="E34" s="175"/>
      <c r="F34" s="337">
        <f>IF(E31/0.95-E31&lt;E34,"Exceeds 5%","")</f>
      </c>
    </row>
    <row r="35" spans="2:5" ht="15.75">
      <c r="B35" s="532" t="str">
        <f>CONCATENATE(C79,"     ",D79)</f>
        <v>     </v>
      </c>
      <c r="C35" s="645" t="s">
        <v>749</v>
      </c>
      <c r="D35" s="646"/>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2012/2013 Budget Authority Amount:</v>
      </c>
      <c r="C69" s="362">
        <f>inputOth!$B91</f>
        <v>0</v>
      </c>
      <c r="D69" s="85">
        <f>inputPrYr!$D28</f>
        <v>0</v>
      </c>
      <c r="E69" s="328" t="s">
        <v>266</v>
      </c>
      <c r="F69" s="337"/>
    </row>
    <row r="70" spans="2:6" ht="15.75">
      <c r="B70" s="121"/>
      <c r="C70" s="643" t="s">
        <v>748</v>
      </c>
      <c r="D70" s="644"/>
      <c r="E70" s="175"/>
      <c r="F70" s="337">
        <f>IF(E67/0.95-E67&lt;E70,"Exceeds 5%","")</f>
      </c>
    </row>
    <row r="71" spans="2:5" ht="15.75">
      <c r="B71" s="532" t="str">
        <f>CONCATENATE(C81,"     ",D81)</f>
        <v>     </v>
      </c>
      <c r="C71" s="645" t="s">
        <v>749</v>
      </c>
      <c r="D71" s="646"/>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LIBERTY TOWNSHIP</v>
      </c>
      <c r="C1" s="66"/>
      <c r="D1" s="66"/>
      <c r="E1" s="231">
        <f>inputPrYr!D9</f>
        <v>2014</v>
      </c>
    </row>
    <row r="2" spans="2:5" ht="15.75">
      <c r="B2" s="573" t="s">
        <v>780</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751</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2012/2013 Budget Authority Amount:</v>
      </c>
      <c r="C33" s="362">
        <f>inputOth!$B92</f>
        <v>0</v>
      </c>
      <c r="D33" s="85">
        <f>inputPrYr!$D29</f>
        <v>0</v>
      </c>
      <c r="E33" s="328" t="s">
        <v>266</v>
      </c>
      <c r="F33" s="337"/>
    </row>
    <row r="34" spans="2:6" ht="15.75">
      <c r="B34" s="121"/>
      <c r="C34" s="643" t="s">
        <v>748</v>
      </c>
      <c r="D34" s="644"/>
      <c r="E34" s="175"/>
      <c r="F34" s="337">
        <f>IF(E31/0.95-E31&lt;E34,"Exceeds 5%","")</f>
      </c>
    </row>
    <row r="35" spans="2:5" ht="15.75">
      <c r="B35" s="532" t="str">
        <f>CONCATENATE(C79,"     ",D79)</f>
        <v>     </v>
      </c>
      <c r="C35" s="645" t="s">
        <v>749</v>
      </c>
      <c r="D35" s="646"/>
      <c r="E35" s="267">
        <f>E31+E34</f>
        <v>0</v>
      </c>
    </row>
    <row r="36" spans="2:5" ht="15.75">
      <c r="B36" s="532" t="str">
        <f>CONCATENATE(C80,"     ",D80)</f>
        <v>     </v>
      </c>
      <c r="C36" s="535"/>
      <c r="D36" s="534" t="s">
        <v>299</v>
      </c>
      <c r="E36" s="186">
        <f>IF(E35-E21&gt;0,E35-E21,0)</f>
        <v>0</v>
      </c>
    </row>
    <row r="37" spans="2:5" ht="15.75">
      <c r="B37" s="216"/>
      <c r="C37" s="533" t="s">
        <v>750</v>
      </c>
      <c r="D37" s="537">
        <f>inputOth!$E$77</f>
        <v>0</v>
      </c>
      <c r="E37" s="267">
        <f>ROUND(IF(D37&gt;0,(E36*D37),0),0)</f>
        <v>0</v>
      </c>
    </row>
    <row r="38" spans="2:5" ht="15.75">
      <c r="B38" s="66"/>
      <c r="C38" s="647" t="str">
        <f>CONCATENATE("Amount of  ",$E$1-1," Ad Valorem Tax")</f>
        <v>Amount of  2013 Ad Valorem Tax</v>
      </c>
      <c r="D38" s="648"/>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751</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2012/2013 Budget Authority Amount:</v>
      </c>
      <c r="C69" s="362">
        <f>inputOth!$B93</f>
        <v>0</v>
      </c>
      <c r="D69" s="85">
        <f>inputPrYr!$D30</f>
        <v>0</v>
      </c>
      <c r="E69" s="328" t="s">
        <v>266</v>
      </c>
      <c r="F69" s="337"/>
    </row>
    <row r="70" spans="2:6" ht="15.75">
      <c r="B70" s="121"/>
      <c r="C70" s="643" t="s">
        <v>748</v>
      </c>
      <c r="D70" s="644"/>
      <c r="E70" s="175"/>
      <c r="F70" s="337">
        <f>IF(E67/0.95-E67&lt;E70,"Exceeds 5%","")</f>
      </c>
    </row>
    <row r="71" spans="2:5" ht="15.75">
      <c r="B71" s="532" t="str">
        <f>CONCATENATE(C81,"     ",D81)</f>
        <v>     </v>
      </c>
      <c r="C71" s="645" t="s">
        <v>749</v>
      </c>
      <c r="D71" s="646"/>
      <c r="E71" s="267">
        <f>E67+E70</f>
        <v>0</v>
      </c>
    </row>
    <row r="72" spans="2:5" ht="15.75">
      <c r="B72" s="532" t="str">
        <f>CONCATENATE(C82,"     ",D82)</f>
        <v>     </v>
      </c>
      <c r="C72" s="535"/>
      <c r="D72" s="534" t="s">
        <v>299</v>
      </c>
      <c r="E72" s="186">
        <f>IF(E71-E57&gt;0,E71-E57,0)</f>
        <v>0</v>
      </c>
    </row>
    <row r="73" spans="2:5" ht="15.75">
      <c r="B73" s="216"/>
      <c r="C73" s="533" t="s">
        <v>750</v>
      </c>
      <c r="D73" s="537">
        <f>inputOth!$E$77</f>
        <v>0</v>
      </c>
      <c r="E73" s="267">
        <f>ROUND(IF(D73&gt;0,(E72*D73),0),0)</f>
        <v>0</v>
      </c>
    </row>
    <row r="74" spans="2:5" ht="15.75">
      <c r="B74" s="66"/>
      <c r="C74" s="647" t="str">
        <f>CONCATENATE("Amount of  ",$E$1-1," Ad Valorem Tax")</f>
        <v>Amount of  2013 Ad Valorem Tax</v>
      </c>
      <c r="D74" s="648"/>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 operator="greaterThan" stopIfTrue="1">
      <formula>$C$69</formula>
    </cfRule>
  </conditionalFormatting>
  <conditionalFormatting sqref="D67">
    <cfRule type="cellIs" priority="17" dxfId="1" operator="greaterThan" stopIfTrue="1">
      <formula>$D$69</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LIBERTY TOWNSHIP</v>
      </c>
      <c r="C1" s="66"/>
      <c r="D1" s="66"/>
      <c r="E1" s="231">
        <f>inputPrYr!D9</f>
        <v>2014</v>
      </c>
    </row>
    <row r="2" spans="2:5" ht="15.75">
      <c r="B2" s="66"/>
      <c r="C2" s="66"/>
      <c r="D2" s="66"/>
      <c r="E2" s="216"/>
    </row>
    <row r="3" spans="2:5" ht="15.75">
      <c r="B3" s="163" t="s">
        <v>97</v>
      </c>
      <c r="C3" s="72"/>
      <c r="D3" s="72"/>
      <c r="E3" s="72"/>
    </row>
    <row r="4" spans="2:5" ht="15.75">
      <c r="B4" s="74" t="s">
        <v>281</v>
      </c>
      <c r="C4" s="209" t="s">
        <v>282</v>
      </c>
      <c r="D4" s="76" t="s">
        <v>283</v>
      </c>
      <c r="E4" s="76" t="s">
        <v>284</v>
      </c>
    </row>
    <row r="5" spans="2:5" ht="15.75">
      <c r="B5" s="517">
        <f>inputPrYr!B34</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751</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751</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LIBERTY TOWNSHIP</v>
      </c>
      <c r="C1" s="66"/>
      <c r="D1" s="66"/>
      <c r="E1" s="231">
        <f>inputPrYr!D9</f>
        <v>2014</v>
      </c>
    </row>
    <row r="2" spans="2:5" ht="15.75">
      <c r="B2" s="66"/>
      <c r="C2" s="66"/>
      <c r="D2" s="66"/>
      <c r="E2" s="216"/>
    </row>
    <row r="3" spans="2:5" ht="15.75">
      <c r="B3" s="163" t="s">
        <v>97</v>
      </c>
      <c r="C3" s="72"/>
      <c r="D3" s="72"/>
      <c r="E3" s="72"/>
    </row>
    <row r="4" spans="2:5" ht="15.75">
      <c r="B4" s="74" t="s">
        <v>281</v>
      </c>
      <c r="C4" s="209" t="s">
        <v>282</v>
      </c>
      <c r="D4" s="76" t="s">
        <v>283</v>
      </c>
      <c r="E4" s="76" t="s">
        <v>284</v>
      </c>
    </row>
    <row r="5" spans="2:5" ht="15.75">
      <c r="B5" s="182">
        <f>inputPrYr!B36</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751</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751</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235</v>
      </c>
      <c r="B2" s="66"/>
      <c r="C2" s="66"/>
      <c r="D2" s="66"/>
      <c r="E2" s="66"/>
    </row>
    <row r="3" spans="1:5" ht="15.75">
      <c r="A3" s="161" t="s">
        <v>233</v>
      </c>
      <c r="B3" s="66"/>
      <c r="C3" s="66"/>
      <c r="D3" s="122" t="s">
        <v>819</v>
      </c>
      <c r="E3" s="73"/>
    </row>
    <row r="4" spans="1:5" ht="15.75">
      <c r="A4" s="161" t="s">
        <v>234</v>
      </c>
      <c r="B4" s="66"/>
      <c r="C4" s="66"/>
      <c r="D4" s="162" t="s">
        <v>818</v>
      </c>
      <c r="E4" s="73"/>
    </row>
    <row r="5" spans="1:5" ht="15.75">
      <c r="A5" s="66"/>
      <c r="B5" s="66"/>
      <c r="C5" s="66"/>
      <c r="D5" s="66"/>
      <c r="E5" s="66"/>
    </row>
    <row r="6" spans="1:5" ht="15.75">
      <c r="A6" s="163" t="s">
        <v>154</v>
      </c>
      <c r="B6" s="66"/>
      <c r="C6" s="66"/>
      <c r="D6" s="391" t="s">
        <v>820</v>
      </c>
      <c r="E6" s="66"/>
    </row>
    <row r="7" spans="1:5" ht="15.75">
      <c r="A7" s="163" t="s">
        <v>155</v>
      </c>
      <c r="B7" s="66"/>
      <c r="C7" s="66"/>
      <c r="D7" s="115"/>
      <c r="E7" s="66"/>
    </row>
    <row r="8" spans="1:5" ht="15.75">
      <c r="A8" s="66"/>
      <c r="B8" s="66"/>
      <c r="C8" s="66"/>
      <c r="D8" s="66"/>
      <c r="E8" s="66"/>
    </row>
    <row r="9" spans="1:5" ht="15.75">
      <c r="A9" s="163" t="s">
        <v>100</v>
      </c>
      <c r="B9" s="66"/>
      <c r="C9" s="66"/>
      <c r="D9" s="164">
        <v>2014</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94" t="s">
        <v>113</v>
      </c>
      <c r="B14" s="595"/>
      <c r="C14" s="595"/>
      <c r="D14" s="595"/>
      <c r="E14" s="595"/>
    </row>
    <row r="15" spans="1:5" ht="15.75">
      <c r="A15" s="161"/>
      <c r="B15" s="66"/>
      <c r="C15" s="66"/>
      <c r="D15" s="66"/>
      <c r="E15" s="66"/>
    </row>
    <row r="16" spans="1:5" ht="15.75">
      <c r="A16" s="167" t="s">
        <v>101</v>
      </c>
      <c r="B16" s="168"/>
      <c r="C16" s="66"/>
      <c r="D16" s="69"/>
      <c r="E16" s="169"/>
    </row>
    <row r="17" spans="1:5" ht="15.75">
      <c r="A17" s="170" t="str">
        <f>CONCATENATE("the ",D9-1," Budget, Certificate Page:")</f>
        <v>the 2013 Budget, Certificate Page:</v>
      </c>
      <c r="B17" s="171"/>
      <c r="C17" s="69"/>
      <c r="D17" s="66"/>
      <c r="E17" s="66"/>
    </row>
    <row r="18" spans="1:5" ht="15.75">
      <c r="A18" s="170" t="s">
        <v>330</v>
      </c>
      <c r="B18" s="171"/>
      <c r="C18" s="69"/>
      <c r="D18" s="172">
        <f>D9-1</f>
        <v>2013</v>
      </c>
      <c r="E18" s="172">
        <f>D9-2</f>
        <v>2012</v>
      </c>
    </row>
    <row r="19" spans="1:5" ht="15.75">
      <c r="A19" s="74" t="s">
        <v>248</v>
      </c>
      <c r="B19" s="66"/>
      <c r="C19" s="173" t="s">
        <v>247</v>
      </c>
      <c r="D19" s="174" t="s">
        <v>361</v>
      </c>
      <c r="E19" s="174" t="s">
        <v>287</v>
      </c>
    </row>
    <row r="20" spans="1:5" ht="15.75">
      <c r="A20" s="66"/>
      <c r="B20" s="108" t="s">
        <v>249</v>
      </c>
      <c r="C20" s="85" t="s">
        <v>250</v>
      </c>
      <c r="D20" s="175">
        <v>10268</v>
      </c>
      <c r="E20" s="175">
        <v>9274</v>
      </c>
    </row>
    <row r="21" spans="1:5" ht="15.75">
      <c r="A21" s="66"/>
      <c r="B21" s="108" t="s">
        <v>321</v>
      </c>
      <c r="C21" s="85" t="s">
        <v>107</v>
      </c>
      <c r="D21" s="175"/>
      <c r="E21" s="175"/>
    </row>
    <row r="22" spans="1:5" ht="15.75">
      <c r="A22" s="66"/>
      <c r="B22" s="108" t="s">
        <v>251</v>
      </c>
      <c r="C22" s="176" t="s">
        <v>236</v>
      </c>
      <c r="D22" s="175">
        <v>43311</v>
      </c>
      <c r="E22" s="175">
        <v>33888</v>
      </c>
    </row>
    <row r="23" spans="1:5" ht="15.75">
      <c r="A23" s="66"/>
      <c r="B23" s="108" t="s">
        <v>254</v>
      </c>
      <c r="C23" s="90" t="s">
        <v>254</v>
      </c>
      <c r="D23" s="175"/>
      <c r="E23" s="175"/>
    </row>
    <row r="24" spans="1:5" ht="15.75">
      <c r="A24" s="66"/>
      <c r="B24" s="108" t="s">
        <v>254</v>
      </c>
      <c r="C24" s="90" t="s">
        <v>254</v>
      </c>
      <c r="D24" s="175"/>
      <c r="E24" s="175"/>
    </row>
    <row r="25" spans="1:5" ht="15.75">
      <c r="A25" s="66"/>
      <c r="B25" s="212" t="s">
        <v>390</v>
      </c>
      <c r="C25" s="90" t="s">
        <v>391</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43162</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53579</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92" t="str">
        <f>CONCATENATE("",D9-3," Tax Rate         (",D9-2," Column)")</f>
        <v>2011 Tax Rate         (2012 Column)</v>
      </c>
      <c r="E46" s="66"/>
    </row>
    <row r="47" spans="1:5" ht="15.75">
      <c r="A47" s="170" t="str">
        <f>CONCATENATE("the ",D9-1," Budget, Budget Summary Page:")</f>
        <v>the 2013 Budget, Budget Summary Page:</v>
      </c>
      <c r="B47" s="187"/>
      <c r="C47" s="66"/>
      <c r="D47" s="593"/>
      <c r="E47" s="66"/>
    </row>
    <row r="48" spans="1:5" ht="15.75">
      <c r="A48" s="66"/>
      <c r="B48" s="92" t="str">
        <f aca="true" t="shared" si="0" ref="B48:B57">B20</f>
        <v>General</v>
      </c>
      <c r="C48" s="66"/>
      <c r="D48" s="188">
        <v>4.197</v>
      </c>
      <c r="E48" s="66"/>
    </row>
    <row r="49" spans="1:5" ht="15.75">
      <c r="A49" s="66"/>
      <c r="B49" s="92" t="str">
        <f t="shared" si="0"/>
        <v>Debt Service</v>
      </c>
      <c r="C49" s="66"/>
      <c r="D49" s="189"/>
      <c r="E49" s="66"/>
    </row>
    <row r="50" spans="1:5" ht="15.75">
      <c r="A50" s="66"/>
      <c r="B50" s="92" t="str">
        <f t="shared" si="0"/>
        <v>Road</v>
      </c>
      <c r="C50" s="66"/>
      <c r="D50" s="189">
        <v>23.236</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27.433</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47746</v>
      </c>
    </row>
    <row r="62" spans="1:5" ht="15.75">
      <c r="A62" s="192" t="str">
        <f>CONCATENATE("Assessed Valuation (",D9-2," budget column):")</f>
        <v>Assessed Valuation (2012 budget column):</v>
      </c>
      <c r="B62" s="168"/>
      <c r="C62" s="66"/>
      <c r="D62" s="66"/>
      <c r="E62" s="193">
        <v>2057492</v>
      </c>
    </row>
    <row r="63" spans="1:5" ht="15.75">
      <c r="A63" s="66"/>
      <c r="B63" s="66"/>
      <c r="C63" s="66"/>
      <c r="D63" s="66"/>
      <c r="E63" s="194"/>
    </row>
    <row r="64" spans="1:5" ht="15.75">
      <c r="A64" s="195" t="s">
        <v>173</v>
      </c>
      <c r="B64" s="195"/>
      <c r="C64" s="196"/>
      <c r="D64" s="197">
        <f>D9-3</f>
        <v>2011</v>
      </c>
      <c r="E64" s="197">
        <f>D9-2</f>
        <v>2012</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LIBERTY TOWNSHIP</v>
      </c>
      <c r="B1" s="123"/>
      <c r="C1" s="116"/>
      <c r="D1" s="116"/>
      <c r="E1" s="116"/>
      <c r="F1" s="124" t="s">
        <v>344</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657">
        <f>inputPrYr!B40</f>
        <v>0</v>
      </c>
      <c r="B5" s="658"/>
      <c r="C5" s="657">
        <f>inputPrYr!B41</f>
        <v>0</v>
      </c>
      <c r="D5" s="658"/>
      <c r="E5" s="657">
        <f>inputPrYr!B42</f>
        <v>0</v>
      </c>
      <c r="F5" s="658"/>
      <c r="G5" s="659">
        <f>inputPrYr!B43</f>
        <v>0</v>
      </c>
      <c r="H5" s="658"/>
      <c r="I5" s="659">
        <f>inputPrYr!B44</f>
        <v>0</v>
      </c>
      <c r="J5" s="658"/>
      <c r="K5" s="128"/>
    </row>
    <row r="6" spans="1:11" ht="15.75">
      <c r="A6" s="129" t="s">
        <v>351</v>
      </c>
      <c r="B6" s="130"/>
      <c r="C6" s="131" t="s">
        <v>351</v>
      </c>
      <c r="D6" s="132"/>
      <c r="E6" s="131" t="s">
        <v>351</v>
      </c>
      <c r="F6" s="133"/>
      <c r="G6" s="131" t="s">
        <v>351</v>
      </c>
      <c r="H6" s="127"/>
      <c r="I6" s="131" t="s">
        <v>351</v>
      </c>
      <c r="J6" s="116"/>
      <c r="K6" s="134" t="s">
        <v>252</v>
      </c>
    </row>
    <row r="7" spans="1:11" ht="15.75">
      <c r="A7" s="135" t="s">
        <v>352</v>
      </c>
      <c r="B7" s="136"/>
      <c r="C7" s="137" t="s">
        <v>352</v>
      </c>
      <c r="D7" s="136"/>
      <c r="E7" s="137" t="s">
        <v>352</v>
      </c>
      <c r="F7" s="136"/>
      <c r="G7" s="137" t="s">
        <v>352</v>
      </c>
      <c r="H7" s="136"/>
      <c r="I7" s="137" t="s">
        <v>352</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0</v>
      </c>
      <c r="C17" s="139" t="s">
        <v>294</v>
      </c>
      <c r="D17" s="138">
        <f>SUM(D9:D16)</f>
        <v>0</v>
      </c>
      <c r="E17" s="139" t="s">
        <v>294</v>
      </c>
      <c r="F17" s="152">
        <f>SUM(F9:F16)</f>
        <v>0</v>
      </c>
      <c r="G17" s="139" t="s">
        <v>294</v>
      </c>
      <c r="H17" s="138">
        <f>SUM(H9:H16)</f>
        <v>0</v>
      </c>
      <c r="I17" s="139" t="s">
        <v>294</v>
      </c>
      <c r="J17" s="138">
        <f>SUM(J9:J16)</f>
        <v>0</v>
      </c>
      <c r="K17" s="138">
        <f>SUM(B17+D17+F17+H17+J17)</f>
        <v>0</v>
      </c>
    </row>
    <row r="18" spans="1:11" ht="15.75">
      <c r="A18" s="139" t="s">
        <v>295</v>
      </c>
      <c r="B18" s="138">
        <f>SUM(B7+B17)</f>
        <v>0</v>
      </c>
      <c r="C18" s="139" t="s">
        <v>295</v>
      </c>
      <c r="D18" s="138">
        <f>SUM(D7+D17)</f>
        <v>0</v>
      </c>
      <c r="E18" s="139" t="s">
        <v>295</v>
      </c>
      <c r="F18" s="138">
        <f>SUM(F7+F17)</f>
        <v>0</v>
      </c>
      <c r="G18" s="139" t="s">
        <v>295</v>
      </c>
      <c r="H18" s="138">
        <f>SUM(H7+H17)</f>
        <v>0</v>
      </c>
      <c r="I18" s="139" t="s">
        <v>295</v>
      </c>
      <c r="J18" s="138">
        <f>SUM(J7+J17)</f>
        <v>0</v>
      </c>
      <c r="K18" s="138">
        <f>SUM(B18+D18+F18+H18+J18)</f>
        <v>0</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0</v>
      </c>
      <c r="C28" s="139" t="s">
        <v>297</v>
      </c>
      <c r="D28" s="138">
        <f>SUM(D20:D27)</f>
        <v>0</v>
      </c>
      <c r="E28" s="139" t="s">
        <v>297</v>
      </c>
      <c r="F28" s="152">
        <f>SUM(F20:F27)</f>
        <v>0</v>
      </c>
      <c r="G28" s="139" t="s">
        <v>297</v>
      </c>
      <c r="H28" s="152">
        <f>SUM(H20:H27)</f>
        <v>0</v>
      </c>
      <c r="I28" s="139" t="s">
        <v>297</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zoomScale="70" zoomScaleNormal="70" zoomScalePageLayoutView="0" workbookViewId="0" topLeftCell="A4">
      <selection activeCell="H22" sqref="H2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308</v>
      </c>
      <c r="G2" s="74" t="s">
        <v>309</v>
      </c>
      <c r="H2" s="66"/>
    </row>
    <row r="3" spans="1:8" ht="15.75">
      <c r="A3" s="617" t="s">
        <v>310</v>
      </c>
      <c r="B3" s="617"/>
      <c r="C3" s="617"/>
      <c r="D3" s="617"/>
      <c r="E3" s="617"/>
      <c r="F3" s="617"/>
      <c r="G3" s="617"/>
      <c r="H3" s="617"/>
    </row>
    <row r="4" spans="1:8" ht="15.75">
      <c r="A4" s="664" t="str">
        <f>inputPrYr!D3</f>
        <v>LIBERTY TOWNSHIP</v>
      </c>
      <c r="B4" s="664"/>
      <c r="C4" s="664"/>
      <c r="D4" s="664"/>
      <c r="E4" s="664"/>
      <c r="F4" s="664"/>
      <c r="G4" s="664"/>
      <c r="H4" s="664"/>
    </row>
    <row r="5" spans="1:8" ht="15.75">
      <c r="A5" s="664" t="str">
        <f>inputPrYr!D4</f>
        <v>KINGMAN COUNTY</v>
      </c>
      <c r="B5" s="664"/>
      <c r="C5" s="664"/>
      <c r="D5" s="664"/>
      <c r="E5" s="664"/>
      <c r="F5" s="664"/>
      <c r="G5" s="664"/>
      <c r="H5" s="664"/>
    </row>
    <row r="6" spans="1:8" ht="15.75">
      <c r="A6" s="663" t="str">
        <f>CONCATENATE("will meet on ",inputBudSum!B5," at ",inputBudSum!B7," at ",inputBudSum!B9," for the purpose of hearing and")</f>
        <v>will meet on August 8, 2013 at 8:00 P.M. at Gene Hellman Residence, 111 S Gregory St, Nashville, KS for the purpose of hearing and</v>
      </c>
      <c r="B6" s="663"/>
      <c r="C6" s="663"/>
      <c r="D6" s="663"/>
      <c r="E6" s="663"/>
      <c r="F6" s="663"/>
      <c r="G6" s="663"/>
      <c r="H6" s="663"/>
    </row>
    <row r="7" spans="1:8" ht="15.75">
      <c r="A7" s="70" t="s">
        <v>427</v>
      </c>
      <c r="B7" s="67"/>
      <c r="C7" s="67"/>
      <c r="D7" s="67"/>
      <c r="E7" s="67"/>
      <c r="F7" s="67"/>
      <c r="G7" s="67"/>
      <c r="H7" s="67"/>
    </row>
    <row r="8" spans="1:8" ht="15.75">
      <c r="A8" s="622" t="str">
        <f>CONCATENATE("Detailed budget information is available at ",inputBudSum!B12," and will be available at this hearing.")</f>
        <v>Detailed budget information is available at Gene Hellman Residence, 111 S Gregory St, Nashville, KS and will be available at this hearing.</v>
      </c>
      <c r="B8" s="631"/>
      <c r="C8" s="631"/>
      <c r="D8" s="631"/>
      <c r="E8" s="631"/>
      <c r="F8" s="631"/>
      <c r="G8" s="631"/>
      <c r="H8" s="631"/>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303</v>
      </c>
      <c r="D14" s="76"/>
      <c r="E14" s="76" t="s">
        <v>303</v>
      </c>
      <c r="F14" s="210"/>
      <c r="G14" s="614" t="str">
        <f>CONCATENATE("Amount of ",H1-1," Ad Valorem Tax")</f>
        <v>Amount of 2013 Ad Valorem Tax</v>
      </c>
      <c r="H14" s="76" t="s">
        <v>311</v>
      </c>
      <c r="I14" s="203"/>
    </row>
    <row r="15" spans="1:9" ht="15.75">
      <c r="A15" s="66"/>
      <c r="B15" s="78"/>
      <c r="C15" s="78" t="s">
        <v>312</v>
      </c>
      <c r="D15" s="78"/>
      <c r="E15" s="78" t="s">
        <v>312</v>
      </c>
      <c r="F15" s="528" t="s">
        <v>185</v>
      </c>
      <c r="G15" s="661"/>
      <c r="H15" s="78" t="s">
        <v>312</v>
      </c>
      <c r="I15" s="203"/>
    </row>
    <row r="16" spans="1:10" ht="15.75">
      <c r="A16" s="211" t="s">
        <v>262</v>
      </c>
      <c r="B16" s="81" t="s">
        <v>313</v>
      </c>
      <c r="C16" s="81" t="s">
        <v>314</v>
      </c>
      <c r="D16" s="81" t="s">
        <v>313</v>
      </c>
      <c r="E16" s="81" t="s">
        <v>314</v>
      </c>
      <c r="F16" s="527" t="s">
        <v>747</v>
      </c>
      <c r="G16" s="662"/>
      <c r="H16" s="81" t="s">
        <v>314</v>
      </c>
      <c r="I16" s="203"/>
      <c r="J16" s="566"/>
    </row>
    <row r="17" spans="1:10" ht="15.75">
      <c r="A17" s="92" t="str">
        <f>inputPrYr!B20</f>
        <v>General</v>
      </c>
      <c r="B17" s="92">
        <f>IF(gen!$C$46&lt;&gt;0,gen!$C$46,"  ")</f>
        <v>10267</v>
      </c>
      <c r="C17" s="95">
        <f>IF(inputPrYr!D48&gt;0,inputPrYr!D48,"  ")</f>
        <v>4.197</v>
      </c>
      <c r="D17" s="92">
        <f>IF(gen!$D$46&lt;&gt;0,gen!$D$46,"  ")</f>
        <v>10268</v>
      </c>
      <c r="E17" s="95">
        <f>IF(inputOth!D37&gt;0,inputOth!D37,"  ")</f>
        <v>4.899</v>
      </c>
      <c r="F17" s="92">
        <f>IF(gen!$E$46&lt;&gt;0,gen!$E$46,"  ")</f>
        <v>10268</v>
      </c>
      <c r="G17" s="92">
        <f>IF(gen!$E$53&lt;&gt;0,gen!$E$53,"")</f>
        <v>8915.1</v>
      </c>
      <c r="H17" s="95">
        <f>IF(gen!E53&gt;0,ROUND(G17/F38*1000,3)," ")</f>
        <v>4.18</v>
      </c>
      <c r="I17" s="203"/>
      <c r="J17" s="566"/>
    </row>
    <row r="18" spans="1:9" ht="15.75">
      <c r="A18" s="92" t="s">
        <v>254</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45749.65</v>
      </c>
      <c r="C19" s="95">
        <f>IF(inputPrYr!D50&gt;0,inputPrYr!D50,"  ")</f>
        <v>23.236</v>
      </c>
      <c r="D19" s="92">
        <f>IF(road!$D$41&lt;&gt;0,road!$D$41,"  ")</f>
        <v>43311</v>
      </c>
      <c r="E19" s="95">
        <f>IF(inputOth!D39&gt;0,inputOth!D39,"  ")</f>
        <v>22.51</v>
      </c>
      <c r="F19" s="92">
        <f>IF(road!$E$41&lt;&gt;0,road!$E$41,"  ")</f>
        <v>43311</v>
      </c>
      <c r="G19" s="92">
        <f>IF(road!$E$48&lt;&gt;0,road!$E$48,"  ")</f>
        <v>37709.7</v>
      </c>
      <c r="H19" s="95">
        <f>IF(road!E48&gt;0,ROUND(G19/F39*1000,3)," ")</f>
        <v>23.389</v>
      </c>
    </row>
    <row r="20" spans="1:8" ht="15.75">
      <c r="A20" s="92" t="s">
        <v>254</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254</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254</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66"/>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264</v>
      </c>
      <c r="B33" s="509" t="str">
        <f>IF(road!C62&lt;&gt;0,road!C62,"  ")</f>
        <v>  </v>
      </c>
      <c r="C33" s="510"/>
      <c r="D33" s="510"/>
      <c r="E33" s="510"/>
      <c r="F33" s="510"/>
      <c r="G33" s="510"/>
      <c r="H33" s="510"/>
    </row>
    <row r="34" spans="1:8" ht="15.75">
      <c r="A34" s="108" t="s">
        <v>265</v>
      </c>
      <c r="B34" s="507">
        <f aca="true" t="shared" si="0" ref="B34:H34">SUM(B17:B33)</f>
        <v>56016.65</v>
      </c>
      <c r="C34" s="508">
        <f t="shared" si="0"/>
        <v>27.433</v>
      </c>
      <c r="D34" s="507">
        <f t="shared" si="0"/>
        <v>53579</v>
      </c>
      <c r="E34" s="508">
        <f t="shared" si="0"/>
        <v>27.409000000000002</v>
      </c>
      <c r="F34" s="507">
        <f t="shared" si="0"/>
        <v>53579</v>
      </c>
      <c r="G34" s="507">
        <f t="shared" si="0"/>
        <v>46624.799999999996</v>
      </c>
      <c r="H34" s="508">
        <f t="shared" si="0"/>
        <v>27.569</v>
      </c>
    </row>
    <row r="35" spans="1:8" ht="15.75">
      <c r="A35" s="108" t="s">
        <v>315</v>
      </c>
      <c r="B35" s="92">
        <f>transfer!C29</f>
        <v>11565</v>
      </c>
      <c r="C35" s="66"/>
      <c r="D35" s="92">
        <f>transfer!D29</f>
        <v>0</v>
      </c>
      <c r="E35" s="213"/>
      <c r="F35" s="92">
        <f>transfer!E29</f>
        <v>0</v>
      </c>
      <c r="G35" s="66"/>
      <c r="H35" s="66"/>
    </row>
    <row r="36" spans="1:8" ht="16.5" thickBot="1">
      <c r="A36" s="108" t="s">
        <v>316</v>
      </c>
      <c r="B36" s="511">
        <f>B34-B35</f>
        <v>44451.65</v>
      </c>
      <c r="C36" s="66"/>
      <c r="D36" s="511">
        <f>D34-D35</f>
        <v>53579</v>
      </c>
      <c r="E36" s="66"/>
      <c r="F36" s="511">
        <f>F34-F35</f>
        <v>53579</v>
      </c>
      <c r="G36" s="66"/>
      <c r="H36" s="66"/>
    </row>
    <row r="37" spans="1:8" ht="16.5" thickTop="1">
      <c r="A37" s="108" t="s">
        <v>0</v>
      </c>
      <c r="B37" s="236">
        <f>inputPrYr!E61</f>
        <v>47746</v>
      </c>
      <c r="C37" s="213"/>
      <c r="D37" s="236">
        <f>inputPrYr!E31</f>
        <v>43162</v>
      </c>
      <c r="E37" s="66"/>
      <c r="F37" s="512" t="s">
        <v>266</v>
      </c>
      <c r="G37" s="66"/>
      <c r="H37" s="66"/>
    </row>
    <row r="38" spans="1:8" ht="15.75">
      <c r="A38" s="108" t="s">
        <v>190</v>
      </c>
      <c r="B38" s="92">
        <f>inputPrYr!E62</f>
        <v>2057492</v>
      </c>
      <c r="C38" s="213"/>
      <c r="D38" s="92">
        <f>inputOth!E54</f>
        <v>1892931</v>
      </c>
      <c r="E38" s="213"/>
      <c r="F38" s="92">
        <f>inputOth!E11</f>
        <v>2132758</v>
      </c>
      <c r="G38" s="66"/>
      <c r="H38" s="66"/>
    </row>
    <row r="39" spans="1:10" ht="15.75">
      <c r="A39" s="82" t="s">
        <v>246</v>
      </c>
      <c r="B39" s="214"/>
      <c r="C39" s="66"/>
      <c r="D39" s="182"/>
      <c r="E39" s="66"/>
      <c r="F39" s="92">
        <f>inputOth!E8</f>
        <v>1612264</v>
      </c>
      <c r="G39" s="66"/>
      <c r="H39" s="66"/>
      <c r="J39" s="567"/>
    </row>
    <row r="40" spans="1:11" ht="15.75">
      <c r="A40" s="111"/>
      <c r="B40" s="182"/>
      <c r="C40" s="66"/>
      <c r="D40" s="182"/>
      <c r="E40" s="66"/>
      <c r="F40" s="182"/>
      <c r="G40" s="66"/>
      <c r="H40" s="66"/>
      <c r="J40" s="567"/>
      <c r="K40" s="567"/>
    </row>
    <row r="41" spans="1:11" ht="15.75">
      <c r="A41" s="74" t="s">
        <v>1</v>
      </c>
      <c r="B41" s="66"/>
      <c r="C41" s="66"/>
      <c r="D41" s="66"/>
      <c r="E41" s="66"/>
      <c r="F41" s="66"/>
      <c r="G41" s="66"/>
      <c r="H41" s="66"/>
      <c r="K41" s="567"/>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292</v>
      </c>
      <c r="B44" s="85">
        <f>inputPrYr!D66</f>
        <v>0</v>
      </c>
      <c r="C44" s="71"/>
      <c r="D44" s="85">
        <f>inputPrYr!E66</f>
        <v>0</v>
      </c>
      <c r="E44" s="71"/>
      <c r="F44" s="85">
        <f>debt!E15</f>
        <v>0</v>
      </c>
      <c r="G44" s="66"/>
      <c r="H44" s="390"/>
    </row>
    <row r="45" spans="1:8" ht="15.75">
      <c r="A45" s="74" t="s">
        <v>753</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60"/>
      <c r="B49" s="660"/>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280</v>
      </c>
      <c r="C52" s="217">
        <v>6</v>
      </c>
      <c r="D52" s="66"/>
      <c r="E52" s="66"/>
      <c r="F52" s="66"/>
      <c r="G52" s="66"/>
      <c r="H52" s="66"/>
    </row>
    <row r="53" spans="1:8" ht="15.75">
      <c r="A53" s="117"/>
      <c r="B53" s="117"/>
      <c r="C53" s="117"/>
      <c r="H53" s="568"/>
    </row>
    <row r="55" spans="1:7" ht="15.75">
      <c r="A55" s="117"/>
      <c r="B55" s="117"/>
      <c r="C55" s="117"/>
      <c r="D55" s="117"/>
      <c r="E55" s="117"/>
      <c r="F55" s="117"/>
      <c r="G55" s="117"/>
    </row>
    <row r="56" spans="8:13" ht="15.75">
      <c r="H56" s="117"/>
      <c r="M56" s="569"/>
    </row>
    <row r="57" ht="15.75">
      <c r="M57" s="56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7">
    <mergeCell ref="A8:H8"/>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H22" sqref="H22"/>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LIBERTY TOWNSHIP</v>
      </c>
      <c r="B1" s="66"/>
      <c r="C1" s="66"/>
      <c r="D1" s="66"/>
      <c r="E1" s="66"/>
      <c r="F1" s="66">
        <f>inputPrYr!D9</f>
        <v>2014</v>
      </c>
    </row>
    <row r="2" spans="1:6" ht="15.75">
      <c r="A2" s="66"/>
      <c r="B2" s="66"/>
      <c r="C2" s="66"/>
      <c r="D2" s="66"/>
      <c r="E2" s="66"/>
      <c r="F2" s="66"/>
    </row>
    <row r="3" spans="1:6" ht="15.75">
      <c r="A3" s="66"/>
      <c r="B3" s="613" t="str">
        <f>CONCATENATE("",F1," Neighborhood Revitalization Rebate")</f>
        <v>2014 Neighborhood Revitalization Rebate</v>
      </c>
      <c r="C3" s="618"/>
      <c r="D3" s="618"/>
      <c r="E3" s="618"/>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v>8915</v>
      </c>
      <c r="D6" s="367">
        <f aca="true" t="shared" si="0" ref="D6:D16">IF(C6&gt;0,C6/$D$22,"")</f>
        <v>4.18003355279877</v>
      </c>
      <c r="E6" s="362">
        <f>IF(C6&gt;0,ROUND(D6*$D$26,0),"")</f>
        <v>220</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37710</v>
      </c>
      <c r="D8" s="367">
        <f t="shared" si="0"/>
        <v>17.681330933936245</v>
      </c>
      <c r="E8" s="362">
        <f t="shared" si="1"/>
        <v>932</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46625</v>
      </c>
      <c r="D17" s="370">
        <f>SUM(D6:D16)</f>
        <v>21.861364486735013</v>
      </c>
      <c r="E17" s="369">
        <f>SUM(E6:E16)</f>
        <v>1152</v>
      </c>
      <c r="F17" s="196"/>
    </row>
    <row r="18" spans="1:6" ht="16.5" thickTop="1">
      <c r="A18" s="66"/>
      <c r="B18" s="66"/>
      <c r="C18" s="66"/>
      <c r="D18" s="66"/>
      <c r="E18" s="66"/>
      <c r="F18" s="196"/>
    </row>
    <row r="19" spans="1:6" ht="15.75">
      <c r="A19" s="66"/>
      <c r="B19" s="66"/>
      <c r="C19" s="66"/>
      <c r="D19" s="66"/>
      <c r="E19" s="66"/>
      <c r="F19" s="196"/>
    </row>
    <row r="20" spans="1:6" ht="15.75">
      <c r="A20" s="667" t="str">
        <f>CONCATENATE("",F1-1," July 1 Valuation:")</f>
        <v>2013 July 1 Valuation:</v>
      </c>
      <c r="B20" s="666"/>
      <c r="C20" s="667"/>
      <c r="D20" s="371">
        <f>inputOth!E11</f>
        <v>2132758</v>
      </c>
      <c r="E20" s="66"/>
      <c r="F20" s="196"/>
    </row>
    <row r="21" spans="1:6" ht="15.75">
      <c r="A21" s="66"/>
      <c r="B21" s="66"/>
      <c r="C21" s="66"/>
      <c r="D21" s="66"/>
      <c r="E21" s="66"/>
      <c r="F21" s="196"/>
    </row>
    <row r="22" spans="1:6" ht="15.75">
      <c r="A22" s="66"/>
      <c r="B22" s="667" t="s">
        <v>385</v>
      </c>
      <c r="C22" s="667"/>
      <c r="D22" s="372">
        <f>IF(D20&gt;0,(D20*0.001),"")</f>
        <v>2132.7580000000003</v>
      </c>
      <c r="E22" s="66"/>
      <c r="F22" s="196"/>
    </row>
    <row r="23" spans="1:6" ht="15.75">
      <c r="A23" s="66"/>
      <c r="B23" s="121"/>
      <c r="C23" s="121"/>
      <c r="D23" s="373"/>
      <c r="E23" s="66"/>
      <c r="F23" s="196"/>
    </row>
    <row r="24" spans="1:6" ht="15.75">
      <c r="A24" s="665" t="s">
        <v>386</v>
      </c>
      <c r="B24" s="631"/>
      <c r="C24" s="631"/>
      <c r="D24" s="374">
        <f>inputOth!E33</f>
        <v>52699</v>
      </c>
      <c r="E24" s="183"/>
      <c r="F24" s="183"/>
    </row>
    <row r="25" spans="1:6" ht="15.75">
      <c r="A25" s="183"/>
      <c r="B25" s="183"/>
      <c r="C25" s="183"/>
      <c r="D25" s="375"/>
      <c r="E25" s="183"/>
      <c r="F25" s="183"/>
    </row>
    <row r="26" spans="1:6" ht="15.75">
      <c r="A26" s="183"/>
      <c r="B26" s="665" t="s">
        <v>387</v>
      </c>
      <c r="C26" s="666"/>
      <c r="D26" s="376">
        <f>IF(D24&gt;0,(D24*0.001),"")</f>
        <v>52.699</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H22" sqref="H22"/>
    </sheetView>
  </sheetViews>
  <sheetFormatPr defaultColWidth="8.796875" defaultRowHeight="15.75"/>
  <sheetData>
    <row r="1" spans="1:7" ht="15.75">
      <c r="A1" s="673" t="s">
        <v>84</v>
      </c>
      <c r="B1" s="673"/>
      <c r="C1" s="673"/>
      <c r="D1" s="673"/>
      <c r="E1" s="673"/>
      <c r="F1" s="673"/>
      <c r="G1" s="673"/>
    </row>
    <row r="2" ht="15.75">
      <c r="A2" s="21"/>
    </row>
    <row r="3" spans="1:7" ht="15.75">
      <c r="A3" s="674" t="s">
        <v>825</v>
      </c>
      <c r="B3" s="674"/>
      <c r="C3" s="674"/>
      <c r="D3" s="674"/>
      <c r="E3" s="674"/>
      <c r="F3" s="674"/>
      <c r="G3" s="674"/>
    </row>
    <row r="4" ht="15.75">
      <c r="A4" s="22"/>
    </row>
    <row r="5" ht="15.75">
      <c r="A5" s="22"/>
    </row>
    <row r="6" spans="1:9" ht="15.75">
      <c r="A6" s="28" t="str">
        <f>CONCATENATE("A resolution expressing the property taxation policy of the Board of ",(inputPrYr!D3)," ")</f>
        <v>A resolution expressing the property taxation policy of the Board of LIBERTY TOWNSHIP </v>
      </c>
      <c r="I6">
        <f>CONCATENATE(I7)</f>
      </c>
    </row>
    <row r="7" spans="1:7" ht="15.75">
      <c r="A7" s="675" t="str">
        <f>CONCATENATE("   with respect to financing the ",inputPrYr!D9," annual budget for ",(inputPrYr!D3)," , ",(inputPrYr!D4)," , Kansas.")</f>
        <v>   with respect to financing the 2014 annual budget for LIBERTY TOWNSHIP , KINGMAN COUNTY , Kansas.</v>
      </c>
      <c r="B7" s="601"/>
      <c r="C7" s="601"/>
      <c r="D7" s="601"/>
      <c r="E7" s="601"/>
      <c r="F7" s="601"/>
      <c r="G7" s="601"/>
    </row>
    <row r="8" spans="1:7" ht="15.75">
      <c r="A8" s="601"/>
      <c r="B8" s="601"/>
      <c r="C8" s="601"/>
      <c r="D8" s="601"/>
      <c r="E8" s="601"/>
      <c r="F8" s="601"/>
      <c r="G8" s="601"/>
    </row>
    <row r="9" ht="15.75">
      <c r="A9" s="21"/>
    </row>
    <row r="10" ht="15.75">
      <c r="A10" s="29" t="s">
        <v>85</v>
      </c>
    </row>
    <row r="11" ht="15.75">
      <c r="A11" s="27" t="str">
        <f>CONCATENATE("to finance the ",inputPrYr!D9," ",(inputPrYr!D3)," budget exceed the amount levied to finance the ",inputPrYr!D9-1,"")</f>
        <v>to finance the 2014 LIBERTY TOWNSHIP budget exceed the amount levied to finance the 2013</v>
      </c>
    </row>
    <row r="12" spans="1:7" ht="15.75">
      <c r="A12" s="670" t="str">
        <f>CONCATENATE((inputPrYr!D3),"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601"/>
      <c r="C12" s="601"/>
      <c r="D12" s="601"/>
      <c r="E12" s="601"/>
      <c r="F12" s="601"/>
      <c r="G12" s="601"/>
    </row>
    <row r="13" spans="1:7" ht="15.75">
      <c r="A13" s="601"/>
      <c r="B13" s="601"/>
      <c r="C13" s="601"/>
      <c r="D13" s="601"/>
      <c r="E13" s="601"/>
      <c r="F13" s="601"/>
      <c r="G13" s="601"/>
    </row>
    <row r="14" spans="1:7" ht="15.75">
      <c r="A14" s="670" t="s">
        <v>90</v>
      </c>
      <c r="B14" s="601"/>
      <c r="C14" s="601"/>
      <c r="D14" s="601"/>
      <c r="E14" s="601"/>
      <c r="F14" s="601"/>
      <c r="G14" s="601"/>
    </row>
    <row r="15" spans="1:7" ht="15.75">
      <c r="A15" s="601"/>
      <c r="B15" s="601"/>
      <c r="C15" s="601"/>
      <c r="D15" s="601"/>
      <c r="E15" s="601"/>
      <c r="F15" s="601"/>
      <c r="G15" s="601"/>
    </row>
    <row r="16" spans="1:7" ht="15.75">
      <c r="A16" s="671"/>
      <c r="B16" s="671"/>
      <c r="C16" s="671"/>
      <c r="D16" s="671"/>
      <c r="E16" s="671"/>
      <c r="F16" s="671"/>
      <c r="G16" s="671"/>
    </row>
    <row r="17" ht="15.75">
      <c r="A17" s="22"/>
    </row>
    <row r="18" spans="1:7" ht="15.75">
      <c r="A18" s="676" t="s">
        <v>86</v>
      </c>
      <c r="B18" s="601"/>
      <c r="C18" s="601"/>
      <c r="D18" s="601"/>
      <c r="E18" s="601"/>
      <c r="F18" s="601"/>
      <c r="G18" s="601"/>
    </row>
    <row r="19" spans="1:7" ht="15.75">
      <c r="A19" s="601"/>
      <c r="B19" s="601"/>
      <c r="C19" s="601"/>
      <c r="D19" s="601"/>
      <c r="E19" s="601"/>
      <c r="F19" s="601"/>
      <c r="G19" s="601"/>
    </row>
    <row r="20" ht="15.75">
      <c r="A20" s="22"/>
    </row>
    <row r="21" spans="1:7" ht="15.75">
      <c r="A21" s="676" t="str">
        <f>CONCATENATE("Whereas, ",(inputPrYr!D3)," provides essential services to protect the safety and well being of the citizens of the township; and")</f>
        <v>Whereas, LIBERTY TOWNSHIP provides essential services to protect the safety and well being of the citizens of the township; and</v>
      </c>
      <c r="B21" s="601"/>
      <c r="C21" s="601"/>
      <c r="D21" s="601"/>
      <c r="E21" s="601"/>
      <c r="F21" s="601"/>
      <c r="G21" s="601"/>
    </row>
    <row r="22" spans="1:7" ht="15.75">
      <c r="A22" s="601"/>
      <c r="B22" s="601"/>
      <c r="C22" s="601"/>
      <c r="D22" s="601"/>
      <c r="E22" s="601"/>
      <c r="F22" s="601"/>
      <c r="G22" s="601"/>
    </row>
    <row r="23" ht="15.75">
      <c r="A23" s="24"/>
    </row>
    <row r="24" ht="15.75">
      <c r="A24" s="23" t="s">
        <v>87</v>
      </c>
    </row>
    <row r="25" ht="15.75">
      <c r="A25" s="24"/>
    </row>
    <row r="26" spans="1:7" ht="15.75">
      <c r="A26" s="676" t="str">
        <f>CONCATENATE("NOW, THEREFORE, BE IT RESOLVED by the Board of ",(inputPrYr!D3)," of ",(inputPrYr!D4),", Kansas that is our desire to notify the public of increased property taxes to finance the ",inputPrYr!D9," ",(inputPrYr!D3),"  budget as defined above.")</f>
        <v>NOW, THEREFORE, BE IT RESOLVED by the Board of LIBERTY TOWNSHIP of KINGMAN COUNTY, Kansas that is our desire to notify the public of increased property taxes to finance the 2014 LIBERTY TOWNSHIP  budget as defined above.</v>
      </c>
      <c r="B26" s="601"/>
      <c r="C26" s="601"/>
      <c r="D26" s="601"/>
      <c r="E26" s="601"/>
      <c r="F26" s="601"/>
      <c r="G26" s="601"/>
    </row>
    <row r="27" spans="1:7" ht="15.75">
      <c r="A27" s="601"/>
      <c r="B27" s="601"/>
      <c r="C27" s="601"/>
      <c r="D27" s="601"/>
      <c r="E27" s="601"/>
      <c r="F27" s="601"/>
      <c r="G27" s="601"/>
    </row>
    <row r="28" spans="1:7" ht="15.75">
      <c r="A28" s="601"/>
      <c r="B28" s="601"/>
      <c r="C28" s="601"/>
      <c r="D28" s="601"/>
      <c r="E28" s="601"/>
      <c r="F28" s="601"/>
      <c r="G28" s="601"/>
    </row>
    <row r="29" ht="15.75">
      <c r="A29" s="24"/>
    </row>
    <row r="30" spans="1:7" ht="15.75">
      <c r="A30" s="672" t="str">
        <f>CONCATENATE("Adopted this ____18_____ day of ____July_______, ",inputPrYr!D9-1," by the ",(inputPrYr!D3)," Board, ",(inputPrYr!D4),", Kansas.")</f>
        <v>Adopted this ____18_____ day of ____July_______, 2013 by the LIBERTY TOWNSHIP Board, KINGMAN COUNTY, Kansas.</v>
      </c>
      <c r="B30" s="601"/>
      <c r="C30" s="601"/>
      <c r="D30" s="601"/>
      <c r="E30" s="601"/>
      <c r="F30" s="601"/>
      <c r="G30" s="601"/>
    </row>
    <row r="31" spans="1:7" ht="15.75">
      <c r="A31" s="601"/>
      <c r="B31" s="601"/>
      <c r="C31" s="601"/>
      <c r="D31" s="601"/>
      <c r="E31" s="601"/>
      <c r="F31" s="601"/>
      <c r="G31" s="601"/>
    </row>
    <row r="32" ht="15.75">
      <c r="A32" s="24"/>
    </row>
    <row r="33" spans="4:7" ht="15.75">
      <c r="D33" s="669" t="str">
        <f>CONCATENATE((inputPrYr!D3)," Board")</f>
        <v>LIBERTY TOWNSHIP Board</v>
      </c>
      <c r="E33" s="669"/>
      <c r="F33" s="669"/>
      <c r="G33" s="669"/>
    </row>
    <row r="35" spans="4:7" ht="15.75">
      <c r="D35" s="668" t="s">
        <v>88</v>
      </c>
      <c r="E35" s="668"/>
      <c r="F35" s="668"/>
      <c r="G35" s="668"/>
    </row>
    <row r="36" spans="1:7" ht="15.75">
      <c r="A36" s="25"/>
      <c r="D36" s="668" t="s">
        <v>92</v>
      </c>
      <c r="E36" s="668"/>
      <c r="F36" s="668"/>
      <c r="G36" s="668"/>
    </row>
    <row r="37" spans="4:7" ht="15.75">
      <c r="D37" s="668"/>
      <c r="E37" s="668"/>
      <c r="F37" s="668"/>
      <c r="G37" s="668"/>
    </row>
    <row r="38" spans="4:7" ht="15.75">
      <c r="D38" s="668" t="s">
        <v>88</v>
      </c>
      <c r="E38" s="668"/>
      <c r="F38" s="668"/>
      <c r="G38" s="668"/>
    </row>
    <row r="39" spans="1:7" ht="15.75">
      <c r="A39" s="24"/>
      <c r="D39" s="668" t="s">
        <v>93</v>
      </c>
      <c r="E39" s="668"/>
      <c r="F39" s="668"/>
      <c r="G39" s="668"/>
    </row>
    <row r="40" spans="4:7" ht="15.75">
      <c r="D40" s="668"/>
      <c r="E40" s="668"/>
      <c r="F40" s="668"/>
      <c r="G40" s="668"/>
    </row>
    <row r="41" spans="4:7" ht="15.75">
      <c r="D41" s="668" t="s">
        <v>91</v>
      </c>
      <c r="E41" s="668"/>
      <c r="F41" s="668"/>
      <c r="G41" s="668"/>
    </row>
    <row r="42" spans="1:7" ht="15.75">
      <c r="A42" s="24"/>
      <c r="D42" s="668" t="s">
        <v>94</v>
      </c>
      <c r="E42" s="668"/>
      <c r="F42" s="668"/>
      <c r="G42" s="668"/>
    </row>
    <row r="43" ht="15.75">
      <c r="A43" s="26"/>
    </row>
    <row r="44" ht="15.75">
      <c r="A44" s="26"/>
    </row>
    <row r="45" ht="15.75">
      <c r="A45" s="26" t="s">
        <v>89</v>
      </c>
    </row>
    <row r="50" spans="3:4" ht="15.75">
      <c r="C50" s="32" t="s">
        <v>280</v>
      </c>
      <c r="D50" s="64">
        <v>8</v>
      </c>
    </row>
  </sheetData>
  <sheetProtection/>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2012 'total expenditures' exceed your 2012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2014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2012 budget was amended, did you</v>
      </c>
    </row>
    <row r="26" ht="15.75">
      <c r="A26" s="403" t="s">
        <v>441</v>
      </c>
    </row>
    <row r="27" ht="15.75">
      <c r="A27" s="403"/>
    </row>
    <row r="28" ht="15.75">
      <c r="A28" s="403" t="str">
        <f>CONCATENATE("Next, look to see if any of your ",inputPrYr!D9-2," expenditures can be")</f>
        <v>Next, look to see if any of your 2012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2012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2012 financial records have been closed?</v>
      </c>
    </row>
    <row r="76" ht="15.75">
      <c r="A76" s="403" t="s">
        <v>478</v>
      </c>
    </row>
    <row r="77" ht="15.75">
      <c r="A77" s="403" t="str">
        <f>CONCATENATE("(i.e. an audit for ",inputPrYr!D9-2," has been completed, or the ",inputPrYr!D9)</f>
        <v>(i.e. an audit for 2012 has been completed, or the 2014</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2012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2014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2014 'total expenditures' exceed your 2014</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LIBERTY TOWNSHIP</v>
      </c>
      <c r="B1" s="30"/>
      <c r="C1" s="30"/>
      <c r="D1" s="30"/>
      <c r="E1" s="30">
        <f>inputPrYr!D9</f>
        <v>2014</v>
      </c>
    </row>
    <row r="2" spans="1:5" ht="15.75">
      <c r="A2" s="42" t="str">
        <f>inputPrYr!D4</f>
        <v>KINGMAN COUNTY</v>
      </c>
      <c r="B2" s="30"/>
      <c r="C2" s="30"/>
      <c r="D2" s="30"/>
      <c r="E2" s="30"/>
    </row>
    <row r="3" spans="1:5" ht="15.75">
      <c r="A3" s="30"/>
      <c r="B3" s="30"/>
      <c r="C3" s="30"/>
      <c r="D3" s="30"/>
      <c r="E3" s="30"/>
    </row>
    <row r="4" spans="1:5" ht="15.75">
      <c r="A4" s="602" t="s">
        <v>113</v>
      </c>
      <c r="B4" s="603"/>
      <c r="C4" s="603"/>
      <c r="D4" s="603"/>
      <c r="E4" s="603"/>
    </row>
    <row r="5" spans="1:5" ht="15.75">
      <c r="A5" s="30"/>
      <c r="B5" s="30"/>
      <c r="C5" s="30"/>
      <c r="D5" s="30"/>
      <c r="E5" s="30"/>
    </row>
    <row r="6" spans="1:5" ht="15.75">
      <c r="A6" s="606" t="str">
        <f>CONCATENATE("From the County Clerks Budget Information for ",E1,":")</f>
        <v>From the County Clerks Budget Information for 2014:</v>
      </c>
      <c r="B6" s="607"/>
      <c r="C6" s="607"/>
      <c r="D6" s="607"/>
      <c r="E6" s="607"/>
    </row>
    <row r="7" spans="1:5" ht="15.75">
      <c r="A7" s="56" t="str">
        <f>CONCATENATE("Assessed Valuation for ",E1-1,":")</f>
        <v>Assessed Valuation for 2013:</v>
      </c>
      <c r="B7" s="10"/>
      <c r="C7" s="10"/>
      <c r="D7" s="10"/>
      <c r="E7" s="36"/>
    </row>
    <row r="8" spans="1:5" ht="15.75">
      <c r="A8" s="13" t="s">
        <v>164</v>
      </c>
      <c r="B8" s="14"/>
      <c r="C8" s="14"/>
      <c r="D8" s="14"/>
      <c r="E8" s="35">
        <v>1612264</v>
      </c>
    </row>
    <row r="9" spans="1:5" ht="15.75">
      <c r="A9" s="15" t="str">
        <f>inputPrYr!$D$6</f>
        <v>NASHVILLE CITY</v>
      </c>
      <c r="B9" s="16"/>
      <c r="C9" s="16"/>
      <c r="D9" s="16"/>
      <c r="E9" s="35">
        <v>520494</v>
      </c>
    </row>
    <row r="10" spans="1:5" ht="15.75">
      <c r="A10" s="15">
        <f>inputPrYr!$D$7</f>
        <v>0</v>
      </c>
      <c r="B10" s="16"/>
      <c r="C10" s="16"/>
      <c r="D10" s="16"/>
      <c r="E10" s="35"/>
    </row>
    <row r="11" spans="1:5" ht="15.75">
      <c r="A11" s="15" t="str">
        <f>CONCATENATE("Total Assessed Valuation for ",$E$1-1,"")</f>
        <v>Total Assessed Valuation for 2013</v>
      </c>
      <c r="B11" s="16"/>
      <c r="C11" s="16"/>
      <c r="D11" s="16"/>
      <c r="E11" s="54">
        <f>SUM(E8:E10)</f>
        <v>2132758</v>
      </c>
    </row>
    <row r="12" spans="1:5" ht="15.75">
      <c r="A12" s="55" t="str">
        <f>CONCATENATE("New Improvements for ",E1-1,":")</f>
        <v>New Improvements for 2013:</v>
      </c>
      <c r="B12" s="10"/>
      <c r="C12" s="10"/>
      <c r="D12" s="10"/>
      <c r="E12" s="34"/>
    </row>
    <row r="13" spans="1:5" ht="15.75">
      <c r="A13" s="13" t="s">
        <v>164</v>
      </c>
      <c r="B13" s="14"/>
      <c r="C13" s="14"/>
      <c r="D13" s="14"/>
      <c r="E13" s="53">
        <v>0</v>
      </c>
    </row>
    <row r="14" spans="1:5" ht="15.75">
      <c r="A14" s="15" t="str">
        <f>inputPrYr!$D$6</f>
        <v>NASHVILLE CITY</v>
      </c>
      <c r="B14" s="14"/>
      <c r="C14" s="14"/>
      <c r="D14" s="14"/>
      <c r="E14" s="3">
        <v>0</v>
      </c>
    </row>
    <row r="15" spans="1:5" ht="15.75">
      <c r="A15" s="15">
        <f>inputPrYr!$D$7</f>
        <v>0</v>
      </c>
      <c r="B15" s="14"/>
      <c r="C15" s="14"/>
      <c r="D15" s="14"/>
      <c r="E15" s="3"/>
    </row>
    <row r="16" spans="1:5" ht="15.75">
      <c r="A16" s="15" t="str">
        <f>CONCATENATE("Total New Improvements for ",$E$1-1,"")</f>
        <v>Total New Improvements for 2013</v>
      </c>
      <c r="B16" s="16"/>
      <c r="C16" s="16"/>
      <c r="D16" s="16"/>
      <c r="E16" s="52">
        <f>SUM(E13:E15)</f>
        <v>0</v>
      </c>
    </row>
    <row r="17" spans="1:5" ht="15.75">
      <c r="A17" s="55" t="str">
        <f>CONCATENATE("Personal Property excluding oil, gas, and mobile homes- ",E1-1,":")</f>
        <v>Personal Property excluding oil, gas, and mobile homes- 2013:</v>
      </c>
      <c r="B17" s="10"/>
      <c r="C17" s="10"/>
      <c r="D17" s="10"/>
      <c r="E17" s="34"/>
    </row>
    <row r="18" spans="1:5" ht="15.75">
      <c r="A18" s="13" t="s">
        <v>164</v>
      </c>
      <c r="B18" s="14"/>
      <c r="C18" s="14"/>
      <c r="D18" s="14"/>
      <c r="E18" s="53">
        <v>22686</v>
      </c>
    </row>
    <row r="19" spans="1:5" ht="15.75">
      <c r="A19" s="15" t="str">
        <f>inputPrYr!$D$6</f>
        <v>NASHVILLE CITY</v>
      </c>
      <c r="B19" s="16"/>
      <c r="C19" s="16"/>
      <c r="D19" s="16"/>
      <c r="E19" s="3">
        <v>12862</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35548</v>
      </c>
    </row>
    <row r="22" spans="1:5" ht="15.75">
      <c r="A22" s="55" t="str">
        <f>CONCATENATE("Property that has changed in use for ",E1-1,":")</f>
        <v>Property that has changed in use for 2013:</v>
      </c>
      <c r="B22" s="10"/>
      <c r="C22" s="10"/>
      <c r="D22" s="10"/>
      <c r="E22" s="34"/>
    </row>
    <row r="23" spans="1:5" ht="15.75">
      <c r="A23" s="13" t="s">
        <v>164</v>
      </c>
      <c r="B23" s="14"/>
      <c r="C23" s="14"/>
      <c r="D23" s="14"/>
      <c r="E23" s="53">
        <v>0</v>
      </c>
    </row>
    <row r="24" spans="1:5" ht="15.75">
      <c r="A24" s="15" t="str">
        <f>inputPrYr!$D$6</f>
        <v>NASHVILLE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2">
        <f>SUM(E23:E25)</f>
        <v>0</v>
      </c>
    </row>
    <row r="27" spans="1:5" ht="15.75">
      <c r="A27" s="55" t="str">
        <f>CONCATENATE("Personal Property excluding oil, gas, and mobile homes- ",E1-2,":")</f>
        <v>Personal Property excluding oil, gas, and mobile homes- 2012:</v>
      </c>
      <c r="B27" s="10"/>
      <c r="C27" s="10"/>
      <c r="D27" s="10"/>
      <c r="E27" s="34"/>
    </row>
    <row r="28" spans="1:5" ht="15.75">
      <c r="A28" s="13" t="s">
        <v>164</v>
      </c>
      <c r="B28" s="14"/>
      <c r="C28" s="14"/>
      <c r="D28" s="14"/>
      <c r="E28" s="53">
        <v>24529</v>
      </c>
    </row>
    <row r="29" spans="1:5" ht="15.75">
      <c r="A29" s="15" t="str">
        <f>inputPrYr!$D$6</f>
        <v>NASHVILLE CITY</v>
      </c>
      <c r="B29" s="16"/>
      <c r="C29" s="16"/>
      <c r="D29" s="16"/>
      <c r="E29" s="3">
        <v>16006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40535</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52699</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604" t="s">
        <v>262</v>
      </c>
      <c r="B36" s="605"/>
      <c r="C36" s="30"/>
      <c r="D36" s="37" t="s">
        <v>274</v>
      </c>
      <c r="E36" s="36"/>
    </row>
    <row r="37" spans="1:5" ht="15.75">
      <c r="A37" s="13" t="str">
        <f>inputPrYr!B20</f>
        <v>General</v>
      </c>
      <c r="B37" s="14"/>
      <c r="C37" s="10"/>
      <c r="D37" s="49">
        <v>4.899</v>
      </c>
      <c r="E37" s="36"/>
    </row>
    <row r="38" spans="1:5" ht="15.75">
      <c r="A38" s="13" t="str">
        <f>inputPrYr!B21</f>
        <v>Debt Service</v>
      </c>
      <c r="B38" s="16"/>
      <c r="C38" s="10"/>
      <c r="D38" s="50"/>
      <c r="E38" s="36"/>
    </row>
    <row r="39" spans="1:5" ht="15.75">
      <c r="A39" s="13" t="str">
        <f>inputPrYr!B22</f>
        <v>Road</v>
      </c>
      <c r="B39" s="16"/>
      <c r="C39" s="10"/>
      <c r="D39" s="50">
        <v>22.51</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252</v>
      </c>
      <c r="C48" s="10"/>
      <c r="D48" s="43">
        <f>SUM(D37:D47)</f>
        <v>27.409000000000002</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164</v>
      </c>
      <c r="B51" s="14"/>
      <c r="C51" s="14"/>
      <c r="D51" s="14"/>
      <c r="E51" s="4">
        <v>1505454</v>
      </c>
    </row>
    <row r="52" spans="1:5" ht="15.75">
      <c r="A52" s="16" t="str">
        <f>inputPrYr!D6</f>
        <v>NASHVILLE CITY</v>
      </c>
      <c r="B52" s="16"/>
      <c r="C52" s="16"/>
      <c r="D52" s="20"/>
      <c r="E52" s="4">
        <v>387477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1892931</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156</v>
      </c>
      <c r="B57" s="14"/>
      <c r="C57" s="14"/>
      <c r="D57" s="8"/>
      <c r="E57" s="7"/>
    </row>
    <row r="58" spans="1:5" ht="15.75">
      <c r="A58" s="13" t="s">
        <v>114</v>
      </c>
      <c r="B58" s="14"/>
      <c r="C58" s="14"/>
      <c r="D58" s="39"/>
      <c r="E58" s="2">
        <v>3902</v>
      </c>
    </row>
    <row r="59" spans="1:5" ht="15.75">
      <c r="A59" s="15" t="s">
        <v>253</v>
      </c>
      <c r="B59" s="16"/>
      <c r="C59" s="16"/>
      <c r="D59" s="40"/>
      <c r="E59" s="2">
        <v>23</v>
      </c>
    </row>
    <row r="60" spans="1:5" ht="15.75">
      <c r="A60" s="15" t="s">
        <v>115</v>
      </c>
      <c r="B60" s="16"/>
      <c r="C60" s="16"/>
      <c r="D60" s="40"/>
      <c r="E60" s="2">
        <v>922</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2020</v>
      </c>
    </row>
    <row r="73" spans="1:5" ht="33" customHeight="1">
      <c r="A73" s="608" t="s">
        <v>162</v>
      </c>
      <c r="B73" s="609"/>
      <c r="C73" s="609"/>
      <c r="D73" s="609"/>
      <c r="E73" s="609"/>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163</v>
      </c>
      <c r="B77" s="17"/>
      <c r="C77" s="10"/>
      <c r="D77" s="10"/>
      <c r="E77" s="516"/>
    </row>
    <row r="78" spans="1:5" ht="34.5" customHeight="1">
      <c r="A78" s="600" t="s">
        <v>119</v>
      </c>
      <c r="B78" s="601"/>
      <c r="C78" s="601"/>
      <c r="D78" s="601"/>
      <c r="E78" s="601"/>
    </row>
    <row r="79" spans="1:5" ht="15.75">
      <c r="A79" s="33"/>
      <c r="B79" s="33"/>
      <c r="C79" s="33"/>
      <c r="D79" s="33"/>
      <c r="E79" s="33"/>
    </row>
    <row r="80" spans="1:5" ht="15.75">
      <c r="A80" s="596" t="str">
        <f>CONCATENATE("From the ",E1-2," Budget Certificate Page")</f>
        <v>From the 2012 Budget Certificate Page</v>
      </c>
      <c r="B80" s="597"/>
      <c r="C80" s="33"/>
      <c r="D80" s="33"/>
      <c r="E80" s="33"/>
    </row>
    <row r="81" spans="1:5" ht="15.75">
      <c r="A81" s="58"/>
      <c r="B81" s="58" t="str">
        <f>CONCATENATE("",E1-2," Expenditure Amounts")</f>
        <v>2012 Expenditure Amounts</v>
      </c>
      <c r="C81" s="598" t="str">
        <f>CONCATENATE("Note: If the ",E1-2," budget was amended, then the")</f>
        <v>Note: If the 2012 budget was amended, then the</v>
      </c>
      <c r="D81" s="599"/>
      <c r="E81" s="599"/>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78" t="s">
        <v>678</v>
      </c>
      <c r="C6" s="679"/>
      <c r="D6" s="679"/>
      <c r="E6" s="679"/>
      <c r="F6" s="679"/>
      <c r="G6" s="679"/>
      <c r="H6" s="679"/>
      <c r="I6" s="679"/>
      <c r="J6" s="679"/>
      <c r="K6" s="679"/>
      <c r="L6" s="429"/>
    </row>
    <row r="7" spans="1:12" ht="40.5" customHeight="1">
      <c r="A7" s="427"/>
      <c r="B7" s="680" t="s">
        <v>679</v>
      </c>
      <c r="C7" s="681"/>
      <c r="D7" s="681"/>
      <c r="E7" s="681"/>
      <c r="F7" s="681"/>
      <c r="G7" s="681"/>
      <c r="H7" s="681"/>
      <c r="I7" s="681"/>
      <c r="J7" s="681"/>
      <c r="K7" s="681"/>
      <c r="L7" s="427"/>
    </row>
    <row r="8" spans="1:12" ht="14.25">
      <c r="A8" s="427"/>
      <c r="B8" s="682" t="s">
        <v>680</v>
      </c>
      <c r="C8" s="682"/>
      <c r="D8" s="682"/>
      <c r="E8" s="682"/>
      <c r="F8" s="682"/>
      <c r="G8" s="682"/>
      <c r="H8" s="682"/>
      <c r="I8" s="682"/>
      <c r="J8" s="682"/>
      <c r="K8" s="682"/>
      <c r="L8" s="427"/>
    </row>
    <row r="9" spans="1:12" ht="14.25">
      <c r="A9" s="427"/>
      <c r="L9" s="427"/>
    </row>
    <row r="10" spans="1:12" ht="14.25">
      <c r="A10" s="427"/>
      <c r="B10" s="682" t="s">
        <v>681</v>
      </c>
      <c r="C10" s="682"/>
      <c r="D10" s="682"/>
      <c r="E10" s="682"/>
      <c r="F10" s="682"/>
      <c r="G10" s="682"/>
      <c r="H10" s="682"/>
      <c r="I10" s="682"/>
      <c r="J10" s="682"/>
      <c r="K10" s="682"/>
      <c r="L10" s="427"/>
    </row>
    <row r="11" spans="1:12" ht="14.25">
      <c r="A11" s="427"/>
      <c r="B11" s="430"/>
      <c r="C11" s="430"/>
      <c r="D11" s="430"/>
      <c r="E11" s="430"/>
      <c r="F11" s="430"/>
      <c r="G11" s="430"/>
      <c r="H11" s="430"/>
      <c r="I11" s="430"/>
      <c r="J11" s="430"/>
      <c r="K11" s="430"/>
      <c r="L11" s="427"/>
    </row>
    <row r="12" spans="1:12" ht="32.25" customHeight="1">
      <c r="A12" s="427"/>
      <c r="B12" s="683" t="s">
        <v>682</v>
      </c>
      <c r="C12" s="683"/>
      <c r="D12" s="683"/>
      <c r="E12" s="683"/>
      <c r="F12" s="683"/>
      <c r="G12" s="683"/>
      <c r="H12" s="683"/>
      <c r="I12" s="683"/>
      <c r="J12" s="683"/>
      <c r="K12" s="683"/>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677">
        <v>133685008</v>
      </c>
      <c r="G23" s="677"/>
      <c r="L23" s="427"/>
    </row>
    <row r="24" spans="1:12" ht="14.25">
      <c r="A24" s="427"/>
      <c r="L24" s="427"/>
    </row>
    <row r="25" spans="1:12" ht="14.25">
      <c r="A25" s="427"/>
      <c r="C25" s="684">
        <f>F23</f>
        <v>133685008</v>
      </c>
      <c r="D25" s="684"/>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85" t="s">
        <v>679</v>
      </c>
      <c r="C30" s="685"/>
      <c r="D30" s="685"/>
      <c r="E30" s="685"/>
      <c r="F30" s="685"/>
      <c r="G30" s="685"/>
      <c r="H30" s="685"/>
      <c r="I30" s="685"/>
      <c r="J30" s="685"/>
      <c r="K30" s="685"/>
      <c r="L30" s="427"/>
    </row>
    <row r="31" spans="1:12" ht="14.25">
      <c r="A31" s="427"/>
      <c r="B31" s="682" t="s">
        <v>693</v>
      </c>
      <c r="C31" s="682"/>
      <c r="D31" s="682"/>
      <c r="E31" s="682"/>
      <c r="F31" s="682"/>
      <c r="G31" s="682"/>
      <c r="H31" s="682"/>
      <c r="I31" s="682"/>
      <c r="J31" s="682"/>
      <c r="K31" s="682"/>
      <c r="L31" s="427"/>
    </row>
    <row r="32" spans="1:12" ht="14.25">
      <c r="A32" s="427"/>
      <c r="L32" s="427"/>
    </row>
    <row r="33" spans="1:12" ht="14.25">
      <c r="A33" s="427"/>
      <c r="B33" s="682" t="s">
        <v>694</v>
      </c>
      <c r="C33" s="682"/>
      <c r="D33" s="682"/>
      <c r="E33" s="682"/>
      <c r="F33" s="682"/>
      <c r="G33" s="682"/>
      <c r="H33" s="682"/>
      <c r="I33" s="682"/>
      <c r="J33" s="682"/>
      <c r="K33" s="682"/>
      <c r="L33" s="427"/>
    </row>
    <row r="34" spans="1:12" ht="14.25">
      <c r="A34" s="427"/>
      <c r="L34" s="427"/>
    </row>
    <row r="35" spans="1:12" ht="89.25" customHeight="1">
      <c r="A35" s="427"/>
      <c r="B35" s="683" t="s">
        <v>695</v>
      </c>
      <c r="C35" s="686"/>
      <c r="D35" s="686"/>
      <c r="E35" s="686"/>
      <c r="F35" s="686"/>
      <c r="G35" s="686"/>
      <c r="H35" s="686"/>
      <c r="I35" s="686"/>
      <c r="J35" s="686"/>
      <c r="K35" s="686"/>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687">
        <v>3120000</v>
      </c>
      <c r="D41" s="687"/>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677">
        <v>133685008</v>
      </c>
      <c r="C48" s="677"/>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688" t="s">
        <v>703</v>
      </c>
      <c r="H50" s="689"/>
      <c r="I50" s="439" t="s">
        <v>689</v>
      </c>
      <c r="J50" s="449">
        <f>B50/F50</f>
        <v>52.8690023342034</v>
      </c>
      <c r="K50" s="441"/>
      <c r="L50" s="427"/>
    </row>
    <row r="51" spans="1:15" ht="15" thickBot="1">
      <c r="A51" s="427"/>
      <c r="B51" s="442"/>
      <c r="C51" s="443"/>
      <c r="D51" s="443"/>
      <c r="E51" s="443"/>
      <c r="F51" s="443"/>
      <c r="G51" s="443"/>
      <c r="H51" s="443"/>
      <c r="I51" s="690" t="s">
        <v>704</v>
      </c>
      <c r="J51" s="690"/>
      <c r="K51" s="691"/>
      <c r="L51" s="427"/>
      <c r="O51" s="450"/>
    </row>
    <row r="52" spans="1:12" ht="40.5" customHeight="1">
      <c r="A52" s="427"/>
      <c r="B52" s="685" t="s">
        <v>679</v>
      </c>
      <c r="C52" s="685"/>
      <c r="D52" s="685"/>
      <c r="E52" s="685"/>
      <c r="F52" s="685"/>
      <c r="G52" s="685"/>
      <c r="H52" s="685"/>
      <c r="I52" s="685"/>
      <c r="J52" s="685"/>
      <c r="K52" s="685"/>
      <c r="L52" s="427"/>
    </row>
    <row r="53" spans="1:12" ht="14.25">
      <c r="A53" s="427"/>
      <c r="B53" s="682" t="s">
        <v>705</v>
      </c>
      <c r="C53" s="682"/>
      <c r="D53" s="682"/>
      <c r="E53" s="682"/>
      <c r="F53" s="682"/>
      <c r="G53" s="682"/>
      <c r="H53" s="682"/>
      <c r="I53" s="682"/>
      <c r="J53" s="682"/>
      <c r="K53" s="682"/>
      <c r="L53" s="427"/>
    </row>
    <row r="54" spans="1:12" ht="14.25">
      <c r="A54" s="427"/>
      <c r="B54" s="430"/>
      <c r="C54" s="430"/>
      <c r="D54" s="430"/>
      <c r="E54" s="430"/>
      <c r="F54" s="430"/>
      <c r="G54" s="430"/>
      <c r="H54" s="430"/>
      <c r="I54" s="430"/>
      <c r="J54" s="430"/>
      <c r="K54" s="430"/>
      <c r="L54" s="427"/>
    </row>
    <row r="55" spans="1:12" ht="14.25">
      <c r="A55" s="427"/>
      <c r="B55" s="678" t="s">
        <v>706</v>
      </c>
      <c r="C55" s="678"/>
      <c r="D55" s="678"/>
      <c r="E55" s="678"/>
      <c r="F55" s="678"/>
      <c r="G55" s="678"/>
      <c r="H55" s="678"/>
      <c r="I55" s="678"/>
      <c r="J55" s="678"/>
      <c r="K55" s="678"/>
      <c r="L55" s="427"/>
    </row>
    <row r="56" spans="1:12" ht="15" customHeight="1">
      <c r="A56" s="427"/>
      <c r="L56" s="427"/>
    </row>
    <row r="57" spans="1:24" ht="74.25" customHeight="1">
      <c r="A57" s="427"/>
      <c r="B57" s="683" t="s">
        <v>707</v>
      </c>
      <c r="C57" s="686"/>
      <c r="D57" s="686"/>
      <c r="E57" s="686"/>
      <c r="F57" s="686"/>
      <c r="G57" s="686"/>
      <c r="H57" s="686"/>
      <c r="I57" s="686"/>
      <c r="J57" s="686"/>
      <c r="K57" s="686"/>
      <c r="L57" s="427"/>
      <c r="M57" s="451"/>
      <c r="N57" s="452"/>
      <c r="O57" s="452"/>
      <c r="P57" s="452"/>
      <c r="Q57" s="452"/>
      <c r="R57" s="452"/>
      <c r="S57" s="452"/>
      <c r="T57" s="452"/>
      <c r="U57" s="452"/>
      <c r="V57" s="452"/>
      <c r="W57" s="452"/>
      <c r="X57" s="452"/>
    </row>
    <row r="58" spans="1:24" ht="15" customHeight="1">
      <c r="A58" s="427"/>
      <c r="B58" s="683"/>
      <c r="C58" s="686"/>
      <c r="D58" s="686"/>
      <c r="E58" s="686"/>
      <c r="F58" s="686"/>
      <c r="G58" s="686"/>
      <c r="H58" s="686"/>
      <c r="I58" s="686"/>
      <c r="J58" s="686"/>
      <c r="K58" s="686"/>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677">
        <v>133685008</v>
      </c>
      <c r="D74" s="677"/>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677">
        <v>5000</v>
      </c>
      <c r="D77" s="677"/>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677">
        <v>100000</v>
      </c>
      <c r="D80" s="677"/>
      <c r="E80" s="439" t="s">
        <v>266</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692">
        <f>H80</f>
        <v>11500</v>
      </c>
      <c r="D83" s="692"/>
      <c r="E83" s="439" t="s">
        <v>266</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85" t="s">
        <v>679</v>
      </c>
      <c r="C85" s="685"/>
      <c r="D85" s="685"/>
      <c r="E85" s="685"/>
      <c r="F85" s="685"/>
      <c r="G85" s="685"/>
      <c r="H85" s="685"/>
      <c r="I85" s="685"/>
      <c r="J85" s="685"/>
      <c r="K85" s="685"/>
      <c r="L85" s="427"/>
    </row>
    <row r="86" spans="1:12" ht="14.25">
      <c r="A86" s="427"/>
      <c r="B86" s="678" t="s">
        <v>727</v>
      </c>
      <c r="C86" s="678"/>
      <c r="D86" s="678"/>
      <c r="E86" s="678"/>
      <c r="F86" s="678"/>
      <c r="G86" s="678"/>
      <c r="H86" s="678"/>
      <c r="I86" s="678"/>
      <c r="J86" s="678"/>
      <c r="K86" s="678"/>
      <c r="L86" s="427"/>
    </row>
    <row r="87" spans="1:12" ht="14.25">
      <c r="A87" s="427"/>
      <c r="B87" s="466"/>
      <c r="C87" s="466"/>
      <c r="D87" s="466"/>
      <c r="E87" s="466"/>
      <c r="F87" s="466"/>
      <c r="G87" s="466"/>
      <c r="H87" s="466"/>
      <c r="I87" s="466"/>
      <c r="J87" s="466"/>
      <c r="K87" s="466"/>
      <c r="L87" s="427"/>
    </row>
    <row r="88" spans="1:12" ht="14.25">
      <c r="A88" s="427"/>
      <c r="B88" s="678" t="s">
        <v>728</v>
      </c>
      <c r="C88" s="678"/>
      <c r="D88" s="678"/>
      <c r="E88" s="678"/>
      <c r="F88" s="678"/>
      <c r="G88" s="678"/>
      <c r="H88" s="678"/>
      <c r="I88" s="678"/>
      <c r="J88" s="678"/>
      <c r="K88" s="678"/>
      <c r="L88" s="427"/>
    </row>
    <row r="89" spans="1:12" ht="14.25">
      <c r="A89" s="427"/>
      <c r="B89" s="467"/>
      <c r="C89" s="467"/>
      <c r="D89" s="467"/>
      <c r="E89" s="467"/>
      <c r="F89" s="467"/>
      <c r="G89" s="467"/>
      <c r="H89" s="467"/>
      <c r="I89" s="467"/>
      <c r="J89" s="467"/>
      <c r="K89" s="467"/>
      <c r="L89" s="427"/>
    </row>
    <row r="90" spans="1:12" ht="45" customHeight="1">
      <c r="A90" s="427"/>
      <c r="B90" s="683" t="s">
        <v>729</v>
      </c>
      <c r="C90" s="683"/>
      <c r="D90" s="683"/>
      <c r="E90" s="683"/>
      <c r="F90" s="683"/>
      <c r="G90" s="683"/>
      <c r="H90" s="683"/>
      <c r="I90" s="683"/>
      <c r="J90" s="683"/>
      <c r="K90" s="683"/>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677">
        <v>133685008</v>
      </c>
      <c r="D94" s="677"/>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677">
        <v>50000</v>
      </c>
      <c r="D97" s="677"/>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677">
        <v>2500000</v>
      </c>
      <c r="D100" s="677"/>
      <c r="E100" s="439" t="s">
        <v>266</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692">
        <f>H100</f>
        <v>750000</v>
      </c>
      <c r="D103" s="692"/>
      <c r="E103" s="439" t="s">
        <v>266</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85" t="s">
        <v>679</v>
      </c>
      <c r="C105" s="693"/>
      <c r="D105" s="693"/>
      <c r="E105" s="693"/>
      <c r="F105" s="693"/>
      <c r="G105" s="693"/>
      <c r="H105" s="693"/>
      <c r="I105" s="693"/>
      <c r="J105" s="693"/>
      <c r="K105" s="693"/>
      <c r="L105" s="427"/>
    </row>
    <row r="106" spans="1:12" ht="15" customHeight="1">
      <c r="A106" s="427"/>
      <c r="B106" s="694" t="s">
        <v>731</v>
      </c>
      <c r="C106" s="679"/>
      <c r="D106" s="679"/>
      <c r="E106" s="679"/>
      <c r="F106" s="679"/>
      <c r="G106" s="679"/>
      <c r="H106" s="679"/>
      <c r="I106" s="679"/>
      <c r="J106" s="679"/>
      <c r="K106" s="679"/>
      <c r="L106" s="427"/>
    </row>
    <row r="107" spans="1:12" ht="15" customHeight="1">
      <c r="A107" s="427"/>
      <c r="B107" s="472"/>
      <c r="C107" s="480"/>
      <c r="D107" s="480"/>
      <c r="E107" s="439"/>
      <c r="F107" s="449"/>
      <c r="G107" s="439"/>
      <c r="H107" s="439"/>
      <c r="I107" s="439"/>
      <c r="J107" s="461"/>
      <c r="K107" s="472"/>
      <c r="L107" s="427"/>
    </row>
    <row r="108" spans="1:12" ht="15" customHeight="1">
      <c r="A108" s="427"/>
      <c r="B108" s="694" t="s">
        <v>732</v>
      </c>
      <c r="C108" s="695"/>
      <c r="D108" s="695"/>
      <c r="E108" s="695"/>
      <c r="F108" s="695"/>
      <c r="G108" s="695"/>
      <c r="H108" s="695"/>
      <c r="I108" s="695"/>
      <c r="J108" s="695"/>
      <c r="K108" s="695"/>
      <c r="L108" s="427"/>
    </row>
    <row r="109" spans="1:12" ht="15" customHeight="1">
      <c r="A109" s="427"/>
      <c r="B109" s="472"/>
      <c r="C109" s="480"/>
      <c r="D109" s="480"/>
      <c r="E109" s="439"/>
      <c r="F109" s="449"/>
      <c r="G109" s="439"/>
      <c r="H109" s="439"/>
      <c r="I109" s="439"/>
      <c r="J109" s="461"/>
      <c r="K109" s="472"/>
      <c r="L109" s="427"/>
    </row>
    <row r="110" spans="1:12" ht="59.25" customHeight="1">
      <c r="A110" s="427"/>
      <c r="B110" s="698" t="s">
        <v>733</v>
      </c>
      <c r="C110" s="686"/>
      <c r="D110" s="686"/>
      <c r="E110" s="686"/>
      <c r="F110" s="686"/>
      <c r="G110" s="686"/>
      <c r="H110" s="686"/>
      <c r="I110" s="686"/>
      <c r="J110" s="686"/>
      <c r="K110" s="686"/>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677">
        <v>133685008</v>
      </c>
      <c r="D114" s="677"/>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677">
        <v>50000</v>
      </c>
      <c r="D117" s="677"/>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677">
        <v>2500000</v>
      </c>
      <c r="D120" s="677"/>
      <c r="E120" s="439" t="s">
        <v>266</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692">
        <f>H120</f>
        <v>625000</v>
      </c>
      <c r="D123" s="692"/>
      <c r="E123" s="439" t="s">
        <v>266</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85" t="s">
        <v>679</v>
      </c>
      <c r="C125" s="685"/>
      <c r="D125" s="685"/>
      <c r="E125" s="685"/>
      <c r="F125" s="685"/>
      <c r="G125" s="685"/>
      <c r="H125" s="685"/>
      <c r="I125" s="685"/>
      <c r="J125" s="685"/>
      <c r="K125" s="685"/>
      <c r="L125" s="481"/>
    </row>
    <row r="126" spans="1:12" ht="14.25">
      <c r="A126" s="427"/>
      <c r="B126" s="678" t="s">
        <v>734</v>
      </c>
      <c r="C126" s="678"/>
      <c r="D126" s="678"/>
      <c r="E126" s="678"/>
      <c r="F126" s="678"/>
      <c r="G126" s="678"/>
      <c r="H126" s="678"/>
      <c r="I126" s="678"/>
      <c r="J126" s="678"/>
      <c r="K126" s="678"/>
      <c r="L126" s="481"/>
    </row>
    <row r="127" spans="1:12" ht="14.25">
      <c r="A127" s="427"/>
      <c r="B127" s="430"/>
      <c r="C127" s="430"/>
      <c r="D127" s="430"/>
      <c r="E127" s="430"/>
      <c r="F127" s="430"/>
      <c r="G127" s="430"/>
      <c r="H127" s="430"/>
      <c r="I127" s="430"/>
      <c r="J127" s="430"/>
      <c r="K127" s="430"/>
      <c r="L127" s="481"/>
    </row>
    <row r="128" spans="1:12" ht="14.25">
      <c r="A128" s="427"/>
      <c r="B128" s="678" t="s">
        <v>735</v>
      </c>
      <c r="C128" s="678"/>
      <c r="D128" s="678"/>
      <c r="E128" s="678"/>
      <c r="F128" s="678"/>
      <c r="G128" s="678"/>
      <c r="H128" s="678"/>
      <c r="I128" s="678"/>
      <c r="J128" s="678"/>
      <c r="K128" s="678"/>
      <c r="L128" s="481"/>
    </row>
    <row r="129" spans="1:12" ht="14.25">
      <c r="A129" s="427"/>
      <c r="B129" s="467"/>
      <c r="C129" s="467"/>
      <c r="D129" s="467"/>
      <c r="E129" s="467"/>
      <c r="F129" s="467"/>
      <c r="G129" s="467"/>
      <c r="H129" s="467"/>
      <c r="I129" s="467"/>
      <c r="J129" s="467"/>
      <c r="K129" s="467"/>
      <c r="L129" s="481"/>
    </row>
    <row r="130" spans="1:12" ht="74.25" customHeight="1">
      <c r="A130" s="427"/>
      <c r="B130" s="683" t="s">
        <v>736</v>
      </c>
      <c r="C130" s="683"/>
      <c r="D130" s="683"/>
      <c r="E130" s="683"/>
      <c r="F130" s="683"/>
      <c r="G130" s="683"/>
      <c r="H130" s="683"/>
      <c r="I130" s="683"/>
      <c r="J130" s="683"/>
      <c r="K130" s="683"/>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06" t="s">
        <v>737</v>
      </c>
      <c r="D133" s="706"/>
      <c r="E133" s="438"/>
      <c r="F133" s="439" t="s">
        <v>738</v>
      </c>
      <c r="G133" s="438"/>
      <c r="H133" s="706" t="s">
        <v>723</v>
      </c>
      <c r="I133" s="706"/>
      <c r="J133" s="438"/>
      <c r="K133" s="441"/>
      <c r="L133" s="427"/>
    </row>
    <row r="134" spans="1:12" ht="14.25">
      <c r="A134" s="427"/>
      <c r="B134" s="447" t="s">
        <v>716</v>
      </c>
      <c r="C134" s="677">
        <v>100000</v>
      </c>
      <c r="D134" s="677"/>
      <c r="E134" s="439" t="s">
        <v>266</v>
      </c>
      <c r="F134" s="439">
        <v>0.115</v>
      </c>
      <c r="G134" s="439" t="s">
        <v>689</v>
      </c>
      <c r="H134" s="696">
        <f>C134*F134</f>
        <v>11500</v>
      </c>
      <c r="I134" s="696"/>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97" t="s">
        <v>723</v>
      </c>
      <c r="D136" s="697"/>
      <c r="E136" s="458"/>
      <c r="F136" s="459" t="s">
        <v>739</v>
      </c>
      <c r="G136" s="459"/>
      <c r="H136" s="458"/>
      <c r="I136" s="458"/>
      <c r="J136" s="458" t="s">
        <v>740</v>
      </c>
      <c r="K136" s="460"/>
      <c r="L136" s="427"/>
    </row>
    <row r="137" spans="1:12" ht="14.25">
      <c r="A137" s="427"/>
      <c r="B137" s="447" t="s">
        <v>719</v>
      </c>
      <c r="C137" s="696">
        <f>H134</f>
        <v>11500</v>
      </c>
      <c r="D137" s="696"/>
      <c r="E137" s="439" t="s">
        <v>266</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99" t="s">
        <v>743</v>
      </c>
      <c r="C144" s="700"/>
      <c r="D144" s="700"/>
      <c r="E144" s="700"/>
      <c r="F144" s="700"/>
      <c r="G144" s="700"/>
      <c r="H144" s="700"/>
      <c r="I144" s="700"/>
      <c r="J144" s="700"/>
      <c r="K144" s="701"/>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696" t="s">
        <v>744</v>
      </c>
      <c r="D147" s="696"/>
      <c r="E147" s="439"/>
      <c r="F147" s="499" t="s">
        <v>745</v>
      </c>
      <c r="G147" s="439"/>
      <c r="H147" s="439"/>
      <c r="I147" s="439"/>
      <c r="J147" s="702" t="s">
        <v>746</v>
      </c>
      <c r="K147" s="703"/>
      <c r="L147" s="427"/>
    </row>
    <row r="148" spans="1:12" ht="14.25">
      <c r="A148" s="427"/>
      <c r="B148" s="447"/>
      <c r="C148" s="704">
        <v>52.869</v>
      </c>
      <c r="D148" s="704"/>
      <c r="E148" s="439" t="s">
        <v>266</v>
      </c>
      <c r="F148" s="504">
        <v>133685008</v>
      </c>
      <c r="G148" s="505" t="s">
        <v>690</v>
      </c>
      <c r="H148" s="439">
        <v>1000</v>
      </c>
      <c r="I148" s="439" t="s">
        <v>689</v>
      </c>
      <c r="J148" s="696">
        <f>C148*(F148/1000)</f>
        <v>7067792.687952</v>
      </c>
      <c r="K148" s="705"/>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91" t="s">
        <v>813</v>
      </c>
    </row>
    <row r="2" ht="15.75">
      <c r="A2" s="117" t="s">
        <v>814</v>
      </c>
    </row>
    <row r="3" ht="15.75">
      <c r="A3" s="117" t="s">
        <v>815</v>
      </c>
    </row>
    <row r="5" ht="15.75">
      <c r="A5" s="591" t="s">
        <v>810</v>
      </c>
    </row>
    <row r="6" ht="15.75">
      <c r="A6" s="572" t="s">
        <v>811</v>
      </c>
    </row>
    <row r="8" ht="15.75">
      <c r="A8" s="412" t="s">
        <v>757</v>
      </c>
    </row>
    <row r="9" ht="15.75">
      <c r="A9" s="572" t="s">
        <v>758</v>
      </c>
    </row>
    <row r="10" ht="15.75">
      <c r="A10" s="572" t="s">
        <v>759</v>
      </c>
    </row>
    <row r="11" ht="31.5">
      <c r="A11" s="571" t="s">
        <v>760</v>
      </c>
    </row>
    <row r="12" ht="15.75">
      <c r="A12" s="572" t="s">
        <v>761</v>
      </c>
    </row>
    <row r="13" ht="15.75">
      <c r="A13" s="572" t="s">
        <v>762</v>
      </c>
    </row>
    <row r="14" ht="15.75">
      <c r="A14" s="572" t="s">
        <v>763</v>
      </c>
    </row>
    <row r="15" ht="15.75">
      <c r="A15" s="572" t="s">
        <v>764</v>
      </c>
    </row>
    <row r="16" ht="15.75">
      <c r="A16" s="572" t="s">
        <v>765</v>
      </c>
    </row>
    <row r="17" ht="15.75">
      <c r="A17" s="572" t="s">
        <v>766</v>
      </c>
    </row>
    <row r="18" ht="15.75">
      <c r="A18" s="572" t="s">
        <v>767</v>
      </c>
    </row>
    <row r="19" ht="15.75">
      <c r="A19" s="572" t="s">
        <v>768</v>
      </c>
    </row>
    <row r="20" ht="15.75">
      <c r="A20" s="572" t="s">
        <v>769</v>
      </c>
    </row>
    <row r="21" ht="15.75">
      <c r="A21" s="572" t="s">
        <v>770</v>
      </c>
    </row>
    <row r="22" ht="15.75">
      <c r="A22" s="572" t="s">
        <v>771</v>
      </c>
    </row>
    <row r="23" ht="15.75">
      <c r="A23" s="572" t="s">
        <v>772</v>
      </c>
    </row>
    <row r="24" ht="15.75">
      <c r="A24" s="572" t="s">
        <v>773</v>
      </c>
    </row>
    <row r="25" ht="15.75">
      <c r="A25" s="572" t="s">
        <v>774</v>
      </c>
    </row>
    <row r="26" ht="15.75">
      <c r="A26" s="572" t="s">
        <v>775</v>
      </c>
    </row>
    <row r="27" ht="15.75">
      <c r="A27" s="572" t="s">
        <v>776</v>
      </c>
    </row>
    <row r="28" ht="15.75">
      <c r="A28" s="572" t="s">
        <v>777</v>
      </c>
    </row>
    <row r="29" ht="15.75">
      <c r="A29" s="572" t="s">
        <v>778</v>
      </c>
    </row>
    <row r="30" ht="15.75">
      <c r="A30" s="572" t="s">
        <v>779</v>
      </c>
    </row>
    <row r="31" ht="15.75">
      <c r="A31" s="117" t="s">
        <v>809</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328</v>
      </c>
    </row>
    <row r="72" ht="15.75">
      <c r="A72" s="117" t="s">
        <v>329</v>
      </c>
    </row>
    <row r="74" ht="15.75">
      <c r="A74" s="411" t="s">
        <v>326</v>
      </c>
    </row>
    <row r="75" ht="15.75">
      <c r="A75" s="117" t="s">
        <v>327</v>
      </c>
    </row>
    <row r="77" ht="15.75">
      <c r="A77" s="411" t="s">
        <v>322</v>
      </c>
    </row>
    <row r="78" ht="15.75">
      <c r="A78" s="117" t="s">
        <v>323</v>
      </c>
    </row>
    <row r="79" ht="15.75">
      <c r="A79" s="117" t="s">
        <v>324</v>
      </c>
    </row>
    <row r="80" ht="15.75">
      <c r="A80" s="117" t="s">
        <v>325</v>
      </c>
    </row>
    <row r="82" ht="15.75">
      <c r="A82" s="411" t="s">
        <v>318</v>
      </c>
    </row>
    <row r="83" ht="15.75">
      <c r="A83" s="117" t="s">
        <v>319</v>
      </c>
    </row>
    <row r="84" ht="15.75">
      <c r="A84" s="117" t="s">
        <v>320</v>
      </c>
    </row>
    <row r="86" ht="15.75">
      <c r="A86" s="411" t="s">
        <v>232</v>
      </c>
    </row>
    <row r="87" ht="15.75">
      <c r="A87" s="117" t="s">
        <v>204</v>
      </c>
    </row>
    <row r="88" ht="31.5">
      <c r="A88" s="221" t="s">
        <v>205</v>
      </c>
    </row>
    <row r="89" ht="15.75">
      <c r="A89" s="117" t="s">
        <v>218</v>
      </c>
    </row>
    <row r="90" ht="15.75">
      <c r="A90" s="117" t="s">
        <v>219</v>
      </c>
    </row>
    <row r="91" ht="15.75">
      <c r="A91" s="117" t="s">
        <v>220</v>
      </c>
    </row>
    <row r="92" ht="15.75">
      <c r="A92" s="117" t="s">
        <v>221</v>
      </c>
    </row>
    <row r="93" ht="31.5">
      <c r="A93" s="221" t="s">
        <v>213</v>
      </c>
    </row>
    <row r="94" ht="31.5">
      <c r="A94" s="221" t="s">
        <v>222</v>
      </c>
    </row>
    <row r="95" ht="31.5">
      <c r="A95" s="221" t="s">
        <v>223</v>
      </c>
    </row>
    <row r="96" ht="15.75">
      <c r="A96" s="221" t="s">
        <v>224</v>
      </c>
    </row>
    <row r="97" ht="31.5">
      <c r="A97" s="221" t="s">
        <v>225</v>
      </c>
    </row>
    <row r="98" ht="15.75">
      <c r="A98" s="117" t="s">
        <v>226</v>
      </c>
    </row>
    <row r="99" ht="15.75">
      <c r="A99" s="117" t="s">
        <v>227</v>
      </c>
    </row>
    <row r="100" ht="15.75">
      <c r="A100" s="117" t="s">
        <v>228</v>
      </c>
    </row>
    <row r="101" ht="15.75">
      <c r="A101" s="117" t="s">
        <v>229</v>
      </c>
    </row>
    <row r="102" ht="31.5">
      <c r="A102" s="221" t="s">
        <v>230</v>
      </c>
    </row>
    <row r="103" ht="15.75">
      <c r="A103" s="221" t="s">
        <v>206</v>
      </c>
    </row>
    <row r="104" ht="31.5">
      <c r="A104" s="221" t="s">
        <v>214</v>
      </c>
    </row>
    <row r="105" ht="15.75">
      <c r="A105" s="221" t="s">
        <v>207</v>
      </c>
    </row>
    <row r="106" ht="15.75">
      <c r="A106" s="221" t="s">
        <v>208</v>
      </c>
    </row>
    <row r="107" ht="15.75">
      <c r="A107" s="221" t="s">
        <v>209</v>
      </c>
    </row>
    <row r="108" ht="31.5">
      <c r="A108" s="221" t="s">
        <v>210</v>
      </c>
    </row>
    <row r="109" ht="31.5">
      <c r="A109" s="221" t="s">
        <v>215</v>
      </c>
    </row>
    <row r="110" ht="31.5">
      <c r="A110" s="221" t="s">
        <v>211</v>
      </c>
    </row>
    <row r="111" ht="31.5">
      <c r="A111" s="221" t="s">
        <v>216</v>
      </c>
    </row>
    <row r="112" ht="15.75">
      <c r="A112" s="221" t="s">
        <v>217</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244</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245</v>
      </c>
    </row>
    <row r="130" ht="15.75">
      <c r="A130" s="117" t="s">
        <v>152</v>
      </c>
    </row>
    <row r="131" ht="15.75">
      <c r="A131" s="117" t="s">
        <v>166</v>
      </c>
    </row>
    <row r="132" ht="31.5">
      <c r="A132" s="221" t="s">
        <v>167</v>
      </c>
    </row>
    <row r="133" ht="15.75">
      <c r="A133" s="117" t="s">
        <v>168</v>
      </c>
    </row>
    <row r="134" ht="15.75">
      <c r="A134" s="117" t="s">
        <v>177</v>
      </c>
    </row>
    <row r="135" ht="15.75">
      <c r="A135" s="117" t="s">
        <v>212</v>
      </c>
    </row>
    <row r="136" ht="15.75">
      <c r="A136" s="117" t="s">
        <v>243</v>
      </c>
    </row>
    <row r="137" ht="15.75">
      <c r="A137" s="117" t="s">
        <v>179</v>
      </c>
    </row>
    <row r="138" ht="15.75">
      <c r="A138" s="117" t="s">
        <v>242</v>
      </c>
    </row>
    <row r="139" ht="15.75">
      <c r="A139" s="117" t="s">
        <v>183</v>
      </c>
    </row>
    <row r="140" ht="15.75">
      <c r="A140" s="117" t="s">
        <v>188</v>
      </c>
    </row>
    <row r="141" ht="15.75">
      <c r="A141" s="117" t="s">
        <v>189</v>
      </c>
    </row>
    <row r="142" ht="15.75">
      <c r="A142" s="117" t="s">
        <v>195</v>
      </c>
    </row>
    <row r="143" ht="15.75">
      <c r="A143"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6" sqref="E16:F16"/>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10" t="s">
        <v>400</v>
      </c>
      <c r="B2" s="611"/>
      <c r="C2" s="611"/>
      <c r="D2" s="611"/>
      <c r="E2" s="611"/>
      <c r="F2" s="611"/>
    </row>
    <row r="4" ht="15.75">
      <c r="D4" s="393"/>
    </row>
    <row r="5" spans="1:4" ht="15.75">
      <c r="A5" s="220" t="s">
        <v>395</v>
      </c>
      <c r="B5" s="394" t="s">
        <v>826</v>
      </c>
      <c r="C5" s="395"/>
      <c r="D5" s="220" t="s">
        <v>808</v>
      </c>
    </row>
    <row r="6" spans="1:4" ht="15.75">
      <c r="A6" s="220"/>
      <c r="B6" s="396"/>
      <c r="C6" s="397"/>
      <c r="D6" s="220" t="s">
        <v>807</v>
      </c>
    </row>
    <row r="7" spans="1:4" ht="15.75">
      <c r="A7" s="220" t="s">
        <v>396</v>
      </c>
      <c r="B7" s="394" t="s">
        <v>827</v>
      </c>
      <c r="C7" s="398"/>
      <c r="D7" s="220"/>
    </row>
    <row r="8" spans="1:4" ht="15.75">
      <c r="A8" s="220"/>
      <c r="B8" s="220"/>
      <c r="C8" s="220"/>
      <c r="D8" s="220"/>
    </row>
    <row r="9" spans="1:5" ht="15.75">
      <c r="A9" s="220" t="s">
        <v>397</v>
      </c>
      <c r="B9" s="399" t="s">
        <v>828</v>
      </c>
      <c r="C9" s="399"/>
      <c r="D9" s="399"/>
      <c r="E9" s="400"/>
    </row>
    <row r="10" spans="1:4" ht="15.75">
      <c r="A10" s="220"/>
      <c r="B10" s="220"/>
      <c r="C10" s="220"/>
      <c r="D10" s="220"/>
    </row>
    <row r="11" spans="1:4" ht="15.75">
      <c r="A11" s="220"/>
      <c r="B11" s="220"/>
      <c r="C11" s="220"/>
      <c r="D11" s="220"/>
    </row>
    <row r="12" spans="1:5" ht="15.75">
      <c r="A12" s="220" t="s">
        <v>398</v>
      </c>
      <c r="B12" s="399" t="s">
        <v>828</v>
      </c>
      <c r="C12" s="399"/>
      <c r="D12" s="399"/>
      <c r="E12" s="400"/>
    </row>
    <row r="15" spans="1:5" ht="15.75">
      <c r="A15" s="612" t="s">
        <v>401</v>
      </c>
      <c r="B15" s="612"/>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70" zoomScaleNormal="70" zoomScalePageLayoutView="0" workbookViewId="0" topLeftCell="A4">
      <selection activeCell="H22" sqref="H2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3" t="s">
        <v>25</v>
      </c>
      <c r="B1" s="613"/>
      <c r="C1" s="613"/>
      <c r="D1" s="613"/>
      <c r="E1" s="613"/>
      <c r="F1" s="613"/>
      <c r="G1" s="66">
        <f>inputPrYr!D9</f>
        <v>2014</v>
      </c>
    </row>
    <row r="2" spans="2:6" s="66" customFormat="1" ht="15.75">
      <c r="B2" s="67"/>
      <c r="C2" s="67"/>
      <c r="D2" s="67"/>
      <c r="E2" s="67"/>
      <c r="F2" s="68"/>
    </row>
    <row r="3" spans="1:7" s="66" customFormat="1" ht="15.75">
      <c r="A3" s="617" t="str">
        <f>CONCATENATE("To the Clerk of ",inputPrYr!D4,", State of Kansas")</f>
        <v>To the Clerk of KINGMAN COUNTY, State of Kansas</v>
      </c>
      <c r="B3" s="618"/>
      <c r="C3" s="618"/>
      <c r="D3" s="618"/>
      <c r="E3" s="618"/>
      <c r="F3" s="618"/>
      <c r="G3" s="618"/>
    </row>
    <row r="4" spans="1:6" s="66" customFormat="1" ht="15.75">
      <c r="A4" s="70" t="s">
        <v>106</v>
      </c>
      <c r="B4" s="67"/>
      <c r="C4" s="67"/>
      <c r="D4" s="67"/>
      <c r="E4" s="67"/>
      <c r="F4" s="67"/>
    </row>
    <row r="5" s="66" customFormat="1" ht="15.75">
      <c r="C5" s="570" t="str">
        <f>inputPrYr!D3</f>
        <v>LIBERTY TOWNSHIP</v>
      </c>
    </row>
    <row r="6" spans="1:6" s="66" customFormat="1" ht="15.75">
      <c r="A6" s="622" t="s">
        <v>104</v>
      </c>
      <c r="B6" s="618"/>
      <c r="C6" s="618"/>
      <c r="D6" s="618"/>
      <c r="E6" s="618"/>
      <c r="F6" s="618"/>
    </row>
    <row r="7" spans="1:6" s="66" customFormat="1" ht="15.75" customHeight="1">
      <c r="A7" s="617" t="s">
        <v>105</v>
      </c>
      <c r="B7" s="623"/>
      <c r="C7" s="623"/>
      <c r="D7" s="623"/>
      <c r="E7" s="623"/>
      <c r="F7" s="623"/>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619" t="str">
        <f>CONCATENATE("",G1," Adopted Budget")</f>
        <v>2014 Adopted Budget</v>
      </c>
      <c r="E11" s="620"/>
      <c r="F11" s="621"/>
    </row>
    <row r="12" spans="1:6" s="66" customFormat="1" ht="15.75">
      <c r="A12" s="74"/>
      <c r="C12" s="72"/>
      <c r="D12" s="75" t="s">
        <v>254</v>
      </c>
      <c r="E12" s="614" t="str">
        <f>CONCATENATE("Amount of ",G1-1," Ad Valorem Tax")</f>
        <v>Amount of 2013 Ad Valorem Tax</v>
      </c>
      <c r="F12" s="76" t="s">
        <v>255</v>
      </c>
    </row>
    <row r="13" spans="3:6" s="66" customFormat="1" ht="15.75">
      <c r="C13" s="76" t="s">
        <v>256</v>
      </c>
      <c r="D13" s="529" t="s">
        <v>185</v>
      </c>
      <c r="E13" s="615"/>
      <c r="F13" s="78" t="s">
        <v>257</v>
      </c>
    </row>
    <row r="14" spans="1:6" s="66" customFormat="1" ht="15.75">
      <c r="A14" s="79" t="s">
        <v>258</v>
      </c>
      <c r="B14" s="80"/>
      <c r="C14" s="81" t="s">
        <v>259</v>
      </c>
      <c r="D14" s="530" t="s">
        <v>747</v>
      </c>
      <c r="E14" s="616"/>
      <c r="F14" s="81" t="s">
        <v>261</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816</v>
      </c>
      <c r="D17" s="73"/>
      <c r="E17" s="73"/>
      <c r="F17" s="86"/>
    </row>
    <row r="18" spans="1:6" s="66" customFormat="1" ht="15.75">
      <c r="A18" s="87" t="s">
        <v>95</v>
      </c>
      <c r="B18" s="83"/>
      <c r="C18" s="85" t="s">
        <v>816</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IF(gen!C57&gt;0,gen!C57,"  ")</f>
        <v>4</v>
      </c>
      <c r="D20" s="85">
        <f>IF(gen!$E$46&lt;&gt;0,gen!$E$46,"  ")</f>
        <v>10268</v>
      </c>
      <c r="E20" s="85">
        <f>IF(gen!$E$53&lt;&gt;0,gen!$E$53,0)</f>
        <v>8915.1</v>
      </c>
      <c r="F20" s="95" t="str">
        <f>IF(AND(gen!E53=0,$B$45&gt;=0)," ",IF(AND(E20&gt;0,$B$45=0)," ",IF(AND(E20&gt;0,$B$45&gt;0),ROUND(E20/$B$45*1000,3))))</f>
        <v> </v>
      </c>
    </row>
    <row r="21" spans="1:6" s="66" customFormat="1" ht="15.75">
      <c r="A21" s="92" t="s">
        <v>254</v>
      </c>
      <c r="B21" s="93" t="s">
        <v>254</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43311</v>
      </c>
      <c r="E22" s="85">
        <f>IF(road!$E$48&lt;&gt;0,road!$E$48,"  ")</f>
        <v>37709.7</v>
      </c>
      <c r="F22" s="95" t="str">
        <f>IF(AND(road!E48=0,$B$42&gt;=0)," ",IF(AND(E22&gt;0,$B$42=0)," ",IF(AND(E22&gt;0,$B$42&gt;0),ROUND(E22/$B$42*1000,3))))</f>
        <v> </v>
      </c>
    </row>
    <row r="23" spans="1:6" s="66" customFormat="1" ht="15.75">
      <c r="A23" s="92" t="s">
        <v>254</v>
      </c>
      <c r="B23" s="93" t="s">
        <v>254</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254</v>
      </c>
      <c r="B24" s="93" t="s">
        <v>254</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254</v>
      </c>
      <c r="B25" s="93" t="s">
        <v>254</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264</v>
      </c>
      <c r="B36" s="97"/>
      <c r="C36" s="98">
        <f>IF(road!C65&gt;0,road!C65,"  ")</f>
        <v>5</v>
      </c>
      <c r="D36" s="90"/>
      <c r="E36" s="90"/>
      <c r="F36" s="95"/>
    </row>
    <row r="37" spans="1:6" s="66" customFormat="1" ht="16.5" thickBot="1">
      <c r="A37" s="100" t="s">
        <v>265</v>
      </c>
      <c r="B37" s="91"/>
      <c r="C37" s="101" t="s">
        <v>266</v>
      </c>
      <c r="D37" s="102">
        <f>SUM(D20:D36)</f>
        <v>53579</v>
      </c>
      <c r="E37" s="102">
        <f>SUM(E20:E36)</f>
        <v>46624.799999999996</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624" t="s">
        <v>79</v>
      </c>
      <c r="C41" s="625"/>
      <c r="D41" s="109"/>
      <c r="F41" s="74" t="s">
        <v>267</v>
      </c>
    </row>
    <row r="42" spans="1:6" s="66" customFormat="1" ht="15.75">
      <c r="A42" s="82" t="str">
        <f>inputPrYr!D3</f>
        <v>LIBERTY TOWNSHIP</v>
      </c>
      <c r="B42" s="626"/>
      <c r="C42" s="627"/>
      <c r="D42" s="110"/>
      <c r="F42" s="74"/>
    </row>
    <row r="43" spans="1:6" s="66" customFormat="1" ht="15.75">
      <c r="A43" s="82" t="str">
        <f>inputPrYr!D6</f>
        <v>NASHVILLE CITY</v>
      </c>
      <c r="B43" s="626"/>
      <c r="C43" s="634"/>
      <c r="D43" s="110"/>
      <c r="F43" s="74"/>
    </row>
    <row r="44" spans="1:6" s="66" customFormat="1" ht="15.75">
      <c r="A44" s="82">
        <f>inputPrYr!D7</f>
        <v>0</v>
      </c>
      <c r="B44" s="626"/>
      <c r="C44" s="634"/>
      <c r="D44" s="110"/>
      <c r="F44" s="74"/>
    </row>
    <row r="45" spans="1:6" s="66" customFormat="1" ht="15.75">
      <c r="A45" s="82" t="s">
        <v>190</v>
      </c>
      <c r="B45" s="632">
        <f>SUM(B42:C44)</f>
        <v>0</v>
      </c>
      <c r="C45" s="633"/>
      <c r="D45" s="110"/>
      <c r="F45" s="74"/>
    </row>
    <row r="46" spans="1:6" s="66" customFormat="1" ht="15.75">
      <c r="A46" s="111"/>
      <c r="B46" s="628" t="str">
        <f>CONCATENATE("Nov. 1, ",G1-1," Valuation")</f>
        <v>Nov. 1, 2013 Valuation</v>
      </c>
      <c r="C46" s="629"/>
      <c r="D46" s="109"/>
      <c r="F46" s="74"/>
    </row>
    <row r="47" spans="1:6" s="66" customFormat="1" ht="15.75">
      <c r="A47" s="111" t="s">
        <v>268</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270</v>
      </c>
      <c r="B59" s="66"/>
      <c r="C59" s="66"/>
      <c r="D59" s="630" t="s">
        <v>269</v>
      </c>
      <c r="E59" s="631"/>
      <c r="F59" s="631"/>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88"/>
      <c r="B67" s="589"/>
      <c r="C67" s="589"/>
      <c r="D67" s="589"/>
      <c r="E67" s="589"/>
      <c r="F67" s="589"/>
    </row>
    <row r="68" spans="1:6" ht="15.75">
      <c r="A68" s="588"/>
      <c r="B68" s="589"/>
      <c r="C68" s="589"/>
      <c r="D68" s="589"/>
      <c r="E68" s="589"/>
      <c r="F68" s="589"/>
    </row>
    <row r="69" spans="1:6" ht="15.75">
      <c r="A69" s="588"/>
      <c r="B69" s="589"/>
      <c r="C69" s="589"/>
      <c r="D69" s="590"/>
      <c r="E69" s="587"/>
      <c r="F69" s="589"/>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70" zoomScaleNormal="70" zoomScalePageLayoutView="0" workbookViewId="0" topLeftCell="A1">
      <selection activeCell="H22" sqref="H22"/>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LIBERTY TOWNSHIP</v>
      </c>
      <c r="D1" s="66"/>
      <c r="E1" s="66"/>
      <c r="F1" s="66"/>
      <c r="G1" s="66"/>
      <c r="H1" s="66"/>
      <c r="I1" s="66"/>
      <c r="J1" s="66">
        <f>inputPrYr!D9</f>
        <v>2014</v>
      </c>
    </row>
    <row r="2" spans="1:10" ht="15.75">
      <c r="A2" s="66"/>
      <c r="B2" s="66"/>
      <c r="C2" s="66"/>
      <c r="D2" s="66"/>
      <c r="E2" s="66"/>
      <c r="F2" s="66"/>
      <c r="G2" s="66"/>
      <c r="H2" s="66"/>
      <c r="I2" s="66"/>
      <c r="J2" s="66"/>
    </row>
    <row r="3" spans="1:10" ht="15.75">
      <c r="A3" s="636" t="str">
        <f>CONCATENATE("Computation to Determine Limit for ",J1,"")</f>
        <v>Computation to Determine Limit for 2014</v>
      </c>
      <c r="B3" s="613"/>
      <c r="C3" s="613"/>
      <c r="D3" s="613"/>
      <c r="E3" s="613"/>
      <c r="F3" s="613"/>
      <c r="G3" s="613"/>
      <c r="H3" s="613"/>
      <c r="I3" s="613"/>
      <c r="J3" s="613"/>
    </row>
    <row r="4" spans="1:10" ht="15.75">
      <c r="A4" s="66"/>
      <c r="B4" s="66"/>
      <c r="C4" s="66"/>
      <c r="D4" s="66"/>
      <c r="E4" s="613"/>
      <c r="F4" s="613"/>
      <c r="G4" s="613"/>
      <c r="H4" s="65"/>
      <c r="I4" s="66"/>
      <c r="J4" s="268" t="s">
        <v>35</v>
      </c>
    </row>
    <row r="5" spans="1:10" ht="15.75">
      <c r="A5" s="269" t="s">
        <v>36</v>
      </c>
      <c r="B5" s="66" t="str">
        <f>CONCATENATE("Total Tax Levy Amount in ",J1-1,"")</f>
        <v>Total Tax Levy Amount in 2013</v>
      </c>
      <c r="C5" s="66"/>
      <c r="D5" s="66"/>
      <c r="E5" s="194"/>
      <c r="F5" s="194"/>
      <c r="G5" s="194"/>
      <c r="H5" s="270" t="s">
        <v>286</v>
      </c>
      <c r="I5" s="194" t="s">
        <v>273</v>
      </c>
      <c r="J5" s="271">
        <f>inputPrYr!E31</f>
        <v>43162</v>
      </c>
    </row>
    <row r="6" spans="1:10" ht="15.75">
      <c r="A6" s="269" t="s">
        <v>37</v>
      </c>
      <c r="B6" s="66" t="str">
        <f>CONCATENATE("Debt Service Levy in ",J1-1,"")</f>
        <v>Debt Service Levy in 2013</v>
      </c>
      <c r="C6" s="66"/>
      <c r="D6" s="66"/>
      <c r="E6" s="194"/>
      <c r="F6" s="194"/>
      <c r="G6" s="194"/>
      <c r="H6" s="270" t="s">
        <v>38</v>
      </c>
      <c r="I6" s="194" t="s">
        <v>273</v>
      </c>
      <c r="J6" s="272">
        <f>inputPrYr!E21</f>
        <v>0</v>
      </c>
    </row>
    <row r="7" spans="1:10" ht="15.75">
      <c r="A7" s="269" t="s">
        <v>39</v>
      </c>
      <c r="B7" s="163" t="s">
        <v>62</v>
      </c>
      <c r="C7" s="66"/>
      <c r="D7" s="66"/>
      <c r="E7" s="194"/>
      <c r="F7" s="194"/>
      <c r="G7" s="194"/>
      <c r="H7" s="194"/>
      <c r="I7" s="194" t="s">
        <v>273</v>
      </c>
      <c r="J7" s="273">
        <f>J5-J6</f>
        <v>43162</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286</v>
      </c>
      <c r="G11" s="247">
        <f>inputOth!E16</f>
        <v>0</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286</v>
      </c>
      <c r="E14" s="247">
        <f>inputOth!E21</f>
        <v>35548</v>
      </c>
      <c r="F14" s="270"/>
      <c r="G14" s="194"/>
      <c r="H14" s="194"/>
      <c r="I14" s="274"/>
      <c r="J14" s="194"/>
    </row>
    <row r="15" spans="1:10" ht="15.75">
      <c r="A15" s="269"/>
      <c r="B15" s="66" t="s">
        <v>43</v>
      </c>
      <c r="C15" s="66" t="str">
        <f>CONCATENATE("Personal Property ",J1-2,"")</f>
        <v>Personal Property 2012</v>
      </c>
      <c r="D15" s="269" t="s">
        <v>38</v>
      </c>
      <c r="E15" s="273">
        <f>inputOth!E31</f>
        <v>40535</v>
      </c>
      <c r="F15" s="270"/>
      <c r="G15" s="274"/>
      <c r="H15" s="274"/>
      <c r="I15" s="194"/>
      <c r="J15" s="194"/>
    </row>
    <row r="16" spans="1:10" ht="15.75">
      <c r="A16" s="269"/>
      <c r="B16" s="66" t="s">
        <v>44</v>
      </c>
      <c r="C16" s="66" t="s">
        <v>63</v>
      </c>
      <c r="D16" s="66"/>
      <c r="E16" s="194"/>
      <c r="F16" s="194" t="s">
        <v>286</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286</v>
      </c>
      <c r="G18" s="247">
        <f>inputOth!E26</f>
        <v>0</v>
      </c>
      <c r="H18" s="194"/>
      <c r="I18" s="194"/>
      <c r="J18" s="194"/>
    </row>
    <row r="19" spans="1:10" ht="15.75">
      <c r="A19" s="66" t="s">
        <v>254</v>
      </c>
      <c r="B19" s="66"/>
      <c r="C19" s="66"/>
      <c r="D19" s="269"/>
      <c r="E19" s="274"/>
      <c r="F19" s="274"/>
      <c r="G19" s="274"/>
      <c r="H19" s="194"/>
      <c r="I19" s="194"/>
      <c r="J19" s="194"/>
    </row>
    <row r="20" spans="1:10" ht="15.75">
      <c r="A20" s="269" t="s">
        <v>46</v>
      </c>
      <c r="B20" s="163" t="s">
        <v>64</v>
      </c>
      <c r="C20" s="66"/>
      <c r="D20" s="66"/>
      <c r="E20" s="194"/>
      <c r="F20" s="194"/>
      <c r="G20" s="247">
        <f>G11+G16+G18</f>
        <v>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2132758</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2132758</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286</v>
      </c>
      <c r="I28" s="66" t="s">
        <v>273</v>
      </c>
      <c r="J28" s="247">
        <f>ROUND(G26*J7,0)</f>
        <v>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273</v>
      </c>
      <c r="J30" s="278">
        <f>J7+J28</f>
        <v>43162</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43162</v>
      </c>
    </row>
    <row r="35" spans="1:10" ht="16.5" thickTop="1">
      <c r="A35" s="66"/>
      <c r="B35" s="66"/>
      <c r="C35" s="66"/>
      <c r="D35" s="66"/>
      <c r="E35" s="66"/>
      <c r="F35" s="66"/>
      <c r="G35" s="66"/>
      <c r="H35" s="66"/>
      <c r="I35" s="66"/>
      <c r="J35" s="66"/>
    </row>
    <row r="36" spans="1:10" s="279" customFormat="1" ht="18.75">
      <c r="A36" s="635" t="str">
        <f>CONCATENATE("If the ",J1," budget includes tax levies exceeding the total on line 14, you must")</f>
        <v>If the 2014 budget includes tax levies exceeding the total on line 14, you must</v>
      </c>
      <c r="B36" s="635"/>
      <c r="C36" s="635"/>
      <c r="D36" s="635"/>
      <c r="E36" s="635"/>
      <c r="F36" s="635"/>
      <c r="G36" s="635"/>
      <c r="H36" s="635"/>
      <c r="I36" s="635"/>
      <c r="J36" s="635"/>
    </row>
    <row r="37" spans="1:10" s="279" customFormat="1" ht="18.75">
      <c r="A37" s="635" t="s">
        <v>68</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H22" sqref="H22"/>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LIBERTY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37" t="s">
        <v>237</v>
      </c>
      <c r="C6" s="631"/>
      <c r="D6" s="631"/>
      <c r="E6" s="631"/>
      <c r="F6" s="631"/>
      <c r="G6" s="631"/>
      <c r="H6" s="631"/>
      <c r="I6" s="631"/>
      <c r="J6" s="631"/>
      <c r="K6" s="631"/>
    </row>
    <row r="7" spans="1:11" ht="16.5">
      <c r="A7" s="66"/>
      <c r="B7" s="613"/>
      <c r="C7" s="638"/>
      <c r="D7" s="638"/>
      <c r="E7" s="638"/>
      <c r="F7" s="638"/>
      <c r="G7" s="638"/>
      <c r="H7" s="638"/>
      <c r="I7" s="638"/>
      <c r="J7" s="638"/>
      <c r="K7" s="638"/>
    </row>
    <row r="8" spans="1:11" ht="16.5">
      <c r="A8" s="66"/>
      <c r="B8" s="613"/>
      <c r="C8" s="638"/>
      <c r="D8" s="638"/>
      <c r="E8" s="638"/>
      <c r="F8" s="638"/>
      <c r="G8" s="638"/>
      <c r="H8" s="638"/>
      <c r="I8" s="638"/>
      <c r="J8" s="638"/>
      <c r="K8" s="638"/>
    </row>
    <row r="9" spans="1:11" ht="15.75">
      <c r="A9" s="66"/>
      <c r="B9" s="66"/>
      <c r="C9" s="233"/>
      <c r="D9" s="233"/>
      <c r="E9" s="233"/>
      <c r="F9" s="233"/>
      <c r="G9" s="234"/>
      <c r="H9" s="67"/>
      <c r="I9" s="67"/>
      <c r="J9" s="66"/>
      <c r="K9" s="66"/>
    </row>
    <row r="10" spans="1:11" ht="21" customHeight="1">
      <c r="A10" s="66"/>
      <c r="B10" s="210"/>
      <c r="C10" s="235"/>
      <c r="D10" s="639" t="str">
        <f>CONCATENATE("Budget Tax Levy Amount for ",K1-2,"")</f>
        <v>Budget Tax Levy Amount for 2012</v>
      </c>
      <c r="E10" s="639" t="str">
        <f>CONCATENATE("Budget Tax Levy Rate for ",K1-1,"")</f>
        <v>Budget Tax Levy Rate for 2013</v>
      </c>
      <c r="F10" s="85"/>
      <c r="G10" s="619" t="str">
        <f>CONCATENATE("Allocation for Year ",K1,"")</f>
        <v>Allocation for Year 2014</v>
      </c>
      <c r="H10" s="641"/>
      <c r="I10" s="641"/>
      <c r="J10" s="641"/>
      <c r="K10" s="642"/>
    </row>
    <row r="11" spans="1:11" ht="15.75">
      <c r="A11" s="66"/>
      <c r="B11" s="236" t="str">
        <f>CONCATENATE("",K1-1," Budgeted Funds")</f>
        <v>2013 Budgeted Funds</v>
      </c>
      <c r="C11" s="237"/>
      <c r="D11" s="640"/>
      <c r="E11" s="640"/>
      <c r="F11" s="81"/>
      <c r="G11" s="81" t="s">
        <v>33</v>
      </c>
      <c r="H11" s="81"/>
      <c r="I11" s="81" t="s">
        <v>34</v>
      </c>
      <c r="J11" s="78" t="s">
        <v>76</v>
      </c>
      <c r="K11" s="78" t="s">
        <v>117</v>
      </c>
    </row>
    <row r="12" spans="1:11" ht="15.75">
      <c r="A12" s="66"/>
      <c r="B12" s="92" t="str">
        <f>inputPrYr!B20</f>
        <v>General</v>
      </c>
      <c r="C12" s="238"/>
      <c r="D12" s="92">
        <f>IF(inputPrYr!E20&gt;0,inputPrYr!E20,"  ")</f>
        <v>9274</v>
      </c>
      <c r="E12" s="239">
        <f>IF(inputOth!D37&gt;0,inputOth!D37,"  ")</f>
        <v>4.899</v>
      </c>
      <c r="F12" s="240"/>
      <c r="G12" s="92">
        <v>1103</v>
      </c>
      <c r="H12" s="241"/>
      <c r="I12" s="92">
        <v>17</v>
      </c>
      <c r="J12" s="92">
        <f>IF(inputPrYr!E20=0,0,J29-SUM(J13:J22))</f>
        <v>145</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33888</v>
      </c>
      <c r="E14" s="239">
        <f>IF(inputOth!D39&gt;0,inputOth!D39,"  ")</f>
        <v>22.51</v>
      </c>
      <c r="F14" s="240"/>
      <c r="G14" s="92">
        <v>2798</v>
      </c>
      <c r="H14" s="241"/>
      <c r="I14" s="92">
        <v>6</v>
      </c>
      <c r="J14" s="92">
        <v>777</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43162</v>
      </c>
      <c r="E23" s="244">
        <f>SUM(E12:E22)</f>
        <v>27.409000000000002</v>
      </c>
      <c r="F23" s="245"/>
      <c r="G23" s="243">
        <f t="shared" si="0"/>
        <v>3901</v>
      </c>
      <c r="H23" s="243"/>
      <c r="I23" s="243">
        <f t="shared" si="0"/>
        <v>23</v>
      </c>
      <c r="J23" s="243">
        <f t="shared" si="0"/>
        <v>922</v>
      </c>
      <c r="K23" s="243">
        <f>SUM(K12:K22)</f>
        <v>0</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3902</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23</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922</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0.0904035957555257</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0.0005328761410499977</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0.021361382697743386</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LIBERTY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3" t="s">
        <v>123</v>
      </c>
      <c r="B5" s="613"/>
      <c r="C5" s="613"/>
      <c r="D5" s="613"/>
      <c r="E5" s="613"/>
      <c r="F5" s="613"/>
    </row>
    <row r="6" spans="1:6" ht="14.25" customHeight="1">
      <c r="A6" s="65"/>
      <c r="B6" s="254"/>
      <c r="C6" s="254"/>
      <c r="D6" s="254"/>
      <c r="E6" s="254"/>
      <c r="F6" s="254"/>
    </row>
    <row r="7" spans="1:6" ht="15" customHeight="1">
      <c r="A7" s="255" t="s">
        <v>260</v>
      </c>
      <c r="B7" s="255" t="s">
        <v>646</v>
      </c>
      <c r="C7" s="256" t="s">
        <v>303</v>
      </c>
      <c r="D7" s="256" t="s">
        <v>124</v>
      </c>
      <c r="E7" s="255" t="s">
        <v>125</v>
      </c>
      <c r="F7" s="255" t="s">
        <v>126</v>
      </c>
    </row>
    <row r="8" spans="1:6" ht="15" customHeight="1">
      <c r="A8" s="257" t="s">
        <v>647</v>
      </c>
      <c r="B8" s="257" t="s">
        <v>648</v>
      </c>
      <c r="C8" s="258" t="s">
        <v>127</v>
      </c>
      <c r="D8" s="258" t="s">
        <v>127</v>
      </c>
      <c r="E8" s="258" t="s">
        <v>127</v>
      </c>
      <c r="F8" s="258" t="s">
        <v>128</v>
      </c>
    </row>
    <row r="9" spans="1:6" s="261" customFormat="1" ht="15" customHeight="1" thickBot="1">
      <c r="A9" s="259" t="s">
        <v>129</v>
      </c>
      <c r="B9" s="260" t="s">
        <v>130</v>
      </c>
      <c r="C9" s="260">
        <f>F1-2</f>
        <v>2012</v>
      </c>
      <c r="D9" s="260">
        <f>F1-1</f>
        <v>2013</v>
      </c>
      <c r="E9" s="260">
        <f>F1</f>
        <v>2014</v>
      </c>
      <c r="F9" s="260" t="s">
        <v>247</v>
      </c>
    </row>
    <row r="10" spans="1:6" ht="15" customHeight="1" thickTop="1">
      <c r="A10" s="262"/>
      <c r="B10" s="262"/>
      <c r="C10" s="263"/>
      <c r="D10" s="263"/>
      <c r="E10" s="263"/>
      <c r="F10" s="262"/>
    </row>
    <row r="11" spans="1:6" ht="15" customHeight="1">
      <c r="A11" s="212" t="s">
        <v>201</v>
      </c>
      <c r="B11" s="212" t="s">
        <v>264</v>
      </c>
      <c r="C11" s="264">
        <f>gen!$C$39</f>
        <v>0</v>
      </c>
      <c r="D11" s="264">
        <f>gen!$D$39</f>
        <v>0</v>
      </c>
      <c r="E11" s="264">
        <f>gen!$E$39</f>
        <v>0</v>
      </c>
      <c r="F11" s="212">
        <f>IF(C11+D11+E11&gt;0,"80-1406b","")</f>
      </c>
    </row>
    <row r="12" spans="1:6" ht="15" customHeight="1">
      <c r="A12" s="212" t="s">
        <v>201</v>
      </c>
      <c r="B12" s="212" t="s">
        <v>264</v>
      </c>
      <c r="C12" s="264">
        <f>gen!$C$41</f>
        <v>0</v>
      </c>
      <c r="D12" s="264">
        <f>gen!$D$41</f>
        <v>0</v>
      </c>
      <c r="E12" s="264">
        <f>gen!$E$41</f>
        <v>0</v>
      </c>
      <c r="F12" s="212">
        <f>IF(C12+D12+E12&gt;0,"80-122","")</f>
      </c>
    </row>
    <row r="13" spans="1:6" ht="15" customHeight="1">
      <c r="A13" s="212" t="s">
        <v>251</v>
      </c>
      <c r="B13" s="212" t="s">
        <v>264</v>
      </c>
      <c r="C13" s="264">
        <f>road!$C$36</f>
        <v>11565</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11565</v>
      </c>
      <c r="D27" s="267">
        <f>SUM(D10:D26)</f>
        <v>0</v>
      </c>
      <c r="E27" s="267">
        <f>SUM(E10:E26)</f>
        <v>0</v>
      </c>
      <c r="F27" s="196"/>
    </row>
    <row r="28" spans="1:6" ht="15.75">
      <c r="A28" s="196"/>
      <c r="B28" s="90" t="s">
        <v>645</v>
      </c>
      <c r="C28" s="66"/>
      <c r="D28" s="184"/>
      <c r="E28" s="184"/>
      <c r="F28" s="196"/>
    </row>
    <row r="29" spans="1:6" ht="15.75">
      <c r="A29" s="196"/>
      <c r="B29" s="90" t="s">
        <v>131</v>
      </c>
      <c r="C29" s="186">
        <f>C27</f>
        <v>11565</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2013-07-18T20:19:08Z</cp:lastPrinted>
  <dcterms:created xsi:type="dcterms:W3CDTF">1998-08-26T16:30:41Z</dcterms:created>
  <dcterms:modified xsi:type="dcterms:W3CDTF">2013-07-18T20:34:50Z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