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<sst xmlns="http://schemas.openxmlformats.org/spreadsheetml/2006/main" count="1379" uniqueCount="823">
  <si>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</si>
  <si>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</si>
  <si>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</si>
  <si>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</si>
  <si>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</si>
  <si>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</si>
  <si>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</si>
  <si>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</si>
  <si>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</si>
  <si>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</si>
  <si>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</si>
  <si>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</si>
  <si>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</si>
  <si>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</si>
  <si>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</si>
  <si>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</si>
  <si>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</si>
  <si>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</si>
  <si>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</si>
  <si>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</si>
  <si>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</si>
  <si>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</si>
  <si>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</si>
  <si>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</si>
  <si>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</si>
  <si>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</si>
  <si>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</si>
  <si>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</si>
  <si>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</si>
  <si>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</si>
  <si>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</si>
  <si>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</si>
  <si>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</si>
  <si>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</si>
  <si>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</si>
  <si>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</si>
  <si>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</si>
  <si>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</si>
  <si>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</si>
  <si>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</si>
  <si>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</si>
  <si>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</si>
  <si>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</si>
  <si>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</si>
  <si>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</si>
  <si>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</si>
  <si>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</si>
  <si>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</si>
  <si>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</si>
  <si>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</si>
  <si>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</si>
  <si>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</si>
  <si>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</si>
  <si>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</si>
  <si>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</si>
  <si>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</si>
  <si>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</si>
  <si>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</si>
  <si>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</si>
  <si>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</si>
  <si>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</si>
  <si>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</si>
  <si>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</si>
  <si>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</si>
  <si>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</si>
  <si>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</si>
  <si>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</si>
  <si>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</si>
  <si>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</si>
  <si>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</si>
  <si>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</si>
  <si>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</si>
  <si>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</si>
  <si>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</si>
  <si>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</si>
  <si>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</si>
  <si>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</si>
  <si>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</si>
  <si>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</si>
  <si>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</si>
  <si>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</si>
  <si>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</si>
  <si>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</si>
  <si>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</si>
  <si>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</si>
  <si>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</si>
  <si>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</si>
  <si>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</si>
  <si>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</si>
  <si>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</si>
  <si>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</si>
  <si>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</si>
  <si>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</si>
  <si>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</si>
  <si>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</si>
  <si>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</si>
  <si>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</si>
  <si>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</si>
  <si>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</si>
  <si>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</si>
  <si>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</si>
  <si>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</si>
  <si>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</si>
  <si>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</si>
  <si>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</si>
  <si>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</si>
  <si>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</si>
  <si>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</si>
  <si>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</si>
  <si>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</si>
  <si>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</si>
  <si>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</si>
  <si>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</si>
  <si>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</si>
  <si>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</si>
  <si>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</si>
  <si>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</si>
  <si>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</si>
  <si>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</si>
  <si>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</si>
  <si>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</si>
  <si>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</si>
  <si>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</si>
  <si>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</si>
  <si>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</si>
  <si>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</si>
  <si>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</si>
  <si>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</si>
  <si>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</si>
  <si>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</si>
  <si>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</si>
  <si>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</si>
  <si>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</si>
  <si>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</si>
  <si>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</si>
  <si>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</si>
  <si>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</si>
  <si>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</si>
  <si>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</si>
  <si>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</si>
  <si>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</si>
  <si>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</si>
  <si>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</si>
  <si>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</si>
  <si>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</si>
  <si>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</si>
  <si>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</si>
  <si>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</si>
  <si>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</si>
  <si>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</si>
  <si>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</si>
  <si>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</si>
  <si>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</si>
  <si>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</si>
  <si>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</si>
  <si>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</si>
  <si>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</si>
  <si>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</si>
  <si>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</si>
  <si>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</si>
  <si>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</si>
  <si>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</si>
  <si>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</si>
  <si>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</si>
  <si>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</si>
  <si>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</si>
  <si>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</si>
  <si>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</si>
  <si>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</si>
  <si>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</si>
  <si>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</si>
  <si>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</si>
  <si>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</si>
  <si>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</si>
  <si>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</si>
  <si>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</si>
  <si>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</si>
  <si>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</si>
  <si>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</si>
  <si>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</si>
  <si>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</si>
  <si>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</si>
  <si>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</si>
  <si>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</si>
  <si>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</si>
  <si>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</si>
  <si>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</si>
  <si>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</si>
  <si>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</si>
  <si>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</si>
  <si>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</si>
  <si>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</si>
  <si>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</si>
  <si>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</si>
  <si>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</si>
  <si>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</si>
  <si>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</si>
  <si>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</si>
  <si>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</si>
  <si>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</si>
  <si>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</si>
  <si>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</si>
  <si>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</si>
  <si>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</si>
  <si>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</si>
  <si>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</si>
  <si>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</si>
  <si>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</si>
  <si>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</si>
  <si>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</si>
  <si>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</si>
  <si>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</si>
  <si>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</si>
  <si>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</si>
  <si>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</si>
  <si>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</si>
  <si>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</si>
  <si>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</si>
  <si>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</si>
  <si>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</si>
  <si>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</si>
  <si>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</si>
  <si>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</si>
  <si>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</si>
  <si>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</si>
  <si>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</si>
  <si>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</si>
  <si>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</si>
  <si>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</si>
  <si>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</si>
  <si>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</si>
  <si>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</si>
  <si>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</si>
  <si>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</si>
  <si>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</si>
  <si>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</si>
  <si>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</si>
  <si>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</si>
  <si>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</si>
  <si>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</si>
  <si>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</si>
  <si>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</si>
  <si>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</si>
  <si>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</si>
  <si>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</si>
  <si>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</si>
  <si>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</si>
  <si>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</si>
  <si>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</si>
  <si>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</si>
  <si>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</si>
  <si>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</si>
  <si>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</si>
  <si>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</si>
  <si>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</si>
  <si>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</si>
  <si>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</si>
  <si>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</si>
  <si>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</si>
  <si>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</si>
  <si>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</si>
  <si>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</si>
  <si>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</si>
  <si>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</si>
  <si>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</si>
  <si>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</si>
  <si>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</si>
  <si>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</si>
  <si>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</si>
  <si>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</si>
  <si>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</si>
  <si>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</si>
  <si>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</si>
  <si>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</si>
  <si>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</si>
  <si>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</si>
  <si>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</si>
  <si>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</si>
  <si>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</si>
  <si>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</si>
  <si>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</si>
  <si>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</si>
  <si>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</si>
  <si>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</si>
  <si>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</si>
  <si>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</si>
  <si>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</si>
  <si>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</si>
  <si>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</si>
  <si>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</si>
  <si>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</si>
  <si>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</si>
  <si>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</si>
  <si>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</si>
  <si>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</si>
  <si>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</si>
  <si>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</si>
  <si>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</si>
  <si>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</si>
  <si>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</si>
  <si>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</si>
  <si>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</si>
  <si>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</si>
  <si>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</si>
  <si>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</si>
  <si>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</si>
  <si>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</si>
  <si>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</si>
  <si>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</si>
  <si>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</si>
  <si>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</si>
  <si>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</si>
  <si>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</si>
  <si>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</si>
  <si>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</si>
  <si>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</si>
  <si>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</si>
  <si>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</si>
  <si>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</si>
  <si>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</si>
  <si>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</si>
  <si>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</si>
  <si>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</si>
  <si>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</si>
  <si>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</si>
  <si>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</si>
  <si>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</si>
  <si>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</si>
  <si>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</si>
  <si>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</si>
  <si>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</si>
  <si>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</si>
  <si>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</si>
  <si>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</si>
  <si>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</si>
  <si>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</si>
  <si>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</si>
  <si>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</si>
  <si>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</si>
  <si>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</si>
  <si>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</si>
  <si>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</si>
  <si>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</si>
  <si>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</si>
  <si>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</si>
  <si>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</si>
  <si>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</si>
  <si>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</si>
  <si>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</si>
  <si>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</si>
  <si>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</si>
  <si>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</si>
  <si>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</si>
  <si>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</si>
  <si>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</si>
  <si>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</si>
  <si>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</si>
  <si>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</si>
  <si>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</si>
  <si>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</si>
  <si>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</si>
  <si>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</si>
  <si>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</si>
  <si>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</si>
  <si>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</si>
  <si>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</si>
  <si>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</si>
  <si>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</si>
  <si>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</si>
  <si>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</si>
  <si>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</si>
  <si>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</si>
  <si>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</si>
  <si>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</si>
  <si>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</si>
  <si>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</si>
  <si>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</si>
  <si>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</si>
  <si>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</si>
  <si>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</si>
  <si>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</si>
  <si>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</si>
  <si>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</si>
  <si>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</si>
  <si>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</si>
  <si>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</si>
  <si>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</si>
  <si>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</si>
  <si>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</si>
  <si>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</si>
  <si>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</si>
  <si>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</si>
  <si>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</si>
  <si>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</si>
  <si>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</si>
  <si>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</si>
  <si>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</si>
  <si>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</si>
  <si>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</si>
  <si>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</si>
  <si>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</si>
  <si>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</si>
  <si>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</si>
  <si>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</si>
  <si>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</si>
  <si>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</si>
  <si>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</si>
  <si>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</si>
  <si>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</si>
  <si>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</si>
  <si>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</si>
  <si>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</si>
  <si>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</si>
  <si>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</si>
  <si>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</si>
  <si>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</si>
  <si>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</si>
  <si>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</si>
  <si>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</si>
  <si>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</si>
  <si>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</si>
  <si>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</si>
  <si>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</si>
  <si>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</si>
  <si>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</si>
  <si>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</si>
  <si>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</si>
  <si>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</si>
  <si>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</si>
  <si>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</si>
  <si>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</si>
  <si>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</si>
  <si>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</si>
  <si>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</si>
  <si>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</si>
  <si>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</si>
  <si>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</si>
  <si>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</si>
  <si>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</si>
  <si>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</si>
  <si>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</si>
  <si>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</si>
  <si>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</si>
  <si>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</si>
  <si>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</si>
  <si>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</si>
  <si>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</si>
  <si>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</si>
  <si>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</si>
  <si>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</si>
  <si>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</si>
  <si>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</si>
  <si>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</si>
  <si>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</si>
  <si>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</si>
  <si>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</si>
  <si>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</si>
  <si>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</si>
  <si>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</si>
  <si>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</si>
  <si>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</si>
  <si>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</si>
  <si>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</si>
  <si>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</si>
  <si>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</si>
  <si>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</si>
  <si>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</si>
  <si>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</si>
  <si>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</si>
  <si>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</si>
  <si>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</si>
  <si>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</si>
  <si>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</si>
  <si>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</si>
  <si>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</si>
  <si>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</si>
  <si>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</si>
  <si>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</si>
  <si>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</si>
  <si>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</si>
  <si>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</si>
  <si>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</si>
  <si>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</si>
  <si>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</si>
  <si>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</si>
  <si>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</si>
  <si>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</si>
  <si>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</si>
  <si>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</si>
  <si>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</si>
  <si>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</si>
  <si>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</si>
  <si>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</si>
  <si>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</si>
  <si>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</si>
  <si>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</si>
  <si>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</si>
  <si>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</si>
  <si>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</si>
  <si>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</si>
  <si>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</si>
  <si>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</si>
  <si>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</si>
  <si>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</si>
  <si>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</si>
  <si>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</si>
  <si>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</si>
  <si>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</si>
  <si>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</si>
  <si>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</si>
  <si>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</si>
  <si>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</si>
  <si>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</si>
  <si>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</si>
  <si>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</si>
  <si>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</si>
  <si>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</si>
  <si>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</si>
  <si>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</si>
  <si>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</si>
  <si>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</si>
  <si>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</si>
  <si>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</si>
  <si>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</si>
  <si>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</si>
  <si>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</si>
  <si>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</si>
  <si>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</si>
  <si>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</si>
  <si>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</si>
  <si>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</si>
  <si>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</si>
  <si>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</si>
  <si>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</si>
  <si>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</si>
  <si>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</si>
  <si>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</si>
  <si>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</si>
  <si>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</si>
  <si>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</si>
  <si>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</si>
  <si>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</si>
  <si>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</si>
  <si>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</si>
  <si>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</si>
  <si>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</si>
  <si>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</si>
  <si>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</si>
  <si>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</si>
  <si>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</si>
  <si>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</si>
  <si>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</si>
  <si>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</si>
  <si>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</si>
  <si>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</si>
  <si>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</si>
  <si>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</si>
  <si>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</si>
  <si>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</si>
  <si>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</si>
  <si>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</si>
  <si>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</si>
  <si>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</si>
  <si>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</si>
  <si>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</si>
  <si>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</si>
  <si>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</si>
  <si>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</si>
  <si>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</si>
  <si>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</si>
  <si>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</si>
  <si>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</si>
  <si>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</si>
  <si>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</si>
  <si>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</si>
  <si>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</si>
  <si>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</si>
  <si>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</si>
  <si>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</si>
  <si>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</si>
  <si>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</si>
  <si>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</si>
  <si>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</si>
  <si>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</si>
  <si>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</si>
  <si>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</si>
  <si>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</si>
  <si>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</si>
  <si>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</si>
  <si>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</si>
  <si>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</si>
  <si>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</si>
  <si>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</si>
  <si>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</si>
  <si>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</si>
  <si>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</si>
  <si>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</si>
  <si>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</si>
  <si>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</si>
  <si>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</si>
  <si>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</si>
  <si>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</si>
  <si>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</si>
  <si>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</si>
  <si>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</si>
  <si>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</si>
  <si>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</si>
  <si>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</si>
  <si>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</si>
  <si>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</si>
  <si>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</si>
  <si>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</si>
  <si>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</si>
  <si>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</si>
  <si>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</si>
  <si>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</si>
  <si>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</si>
  <si>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</si>
  <si>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</si>
  <si>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</si>
  <si>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</si>
  <si>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</si>
  <si>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</si>
  <si>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</si>
  <si>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</si>
  <si>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</si>
  <si>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</si>
  <si>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</si>
  <si>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</si>
  <si>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</si>
  <si>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</si>
  <si>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</si>
  <si>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</si>
  <si>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</si>
  <si>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</si>
  <si>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</si>
  <si>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</si>
  <si>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</si>
  <si>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</si>
  <si>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</si>
  <si>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</si>
  <si>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</si>
  <si>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</si>
  <si>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</si>
  <si>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</si>
  <si>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</si>
  <si>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</si>
  <si>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</si>
  <si>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</si>
  <si>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</si>
  <si>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</si>
  <si>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</si>
  <si>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</si>
  <si>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</si>
  <si>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</si>
  <si>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</si>
  <si>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</si>
  <si>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</si>
  <si>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</si>
  <si>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</si>
  <si>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</si>
  <si>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</si>
  <si>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</si>
  <si>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</si>
  <si>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</si>
  <si>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</si>
  <si>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</si>
  <si>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</si>
  <si>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</si>
  <si>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</si>
  <si>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</si>
  <si>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</si>
  <si>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</si>
  <si>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</si>
  <si>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</si>
  <si>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</si>
  <si>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</si>
  <si>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</si>
  <si>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</si>
  <si>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</si>
  <si>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</si>
  <si>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</si>
  <si>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</si>
  <si>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</si>
  <si>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</si>
  <si>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</si>
  <si>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</si>
  <si>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</si>
  <si>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</si>
  <si>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</si>
  <si>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</si>
  <si>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</si>
  <si>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</si>
  <si>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</si>
  <si>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</si>
  <si>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</si>
  <si>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</si>
  <si>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</si>
  <si>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</si>
  <si>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</si>
  <si>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</si>
  <si>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</si>
  <si>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</si>
  <si>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</si>
  <si>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</si>
  <si>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</si>
  <si>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</si>
  <si>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</si>
  <si>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</si>
  <si>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</si>
  <si>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</si>
  <si>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</si>
  <si>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</si>
  <si>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</si>
  <si>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</si>
  <si>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</si>
  <si>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</si>
  <si>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</si>
  <si>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</si>
  <si>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</si>
  <si>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</si>
  <si>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</si>
  <si>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</si>
  <si>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</si>
  <si>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</si>
  <si>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</si>
  <si>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</si>
  <si>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</si>
  <si>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</si>
  <si>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</si>
  <si>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</si>
  <si>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</si>
  <si>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</si>
  <si>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</si>
  <si>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</si>
  <si>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</si>
  <si>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</si>
  <si>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</si>
  <si>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</si>
  <si>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</si>
  <si>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</si>
  <si>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</si>
  <si>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</si>
  <si>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</si>
  <si>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</si>
  <si>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</si>
  <si>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</si>
  <si>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</si>
  <si>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</si>
  <si>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</si>
  <si>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</si>
  <si>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</si>
  <si>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</si>
  <si>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</si>
  <si>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</si>
  <si>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</si>
  <si>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</si>
  <si>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</si>
  <si>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</si>
  <si>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</si>
  <si>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</si>
  <si>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</si>
  <si>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</si>
  <si>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</si>
  <si>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</si>
  <si>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</si>
  <si>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</si>
  <si>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</si>
  <si>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</si>
  <si>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</si>
  <si>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</si>
  <si>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</si>
  <si>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</si>
  <si>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</si>
  <si>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</si>
  <si>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</si>
  <si>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</si>
  <si>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</si>
  <si>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</si>
  <si>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</si>
  <si>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</si>
  <si>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</si>
  <si>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</si>
  <si>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</si>
  <si>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</si>
  <si>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</si>
  <si>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</si>
  <si>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</si>
  <si>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</si>
  <si>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</si>
  <si>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</si>
  <si>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</si>
  <si>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</si>
  <si>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</si>
  <si>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</si>
  <si>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</si>
  <si>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</si>
  <si>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</si>
  <si>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</si>
  <si>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</si>
  <si>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</si>
  <si>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</si>
  <si>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</si>
  <si>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</si>
  <si>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</si>
  <si>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</si>
  <si>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</si>
  <si>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</si>
  <si>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</si>
  <si>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</si>
  <si>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</si>
  <si>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</si>
  <si>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</si>
  <si>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HOOSIER TOWNSHIP</t>
  </si>
  <si>
    <t>Total Expenditure/Non Appr Balance</t>
  </si>
  <si>
    <t>Cemetery</t>
  </si>
  <si>
    <t>Fire Contract - Kingman Cy</t>
  </si>
  <si>
    <t>Bldg Rental</t>
  </si>
  <si>
    <t>Fuel</t>
  </si>
  <si>
    <t>August 10, 2013</t>
  </si>
  <si>
    <t>1:00 P.M.</t>
  </si>
  <si>
    <t>Brown's Spur Coop</t>
  </si>
  <si>
    <t>RESOLUTION NO.__________1________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</si>
</sst>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HOOSIER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HOOSIER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1569</v>
      </c>
      <c r="D6" s="418">
        <f>C51</f>
        <v>1718.5600000000013</v>
      </c>
      <c r="E6" s="32">
        <f>D51</f>
        <v>527.5600000000013</v>
      </c>
    </row>
    <row r="7" spans="2:5" ht="15.75">
      <c r="B7" s="27" t="s">
        <v>124</v>
      </c>
      <c r="C7" s="418"/>
      <c r="D7" s="418"/>
      <c r="E7" s="33"/>
    </row>
    <row r="8" spans="2:5" ht="15.75">
      <c r="B8" s="27" t="s">
        <v>16</v>
      </c>
      <c r="C8" s="29">
        <f>11840.29-349</f>
        <v>11491.29</v>
      </c>
      <c r="D8" s="418">
        <f>inputPrYr!E16</f>
        <v>11005</v>
      </c>
      <c r="E8" s="33" t="s">
        <v>301</v>
      </c>
    </row>
    <row r="9" spans="2:5" ht="15.75">
      <c r="B9" s="27" t="s">
        <v>17</v>
      </c>
      <c r="C9" s="29">
        <v>36</v>
      </c>
      <c r="D9" s="29"/>
      <c r="E9" s="34"/>
    </row>
    <row r="10" spans="2:5" ht="15.75">
      <c r="B10" s="27" t="s">
        <v>18</v>
      </c>
      <c r="C10" s="29">
        <f>1468.02-7</f>
        <v>1461.02</v>
      </c>
      <c r="D10" s="29">
        <v>930</v>
      </c>
      <c r="E10" s="32">
        <f>mvalloc!G11</f>
        <v>1100</v>
      </c>
    </row>
    <row r="11" spans="2:5" ht="15.75">
      <c r="B11" s="27" t="s">
        <v>19</v>
      </c>
      <c r="C11" s="29">
        <f>4.11+2.61</f>
        <v>6.720000000000001</v>
      </c>
      <c r="D11" s="29">
        <v>9</v>
      </c>
      <c r="E11" s="32">
        <f>mvalloc!I11</f>
        <v>5</v>
      </c>
    </row>
    <row r="12" spans="2:5" ht="15.75">
      <c r="B12" s="35" t="s">
        <v>72</v>
      </c>
      <c r="C12" s="29">
        <f>207.86+54.8+85.87</f>
        <v>348.53000000000003</v>
      </c>
      <c r="D12" s="29">
        <v>59</v>
      </c>
      <c r="E12" s="32">
        <f>mvalloc!J11</f>
        <v>371</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13343.560000000001</v>
      </c>
      <c r="D26" s="420">
        <f>SUM(D8:D24)</f>
        <v>12003</v>
      </c>
      <c r="E26" s="42">
        <f>SUM(E8:E24)</f>
        <v>1476</v>
      </c>
    </row>
    <row r="27" spans="2:5" ht="15.75">
      <c r="B27" s="43" t="s">
        <v>24</v>
      </c>
      <c r="C27" s="420">
        <f>C26+C6</f>
        <v>14912.560000000001</v>
      </c>
      <c r="D27" s="420">
        <f>D26+D6</f>
        <v>13721.560000000001</v>
      </c>
      <c r="E27" s="42">
        <f>E26+E6</f>
        <v>2003.5600000000013</v>
      </c>
    </row>
    <row r="28" spans="2:5" ht="15.75">
      <c r="B28" s="27" t="s">
        <v>25</v>
      </c>
      <c r="C28" s="418"/>
      <c r="D28" s="418"/>
      <c r="E28" s="32"/>
    </row>
    <row r="29" spans="2:5" ht="15.75">
      <c r="B29" s="37"/>
      <c r="C29" s="29"/>
      <c r="D29" s="29"/>
      <c r="E29" s="34"/>
    </row>
    <row r="30" spans="2:5" ht="15.75">
      <c r="B30" s="38" t="s">
        <v>105</v>
      </c>
      <c r="C30" s="29">
        <v>2040</v>
      </c>
      <c r="D30" s="29">
        <v>600</v>
      </c>
      <c r="E30" s="34">
        <v>600</v>
      </c>
    </row>
    <row r="31" spans="2:5" ht="15.75">
      <c r="B31" s="38" t="s">
        <v>129</v>
      </c>
      <c r="C31" s="29">
        <f>917+993</f>
        <v>1910</v>
      </c>
      <c r="D31" s="29">
        <v>2788</v>
      </c>
      <c r="E31" s="34">
        <v>2806</v>
      </c>
    </row>
    <row r="32" spans="2:5" ht="15.75">
      <c r="B32" s="38" t="s">
        <v>106</v>
      </c>
      <c r="C32" s="29">
        <f>182+607</f>
        <v>789</v>
      </c>
      <c r="D32" s="29">
        <v>1294</v>
      </c>
      <c r="E32" s="34">
        <v>1294</v>
      </c>
    </row>
    <row r="33" spans="2:5" ht="15.75">
      <c r="B33" s="38" t="s">
        <v>36</v>
      </c>
      <c r="C33" s="29">
        <v>444</v>
      </c>
      <c r="D33" s="29">
        <v>4909</v>
      </c>
      <c r="E33" s="34">
        <v>4909</v>
      </c>
    </row>
    <row r="34" spans="2:5" ht="15.75">
      <c r="B34" s="37" t="s">
        <v>107</v>
      </c>
      <c r="C34" s="29">
        <f>1735+1811</f>
        <v>3546</v>
      </c>
      <c r="D34" s="29"/>
      <c r="E34" s="34"/>
    </row>
    <row r="35" spans="2:5" ht="15.75">
      <c r="B35" s="37" t="s">
        <v>130</v>
      </c>
      <c r="C35" s="29"/>
      <c r="D35" s="29"/>
      <c r="E35" s="34"/>
    </row>
    <row r="36" spans="2:5" ht="15.75">
      <c r="B36" s="38" t="s">
        <v>132</v>
      </c>
      <c r="C36" s="29"/>
      <c r="D36" s="29"/>
      <c r="E36" s="34"/>
    </row>
    <row r="37" spans="2:5" ht="15.75">
      <c r="B37" s="38" t="s">
        <v>809</v>
      </c>
      <c r="C37" s="29"/>
      <c r="D37" s="29">
        <v>93</v>
      </c>
      <c r="E37" s="34">
        <v>93</v>
      </c>
    </row>
    <row r="38" spans="2:5" ht="15.75">
      <c r="B38" s="37" t="s">
        <v>815</v>
      </c>
      <c r="C38" s="29">
        <v>3250</v>
      </c>
      <c r="D38" s="29">
        <v>2750</v>
      </c>
      <c r="E38" s="34">
        <v>2750</v>
      </c>
    </row>
    <row r="39" spans="2:5" ht="15.75">
      <c r="B39" s="38" t="s">
        <v>811</v>
      </c>
      <c r="C39" s="29">
        <f>960+255</f>
        <v>1215</v>
      </c>
      <c r="D39" s="29">
        <v>350</v>
      </c>
      <c r="E39" s="34">
        <v>350</v>
      </c>
    </row>
    <row r="40" spans="2:5" ht="15.75">
      <c r="B40" s="38"/>
      <c r="C40" s="29"/>
      <c r="D40" s="29"/>
      <c r="E40" s="34" t="s">
        <v>289</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410</v>
      </c>
      <c r="E47" s="46">
        <f>nhood!E6</f>
        <v>392</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13194</v>
      </c>
      <c r="D50" s="412">
        <f>SUM(D29:D48)</f>
        <v>13194</v>
      </c>
      <c r="E50" s="47">
        <f>SUM(E29:E43,E45,E47:E48)</f>
        <v>13194</v>
      </c>
    </row>
    <row r="51" spans="2:5" ht="15.75">
      <c r="B51" s="27" t="s">
        <v>123</v>
      </c>
      <c r="C51" s="413">
        <f>C27-C50</f>
        <v>1718.5600000000013</v>
      </c>
      <c r="D51" s="413">
        <f>SUM(D27-D50)</f>
        <v>527.5600000000013</v>
      </c>
      <c r="E51" s="33" t="s">
        <v>301</v>
      </c>
    </row>
    <row r="52" spans="2:6" ht="15.75">
      <c r="B52" s="48" t="str">
        <f>CONCATENATE("",E1-2,"/",E1-1," Budget Authority Amount:")</f>
        <v>2012/2013 Budget Authority Amount:</v>
      </c>
      <c r="C52" s="143">
        <v>13194</v>
      </c>
      <c r="D52" s="172">
        <f>inputPrYr!D16</f>
        <v>13194</v>
      </c>
      <c r="E52" s="33" t="s">
        <v>301</v>
      </c>
      <c r="F52" s="50"/>
    </row>
    <row r="53" spans="2:6" ht="15.75">
      <c r="B53" s="48"/>
      <c r="C53" s="609" t="s">
        <v>645</v>
      </c>
      <c r="D53" s="610"/>
      <c r="E53" s="34"/>
      <c r="F53" s="533">
        <f>IF(E50/0.95-E50&lt;E53,"Exceeds 5%","")</f>
      </c>
    </row>
    <row r="54" spans="2:5" ht="15.75">
      <c r="B54" s="436" t="str">
        <f>CONCATENATE(C72,"     ",D72)</f>
        <v>     </v>
      </c>
      <c r="C54" s="611" t="s">
        <v>814</v>
      </c>
      <c r="D54" s="612"/>
      <c r="E54" s="32">
        <f>E50+E53</f>
        <v>13194</v>
      </c>
    </row>
    <row r="55" spans="2:5" ht="15.75">
      <c r="B55" s="436" t="str">
        <f>CONCATENATE(C73,"     ",D73)</f>
        <v>     </v>
      </c>
      <c r="C55" s="60"/>
      <c r="D55" s="52" t="s">
        <v>28</v>
      </c>
      <c r="E55" s="46">
        <f>IF(E54-E27&gt;0,E54-E27,0)</f>
        <v>11190.439999999999</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11190.439999999999</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HOOSIER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HOOSIER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0</v>
      </c>
      <c r="D6" s="418">
        <f>C44</f>
        <v>2467.730000000003</v>
      </c>
      <c r="E6" s="32">
        <f>D44</f>
        <v>227.7300000000032</v>
      </c>
    </row>
    <row r="7" spans="2:5" ht="15.75">
      <c r="B7" s="27" t="s">
        <v>124</v>
      </c>
      <c r="C7" s="418"/>
      <c r="D7" s="418"/>
      <c r="E7" s="33"/>
    </row>
    <row r="8" spans="2:5" ht="15.75">
      <c r="B8" s="27" t="s">
        <v>16</v>
      </c>
      <c r="C8" s="29">
        <f>50274.12-873</f>
        <v>49401.12</v>
      </c>
      <c r="D8" s="418">
        <f>inputPrYr!E18</f>
        <v>51959</v>
      </c>
      <c r="E8" s="33" t="s">
        <v>301</v>
      </c>
    </row>
    <row r="9" spans="2:5" ht="15.75">
      <c r="B9" s="27" t="s">
        <v>17</v>
      </c>
      <c r="C9" s="29">
        <v>151.11</v>
      </c>
      <c r="D9" s="29"/>
      <c r="E9" s="34"/>
    </row>
    <row r="10" spans="2:5" ht="15.75">
      <c r="B10" s="27" t="s">
        <v>18</v>
      </c>
      <c r="C10" s="29">
        <f>6202.36-28</f>
        <v>6174.36</v>
      </c>
      <c r="D10" s="29">
        <v>3941</v>
      </c>
      <c r="E10" s="32">
        <f>mvalloc!G13</f>
        <v>5194</v>
      </c>
    </row>
    <row r="11" spans="2:5" ht="15.75">
      <c r="B11" s="27" t="s">
        <v>19</v>
      </c>
      <c r="C11" s="29">
        <f>17.25+10.95</f>
        <v>28.2</v>
      </c>
      <c r="D11" s="29">
        <v>39</v>
      </c>
      <c r="E11" s="32">
        <f>mvalloc!I13</f>
        <v>24</v>
      </c>
    </row>
    <row r="12" spans="2:5" ht="15.75">
      <c r="B12" s="27" t="s">
        <v>103</v>
      </c>
      <c r="C12" s="29">
        <f>227.25+251.52+394.17</f>
        <v>872.94</v>
      </c>
      <c r="D12" s="29">
        <v>250</v>
      </c>
      <c r="E12" s="32">
        <f>mvalloc!J13</f>
        <v>1570</v>
      </c>
    </row>
    <row r="13" spans="2:5" ht="15.75">
      <c r="B13" s="27" t="s">
        <v>166</v>
      </c>
      <c r="C13" s="29"/>
      <c r="D13" s="29"/>
      <c r="E13" s="32">
        <f>mvalloc!K13</f>
        <v>0</v>
      </c>
    </row>
    <row r="14" spans="2:5" ht="15.75">
      <c r="B14" s="27" t="s">
        <v>104</v>
      </c>
      <c r="C14" s="29">
        <v>1740</v>
      </c>
      <c r="D14" s="29">
        <v>1660</v>
      </c>
      <c r="E14" s="32">
        <f>inputOth!E36</f>
        <v>1690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58367.73</v>
      </c>
      <c r="D23" s="420">
        <f>SUM(D8:D21)</f>
        <v>57849</v>
      </c>
      <c r="E23" s="42">
        <f>SUM(E8:E21)</f>
        <v>8478</v>
      </c>
    </row>
    <row r="24" spans="2:5" ht="15.75">
      <c r="B24" s="43" t="s">
        <v>24</v>
      </c>
      <c r="C24" s="420">
        <f>C23+C6</f>
        <v>58367.73</v>
      </c>
      <c r="D24" s="420">
        <f>D23+D6</f>
        <v>60316.73</v>
      </c>
      <c r="E24" s="42">
        <f>E23+E6</f>
        <v>8705.730000000003</v>
      </c>
    </row>
    <row r="25" spans="2:5" ht="15.75">
      <c r="B25" s="27" t="s">
        <v>25</v>
      </c>
      <c r="C25" s="418"/>
      <c r="D25" s="418"/>
      <c r="E25" s="32"/>
    </row>
    <row r="26" spans="2:5" ht="15.75">
      <c r="B26" s="38" t="s">
        <v>105</v>
      </c>
      <c r="C26" s="29"/>
      <c r="D26" s="29">
        <v>1440</v>
      </c>
      <c r="E26" s="34">
        <v>1440</v>
      </c>
    </row>
    <row r="27" spans="2:5" ht="15.75">
      <c r="B27" s="38" t="s">
        <v>129</v>
      </c>
      <c r="C27" s="29">
        <v>4019</v>
      </c>
      <c r="D27" s="29">
        <v>13111</v>
      </c>
      <c r="E27" s="34">
        <f>6810+4773</f>
        <v>11583</v>
      </c>
    </row>
    <row r="28" spans="2:5" ht="15.75">
      <c r="B28" s="37" t="s">
        <v>106</v>
      </c>
      <c r="C28" s="29"/>
      <c r="D28" s="29">
        <v>2450</v>
      </c>
      <c r="E28" s="34">
        <v>2450</v>
      </c>
    </row>
    <row r="29" spans="2:5" ht="15.75">
      <c r="B29" s="38" t="s">
        <v>131</v>
      </c>
      <c r="C29" s="29">
        <v>1568</v>
      </c>
      <c r="D29" s="29">
        <v>5578</v>
      </c>
      <c r="E29" s="34">
        <v>5578</v>
      </c>
    </row>
    <row r="30" spans="2:5" ht="15.75">
      <c r="B30" s="38" t="s">
        <v>109</v>
      </c>
      <c r="C30" s="29">
        <v>221</v>
      </c>
      <c r="D30" s="29">
        <v>12032</v>
      </c>
      <c r="E30" s="34">
        <v>6032</v>
      </c>
    </row>
    <row r="31" spans="2:5" ht="15.75">
      <c r="B31" s="38" t="s">
        <v>107</v>
      </c>
      <c r="C31" s="29">
        <v>35197</v>
      </c>
      <c r="D31" s="29">
        <v>11854</v>
      </c>
      <c r="E31" s="34">
        <v>21538</v>
      </c>
    </row>
    <row r="32" spans="2:5" ht="15.75">
      <c r="B32" s="38" t="s">
        <v>132</v>
      </c>
      <c r="C32" s="29">
        <v>5032</v>
      </c>
      <c r="D32" s="29"/>
      <c r="E32" s="34"/>
    </row>
    <row r="33" spans="2:5" ht="15.75">
      <c r="B33" s="38" t="s">
        <v>810</v>
      </c>
      <c r="C33" s="29" t="s">
        <v>289</v>
      </c>
      <c r="D33" s="29" t="s">
        <v>289</v>
      </c>
      <c r="E33" s="34"/>
    </row>
    <row r="34" spans="2:5" ht="15.75">
      <c r="B34" s="37" t="s">
        <v>811</v>
      </c>
      <c r="C34" s="29"/>
      <c r="D34" s="29"/>
      <c r="E34" s="34"/>
    </row>
    <row r="35" spans="2:5" ht="15.75">
      <c r="B35" s="37" t="s">
        <v>816</v>
      </c>
      <c r="C35" s="29">
        <v>6200</v>
      </c>
      <c r="D35" s="29">
        <v>6301</v>
      </c>
      <c r="E35" s="34">
        <v>12200</v>
      </c>
    </row>
    <row r="36" spans="2:5" ht="15.75">
      <c r="B36" s="38" t="s">
        <v>817</v>
      </c>
      <c r="C36" s="29"/>
      <c r="D36" s="29">
        <v>1200</v>
      </c>
      <c r="E36" s="34">
        <v>1200</v>
      </c>
    </row>
    <row r="37" spans="2:5" ht="15.75">
      <c r="B37" s="38" t="s">
        <v>818</v>
      </c>
      <c r="C37" s="29">
        <v>3663</v>
      </c>
      <c r="D37" s="29">
        <v>4189</v>
      </c>
      <c r="E37" s="34">
        <v>4189</v>
      </c>
    </row>
    <row r="38" spans="2:5" ht="15.75">
      <c r="B38" s="27" t="s">
        <v>108</v>
      </c>
      <c r="C38" s="29"/>
      <c r="D38" s="29"/>
      <c r="E38" s="34"/>
    </row>
    <row r="39" spans="2:5" ht="15.75">
      <c r="B39" s="27" t="s">
        <v>648</v>
      </c>
      <c r="C39" s="426">
        <f>IF(C24*0.25&lt;C38,"Not Authorized","")</f>
      </c>
      <c r="D39" s="426">
        <f>IF(D24*0.25&lt;D38,"Not Authorized","")</f>
      </c>
      <c r="E39" s="78">
        <f>IF(E24*0.25+E50&lt;E38,"Not Authorized","")</f>
      </c>
    </row>
    <row r="40" spans="2:5" ht="15.75">
      <c r="B40" s="35" t="s">
        <v>225</v>
      </c>
      <c r="C40" s="29"/>
      <c r="D40" s="29">
        <v>1934</v>
      </c>
      <c r="E40" s="46">
        <f>nhood!E8</f>
        <v>2089</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55900</v>
      </c>
      <c r="D43" s="420">
        <f>SUM(D26:D38,D40:D41)</f>
        <v>60089</v>
      </c>
      <c r="E43" s="42">
        <f>SUM(E26:E38,E40:E41)</f>
        <v>68299</v>
      </c>
    </row>
    <row r="44" spans="2:5" ht="15.75">
      <c r="B44" s="27" t="s">
        <v>123</v>
      </c>
      <c r="C44" s="413">
        <f>C24-C43</f>
        <v>2467.730000000003</v>
      </c>
      <c r="D44" s="413">
        <f>D24-D43</f>
        <v>227.7300000000032</v>
      </c>
      <c r="E44" s="33" t="s">
        <v>301</v>
      </c>
    </row>
    <row r="45" spans="2:6" ht="15.75">
      <c r="B45" s="48" t="str">
        <f>CONCATENATE("",E1-2,"/",E1-1," Budget Authority Amount:")</f>
        <v>2012/2013 Budget Authority Amount:</v>
      </c>
      <c r="C45" s="143">
        <v>55900</v>
      </c>
      <c r="D45" s="172">
        <f>inputPrYr!D18</f>
        <v>60089</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68299</v>
      </c>
    </row>
    <row r="48" spans="2:5" ht="15.75">
      <c r="B48" s="436" t="str">
        <f>CONCATENATE(C75,"     ",D75)</f>
        <v>     </v>
      </c>
      <c r="C48" s="60"/>
      <c r="D48" s="52" t="s">
        <v>28</v>
      </c>
      <c r="E48" s="46">
        <f>IF(E47-E24&gt;0,E47-E24,0)</f>
        <v>59593.27</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59593.27</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26829</v>
      </c>
      <c r="D55" s="14"/>
      <c r="E55" s="14"/>
    </row>
    <row r="56" spans="2:5" ht="15.75">
      <c r="B56" s="83" t="s">
        <v>33</v>
      </c>
      <c r="C56" s="143"/>
      <c r="D56" s="14"/>
      <c r="E56" s="14"/>
    </row>
    <row r="57" spans="2:5" ht="15.75">
      <c r="B57" s="83" t="s">
        <v>34</v>
      </c>
      <c r="C57" s="439">
        <f>C38</f>
        <v>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c r="D61" s="14"/>
      <c r="E61" s="14"/>
    </row>
    <row r="62" spans="2:5" ht="15.75">
      <c r="B62" s="87" t="s">
        <v>21</v>
      </c>
      <c r="C62" s="557"/>
      <c r="D62" s="14"/>
      <c r="E62" s="14"/>
    </row>
    <row r="63" spans="2:5" ht="15.75">
      <c r="B63" s="88" t="s">
        <v>24</v>
      </c>
      <c r="C63" s="143">
        <f>SUM(C55:C62)</f>
        <v>26829</v>
      </c>
      <c r="D63" s="14"/>
      <c r="E63" s="14"/>
    </row>
    <row r="64" spans="2:5" ht="15.75">
      <c r="B64" s="88" t="s">
        <v>26</v>
      </c>
      <c r="C64" s="557"/>
      <c r="D64" s="14"/>
      <c r="E64" s="14"/>
    </row>
    <row r="65" spans="2:5" ht="15.75">
      <c r="B65" s="88" t="s">
        <v>27</v>
      </c>
      <c r="C65" s="438">
        <f>SUM(C63-C64)</f>
        <v>26829</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HOOSIER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HOOSIER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13194</v>
      </c>
      <c r="E16" s="200">
        <v>11005</v>
      </c>
    </row>
    <row r="17" spans="1:5" ht="15.75">
      <c r="A17" s="14"/>
      <c r="B17" s="83" t="s">
        <v>311</v>
      </c>
      <c r="C17" s="172" t="s">
        <v>156</v>
      </c>
      <c r="D17" s="200"/>
      <c r="E17" s="200"/>
    </row>
    <row r="18" spans="1:5" ht="15.75">
      <c r="A18" s="14"/>
      <c r="B18" s="83" t="s">
        <v>286</v>
      </c>
      <c r="C18" s="192" t="s">
        <v>326</v>
      </c>
      <c r="D18" s="200">
        <v>60089</v>
      </c>
      <c r="E18" s="200">
        <v>51959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62964</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73283</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5.251</v>
      </c>
      <c r="E41" s="14"/>
    </row>
    <row r="42" spans="1:5" ht="15.75">
      <c r="A42" s="14"/>
      <c r="B42" s="96" t="str">
        <f t="shared" si="0"/>
        <v>Debt Service</v>
      </c>
      <c r="C42" s="14"/>
      <c r="D42" s="348"/>
      <c r="E42" s="14"/>
    </row>
    <row r="43" spans="1:5" ht="15.75">
      <c r="A43" s="14"/>
      <c r="B43" s="96" t="str">
        <f t="shared" si="0"/>
        <v>Road</v>
      </c>
      <c r="C43" s="14"/>
      <c r="D43" s="348">
        <v>22.241</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27.492</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62169</v>
      </c>
    </row>
    <row r="53" spans="1:5" ht="15.75">
      <c r="A53" s="353" t="str">
        <f>CONCATENATE("Assessed Valuation (",D5-2," budget column)")</f>
        <v>Assessed Valuation (2012 budget column)</v>
      </c>
      <c r="B53" s="354"/>
      <c r="C53" s="291"/>
      <c r="D53" s="28"/>
      <c r="E53" s="200">
        <v>2261313</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HOOSIER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10, 2013 at 1:00 P.M. at Brown's Spur Coop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Brown's Spur Coop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13194</v>
      </c>
      <c r="D17" s="549">
        <f>IF(inputPrYr!D41&gt;0,inputPrYr!D41,"  ")</f>
        <v>5.251</v>
      </c>
      <c r="E17" s="32">
        <f>IF(gen!$D$50&lt;&gt;0,gen!$D$50,"  ")</f>
        <v>13194</v>
      </c>
      <c r="F17" s="253">
        <f>IF(inputOth!D17&gt;0,inputOth!D17,"  ")</f>
        <v>4.834</v>
      </c>
      <c r="G17" s="32">
        <f>IF(gen!$E$50&lt;&gt;0,gen!$E$50,"  ")</f>
        <v>13194</v>
      </c>
      <c r="H17" s="32">
        <f>IF(gen!$E$57&lt;&gt;0,gen!$E$57," ")</f>
        <v>11190.439999999999</v>
      </c>
      <c r="I17" s="551">
        <f>IF(gen!E57&gt;0,ROUND(H17/$G$35*1000,3)," ")</f>
        <v>4.689</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55900</v>
      </c>
      <c r="D19" s="549">
        <f>IF(inputPrYr!D43&gt;0,inputPrYr!D43,"  ")</f>
        <v>22.241</v>
      </c>
      <c r="E19" s="32">
        <f>IF(road!$D$43&lt;&gt;0,road!$D$43,"  ")</f>
        <v>60089</v>
      </c>
      <c r="F19" s="253">
        <f>IF(inputOth!D19&gt;0,inputOth!D19,"  ")</f>
        <v>22.825</v>
      </c>
      <c r="G19" s="32">
        <f>IF(road!$E$43&lt;&gt;0,road!$E$43,"  ")</f>
        <v>68299</v>
      </c>
      <c r="H19" s="32">
        <f>IF(road!$E$50&lt;&gt;0,road!$E$50,"  ")</f>
        <v>59593.27</v>
      </c>
      <c r="I19" s="551">
        <f>IF(road!E50&gt;0,ROUND(H19/$G$35*1000,3)," ")</f>
        <v>24.97</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69094</v>
      </c>
      <c r="D30" s="529">
        <f t="shared" si="0"/>
        <v>27.492</v>
      </c>
      <c r="E30" s="552">
        <f t="shared" si="0"/>
        <v>73283</v>
      </c>
      <c r="F30" s="529">
        <f t="shared" si="0"/>
        <v>27.659</v>
      </c>
      <c r="G30" s="552">
        <f t="shared" si="0"/>
        <v>81493</v>
      </c>
      <c r="H30" s="552">
        <f t="shared" si="0"/>
        <v>70783.70999999999</v>
      </c>
      <c r="I30" s="555">
        <f t="shared" si="0"/>
        <v>29.659</v>
      </c>
    </row>
    <row r="31" spans="2:9" ht="15.75">
      <c r="B31" s="83" t="s">
        <v>44</v>
      </c>
      <c r="C31" s="32">
        <f>transfer!C29</f>
        <v>0</v>
      </c>
      <c r="D31" s="14"/>
      <c r="E31" s="32">
        <f>transfer!D29</f>
        <v>0</v>
      </c>
      <c r="F31" s="62"/>
      <c r="G31" s="32">
        <f>transfer!E29</f>
        <v>0</v>
      </c>
      <c r="H31" s="14"/>
      <c r="I31" s="14"/>
    </row>
    <row r="32" spans="2:9" ht="16.5" thickBot="1">
      <c r="B32" s="83" t="s">
        <v>45</v>
      </c>
      <c r="C32" s="553">
        <f>C30-C31</f>
        <v>69094</v>
      </c>
      <c r="D32" s="14"/>
      <c r="E32" s="553">
        <f>E30-E31</f>
        <v>73283</v>
      </c>
      <c r="F32" s="14"/>
      <c r="G32" s="553">
        <f>G30-G31</f>
        <v>81493</v>
      </c>
      <c r="H32" s="14"/>
      <c r="I32" s="14"/>
    </row>
    <row r="33" spans="2:9" ht="16.5" thickTop="1">
      <c r="B33" s="83" t="s">
        <v>46</v>
      </c>
      <c r="C33" s="554">
        <f>inputPrYr!E52</f>
        <v>62169</v>
      </c>
      <c r="D33" s="62"/>
      <c r="E33" s="554">
        <f>inputPrYr!E25</f>
        <v>62964</v>
      </c>
      <c r="F33" s="14"/>
      <c r="G33" s="545" t="s">
        <v>301</v>
      </c>
      <c r="H33" s="14"/>
      <c r="I33" s="14"/>
    </row>
    <row r="34" spans="2:9" ht="15.75">
      <c r="B34" s="279" t="s">
        <v>47</v>
      </c>
      <c r="C34" s="55"/>
      <c r="D34" s="62"/>
      <c r="E34" s="55"/>
      <c r="F34" s="62"/>
      <c r="G34" s="14"/>
      <c r="H34" s="14"/>
      <c r="I34" s="14"/>
    </row>
    <row r="35" spans="2:9" ht="15.75">
      <c r="B35" s="563" t="s">
        <v>48</v>
      </c>
      <c r="C35" s="31">
        <f>inputPrYr!E53</f>
        <v>2261313</v>
      </c>
      <c r="D35" s="14"/>
      <c r="E35" s="32">
        <f>inputOth!E28</f>
        <v>2276369</v>
      </c>
      <c r="F35" s="14"/>
      <c r="G35" s="32">
        <f>inputOth!E7</f>
        <v>2386606</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HOOSIER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11190</v>
      </c>
      <c r="D6" s="142">
        <f aca="true" t="shared" si="0" ref="D6:D14">IF(C6&gt;0,C6/$D$20,"")</f>
        <v>4.688666667225339</v>
      </c>
      <c r="E6" s="143">
        <f aca="true" t="shared" si="1" ref="E6:E14">IF(C6&gt;0,ROUND(D6*$D$24,0),"")</f>
        <v>392</v>
      </c>
      <c r="F6" s="140"/>
    </row>
    <row r="7" spans="1:6" ht="15.75">
      <c r="A7" s="14"/>
      <c r="B7" s="83" t="str">
        <f>inputPrYr!B17</f>
        <v>Debt Service</v>
      </c>
      <c r="C7" s="141"/>
      <c r="D7" s="142">
        <f t="shared" si="0"/>
      </c>
      <c r="E7" s="143">
        <f t="shared" si="1"/>
      </c>
      <c r="F7" s="140"/>
    </row>
    <row r="8" spans="1:6" ht="15.75">
      <c r="A8" s="14"/>
      <c r="B8" s="83" t="str">
        <f>inputPrYr!B18</f>
        <v>Road</v>
      </c>
      <c r="C8" s="141">
        <v>59593</v>
      </c>
      <c r="D8" s="142">
        <f t="shared" si="0"/>
        <v>24.96976878462553</v>
      </c>
      <c r="E8" s="143">
        <f t="shared" si="1"/>
        <v>2089</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70783</v>
      </c>
      <c r="D15" s="146">
        <f>SUM(D6:D14)</f>
        <v>29.65843545185087</v>
      </c>
      <c r="E15" s="145">
        <f>SUM(E6:E14)</f>
        <v>2481</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2386606</v>
      </c>
      <c r="E18" s="14"/>
      <c r="F18" s="140"/>
    </row>
    <row r="19" spans="1:6" ht="15.75">
      <c r="A19" s="14"/>
      <c r="B19" s="14"/>
      <c r="C19" s="14"/>
      <c r="D19" s="14"/>
      <c r="E19" s="14"/>
      <c r="F19" s="140"/>
    </row>
    <row r="20" spans="1:6" ht="15.75">
      <c r="A20" s="14"/>
      <c r="B20" s="629" t="s">
        <v>378</v>
      </c>
      <c r="C20" s="629"/>
      <c r="D20" s="148">
        <f>IF(D18&gt;0,(D18*0.001),"")</f>
        <v>2386.606</v>
      </c>
      <c r="E20" s="14"/>
      <c r="F20" s="140"/>
    </row>
    <row r="21" spans="1:6" ht="15.75">
      <c r="A21" s="14"/>
      <c r="B21" s="48"/>
      <c r="C21" s="48"/>
      <c r="D21" s="149"/>
      <c r="E21" s="14"/>
      <c r="F21" s="140"/>
    </row>
    <row r="22" spans="1:6" ht="15.75">
      <c r="A22" s="627" t="s">
        <v>380</v>
      </c>
      <c r="B22" s="582"/>
      <c r="C22" s="582"/>
      <c r="D22" s="150">
        <f>inputOth!E13</f>
        <v>83661</v>
      </c>
      <c r="E22" s="151"/>
      <c r="F22" s="151"/>
    </row>
    <row r="23" spans="1:6" ht="15.75">
      <c r="A23" s="151"/>
      <c r="B23" s="151"/>
      <c r="C23" s="151"/>
      <c r="D23" s="152"/>
      <c r="E23" s="151"/>
      <c r="F23" s="151"/>
    </row>
    <row r="24" spans="1:6" ht="15.75">
      <c r="A24" s="151"/>
      <c r="B24" s="627" t="s">
        <v>381</v>
      </c>
      <c r="C24" s="628"/>
      <c r="D24" s="153">
        <f>IF(D22&gt;0,(D22*0.001),"")</f>
        <v>83.661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822</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HOOSIER TOWNSHIP </v>
      </c>
      <c r="I6">
        <f>CONCATENATE(I7)</f>
      </c>
    </row>
    <row r="7" spans="1:7" ht="15.75">
      <c r="A7" s="639" t="str">
        <f>CONCATENATE("   with respect to financing the ",inputPrYr!D5," annual budget for ",(inputPrYr!D2)," , ",(inputPrYr!D3)," , Kansas.")</f>
        <v>   with respect to financing the 2014 annual budget for HOOSIER TOWNSHIP , KINGMAN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HOOSIER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HOOSIER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HOOSIER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HOOSIER TOWNSHIP of KINGMAN COUNTY, Kansas that is our desire to notify the public of increased property taxes to finance the 2014 HOOSIER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___18______ day of ______July_____, ",inputPrYr!D5-1," by the ",(inputPrYr!D2)," Board, ",(inputPrYr!D3),", Kansas.")</f>
        <v>Adopted this ___18______ day of ______July_____, 2013 by the HOOSIER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HOOSIER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HOOSIER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2386606</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132051</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141532</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83661</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4.834</v>
      </c>
      <c r="E17" s="312"/>
    </row>
    <row r="18" spans="1:5" ht="15.75">
      <c r="A18" s="82" t="str">
        <f>inputPrYr!B17</f>
        <v>Debt Service</v>
      </c>
      <c r="B18" s="291"/>
      <c r="C18" s="19"/>
      <c r="D18" s="315"/>
      <c r="E18" s="312"/>
    </row>
    <row r="19" spans="1:5" ht="15.75">
      <c r="A19" s="82" t="str">
        <f>inputPrYr!B18</f>
        <v>Road</v>
      </c>
      <c r="B19" s="291"/>
      <c r="C19" s="19"/>
      <c r="D19" s="315">
        <v>22.825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27.659</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2276369</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6294</v>
      </c>
    </row>
    <row r="32" spans="1:5" ht="15.75">
      <c r="A32" s="322" t="s">
        <v>288</v>
      </c>
      <c r="B32" s="291"/>
      <c r="C32" s="291"/>
      <c r="D32" s="31"/>
      <c r="E32" s="34">
        <v>29</v>
      </c>
    </row>
    <row r="33" spans="1:5" ht="15.75">
      <c r="A33" s="322" t="s">
        <v>164</v>
      </c>
      <c r="B33" s="291"/>
      <c r="C33" s="291"/>
      <c r="D33" s="31"/>
      <c r="E33" s="34">
        <v>1941</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1690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14" sqref="F14"/>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819</v>
      </c>
      <c r="C5" s="387"/>
      <c r="D5" s="384" t="s">
        <v>796</v>
      </c>
      <c r="E5" s="383"/>
      <c r="F5" s="383"/>
    </row>
    <row r="6" spans="1:6" ht="15.75">
      <c r="A6" s="384"/>
      <c r="B6" s="388"/>
      <c r="C6" s="389"/>
      <c r="D6" s="384" t="s">
        <v>795</v>
      </c>
      <c r="E6" s="383"/>
      <c r="F6" s="383"/>
    </row>
    <row r="7" spans="1:6" ht="15.75">
      <c r="A7" s="384" t="s">
        <v>386</v>
      </c>
      <c r="B7" s="386" t="s">
        <v>820</v>
      </c>
      <c r="C7" s="390"/>
      <c r="D7" s="384"/>
      <c r="E7" s="383"/>
      <c r="F7" s="383"/>
    </row>
    <row r="8" spans="1:6" ht="15.75">
      <c r="A8" s="384"/>
      <c r="B8" s="384"/>
      <c r="C8" s="384"/>
      <c r="D8" s="384"/>
      <c r="E8" s="383"/>
      <c r="F8" s="383"/>
    </row>
    <row r="9" spans="1:6" ht="15.75">
      <c r="A9" s="384" t="s">
        <v>387</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821</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0">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HOOSIER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13194</v>
      </c>
      <c r="F20" s="172">
        <f>IF(gen!$E$57&lt;&gt;0,gen!$E$57,0)</f>
        <v>11190.439999999999</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68299</v>
      </c>
      <c r="F22" s="172">
        <f>IF(road!$E$50&lt;&gt;0,road!$E$50,"  ")</f>
        <v>59593.27</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81493</v>
      </c>
      <c r="F33" s="292">
        <f>SUM(F20:F28)</f>
        <v>70783.70999999999</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HOOSIER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62964</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62964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132051</v>
      </c>
      <c r="F14" s="270"/>
      <c r="G14" s="55"/>
      <c r="H14" s="55"/>
      <c r="I14" s="53"/>
      <c r="J14" s="55"/>
    </row>
    <row r="15" spans="1:10" ht="15.75">
      <c r="A15" s="269"/>
      <c r="B15" s="14" t="s">
        <v>91</v>
      </c>
      <c r="C15" s="14" t="str">
        <f>CONCATENATE("Personal Property ",J1-2,"")</f>
        <v>Personal Property 2012</v>
      </c>
      <c r="D15" s="269" t="s">
        <v>86</v>
      </c>
      <c r="E15" s="273">
        <f>inputOth!E11</f>
        <v>141532</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2386606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2386606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62964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62964</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HOOSIER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11005</v>
      </c>
      <c r="E11" s="253">
        <f>IF(inputOth!D17&gt;0,inputOth!D17,"  ")</f>
        <v>4.834</v>
      </c>
      <c r="F11" s="254"/>
      <c r="G11" s="96">
        <f>IF(inputPrYr!E16=0,0,G22-SUM(G12:G19))</f>
        <v>1100</v>
      </c>
      <c r="H11" s="255"/>
      <c r="I11" s="96">
        <f>IF(inputPrYr!E16=0,0,I24-SUM(I12:I19))</f>
        <v>5</v>
      </c>
      <c r="J11" s="96">
        <v>371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51959</v>
      </c>
      <c r="E13" s="253">
        <f>IF(inputOth!D19&gt;0,inputOth!D19,"  ")</f>
        <v>22.825</v>
      </c>
      <c r="F13" s="254"/>
      <c r="G13" s="96">
        <f>IF(inputPrYr!E18=0,0,ROUND(D13*$G$30,0))</f>
        <v>5194</v>
      </c>
      <c r="H13" s="255"/>
      <c r="I13" s="96">
        <f>IF(inputPrYr!$E$18=0,0,ROUND($D$13*$I$32,0))</f>
        <v>24</v>
      </c>
      <c r="J13" s="96">
        <v>1570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62964</v>
      </c>
      <c r="E20" s="259">
        <f>SUM(E11:E19)</f>
        <v>27.659</v>
      </c>
      <c r="F20" s="260"/>
      <c r="G20" s="258">
        <f>SUM(G11:G19)</f>
        <v>6294</v>
      </c>
      <c r="H20" s="258"/>
      <c r="I20" s="258">
        <f>SUM(I11:I19)</f>
        <v>29</v>
      </c>
      <c r="J20" s="258">
        <f>SUM(J11:J19)</f>
        <v>1941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6294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1941</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0.0999618829807509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0.00046058064925989453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0.030827139317705355</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HOOSIER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2013-07-18T13:43:59Z</cp:lastPrinted>
  <dcterms:created xsi:type="dcterms:W3CDTF">1998-08-26T16:30:41Z</dcterms:created>
  <dcterms:modified xsi:type="dcterms:W3CDTF">2013-07-18T13:51:47Z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