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<sst xmlns="http://schemas.openxmlformats.org/spreadsheetml/2006/main" count="1499" uniqueCount="826">
  <si>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</si>
  <si>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</si>
  <si>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</si>
  <si>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</si>
  <si>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</si>
  <si>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</si>
  <si>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</si>
  <si>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</si>
  <si>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</si>
  <si>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</si>
  <si>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</si>
  <si>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</si>
  <si>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</si>
  <si>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</si>
  <si>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</si>
  <si>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</si>
  <si>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</si>
  <si>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</si>
  <si>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</si>
  <si>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</si>
  <si>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</si>
  <si>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</si>
  <si>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</si>
  <si>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</si>
  <si>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</si>
  <si>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</si>
  <si>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</si>
  <si>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</si>
  <si>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</si>
  <si>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</si>
  <si>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</si>
  <si>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</si>
  <si>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</si>
  <si>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</si>
  <si>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</si>
  <si>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</si>
  <si>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</si>
  <si>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</si>
  <si>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</si>
  <si>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</si>
  <si>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</si>
  <si>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</si>
  <si>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</si>
  <si>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</si>
  <si>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</si>
  <si>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</si>
  <si>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</si>
  <si>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</si>
  <si>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</si>
  <si>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</si>
  <si>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</si>
  <si>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</si>
  <si>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</si>
  <si>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</si>
  <si>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</si>
  <si>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</si>
  <si>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</si>
  <si>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</si>
  <si>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</si>
  <si>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</si>
  <si>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</si>
  <si>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</si>
  <si>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</si>
  <si>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</si>
  <si>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</si>
  <si>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</si>
  <si>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</si>
  <si>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</si>
  <si>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</si>
  <si>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</si>
  <si>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</si>
  <si>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</si>
  <si>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</si>
  <si>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</si>
  <si>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</si>
  <si>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</si>
  <si>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</si>
  <si>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</si>
  <si>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</si>
  <si>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</si>
  <si>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</si>
  <si>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</si>
  <si>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</si>
  <si>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</si>
  <si>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</si>
  <si>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</si>
  <si>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</si>
  <si>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</si>
  <si>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</si>
  <si>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</si>
  <si>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</si>
  <si>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</si>
  <si>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</si>
  <si>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</si>
  <si>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</si>
  <si>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</si>
  <si>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</si>
  <si>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</si>
  <si>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</si>
  <si>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</si>
  <si>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</si>
  <si>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</si>
  <si>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</si>
  <si>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</si>
  <si>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</si>
  <si>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</si>
  <si>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</si>
  <si>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</si>
  <si>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</si>
  <si>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</si>
  <si>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</si>
  <si>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</si>
  <si>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</si>
  <si>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</si>
  <si>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</si>
  <si>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</si>
  <si>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</si>
  <si>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</si>
  <si>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</si>
  <si>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</si>
  <si>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</si>
  <si>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</si>
  <si>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</si>
  <si>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</si>
  <si>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</si>
  <si>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</si>
  <si>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</si>
  <si>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</si>
  <si>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</si>
  <si>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</si>
  <si>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</si>
  <si>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</si>
  <si>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</si>
  <si>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</si>
  <si>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</si>
  <si>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</si>
  <si>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</si>
  <si>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</si>
  <si>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</si>
  <si>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</si>
  <si>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</si>
  <si>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</si>
  <si>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</si>
  <si>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</si>
  <si>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</si>
  <si>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</si>
  <si>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</si>
  <si>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</si>
  <si>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</si>
  <si>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</si>
  <si>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</si>
  <si>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</si>
  <si>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</si>
  <si>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</si>
  <si>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</si>
  <si>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</si>
  <si>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</si>
  <si>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</si>
  <si>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</si>
  <si>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</si>
  <si>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</si>
  <si>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</si>
  <si>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</si>
  <si>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</si>
  <si>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</si>
  <si>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</si>
  <si>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</si>
  <si>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</si>
  <si>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</si>
  <si>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</si>
  <si>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</si>
  <si>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</si>
  <si>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</si>
  <si>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</si>
  <si>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</si>
  <si>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</si>
  <si>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</si>
  <si>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</si>
  <si>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</si>
  <si>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</si>
  <si>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</si>
  <si>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</si>
  <si>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</si>
  <si>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</si>
  <si>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</si>
  <si>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</si>
  <si>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</si>
  <si>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</si>
  <si>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</si>
  <si>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</si>
  <si>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</si>
  <si>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</si>
  <si>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</si>
  <si>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</si>
  <si>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</si>
  <si>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</si>
  <si>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</si>
  <si>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</si>
  <si>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</si>
  <si>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</si>
  <si>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</si>
  <si>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</si>
  <si>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</si>
  <si>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</si>
  <si>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</si>
  <si>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</si>
  <si>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</si>
  <si>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</si>
  <si>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</si>
  <si>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</si>
  <si>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</si>
  <si>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</si>
  <si>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</si>
  <si>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</si>
  <si>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</si>
  <si>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</si>
  <si>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</si>
  <si>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</si>
  <si>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</si>
  <si>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</si>
  <si>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</si>
  <si>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</si>
  <si>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</si>
  <si>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</si>
  <si>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</si>
  <si>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</si>
  <si>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</si>
  <si>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</si>
  <si>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</si>
  <si>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</si>
  <si>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</si>
  <si>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</si>
  <si>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</si>
  <si>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</si>
  <si>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</si>
  <si>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</si>
  <si>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</si>
  <si>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</si>
  <si>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</si>
  <si>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</si>
  <si>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</si>
  <si>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</si>
  <si>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</si>
  <si>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</si>
  <si>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</si>
  <si>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</si>
  <si>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</si>
  <si>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</si>
  <si>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</si>
  <si>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</si>
  <si>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</si>
  <si>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</si>
  <si>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</si>
  <si>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</si>
  <si>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</si>
  <si>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</si>
  <si>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</si>
  <si>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</si>
  <si>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</si>
  <si>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</si>
  <si>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</si>
  <si>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</si>
  <si>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</si>
  <si>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</si>
  <si>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</si>
  <si>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</si>
  <si>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</si>
  <si>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</si>
  <si>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</si>
  <si>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</si>
  <si>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</si>
  <si>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</si>
  <si>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</si>
  <si>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</si>
  <si>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</si>
  <si>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</si>
  <si>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</si>
  <si>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</si>
  <si>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</si>
  <si>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</si>
  <si>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</si>
  <si>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</si>
  <si>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</si>
  <si>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</si>
  <si>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</si>
  <si>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</si>
  <si>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</si>
  <si>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</si>
  <si>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</si>
  <si>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</si>
  <si>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</si>
  <si>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</si>
  <si>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</si>
  <si>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</si>
  <si>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</si>
  <si>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</si>
  <si>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</si>
  <si>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</si>
  <si>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</si>
  <si>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</si>
  <si>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</si>
  <si>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</si>
  <si>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</si>
  <si>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</si>
  <si>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</si>
  <si>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</si>
  <si>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</si>
  <si>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</si>
  <si>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</si>
  <si>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</si>
  <si>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</si>
  <si>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</si>
  <si>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</si>
  <si>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</si>
  <si>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</si>
  <si>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</si>
  <si>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</si>
  <si>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</si>
  <si>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</si>
  <si>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</si>
  <si>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</si>
  <si>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</si>
  <si>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</si>
  <si>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</si>
  <si>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</si>
  <si>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</si>
  <si>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</si>
  <si>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</si>
  <si>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</si>
  <si>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</si>
  <si>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</si>
  <si>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</si>
  <si>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</si>
  <si>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</si>
  <si>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</si>
  <si>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</si>
  <si>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</si>
  <si>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</si>
  <si>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</si>
  <si>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</si>
  <si>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</si>
  <si>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</si>
  <si>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</si>
  <si>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</si>
  <si>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</si>
  <si>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</si>
  <si>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</si>
  <si>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</si>
  <si>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</si>
  <si>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</si>
  <si>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</si>
  <si>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</si>
  <si>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</si>
  <si>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</si>
  <si>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</si>
  <si>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</si>
  <si>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</si>
  <si>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</si>
  <si>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</si>
  <si>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</si>
  <si>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</si>
  <si>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</si>
  <si>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</si>
  <si>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</si>
  <si>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</si>
  <si>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</si>
  <si>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</si>
  <si>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</si>
  <si>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</si>
  <si>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</si>
  <si>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</si>
  <si>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</si>
  <si>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</si>
  <si>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</si>
  <si>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</si>
  <si>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</si>
  <si>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</si>
  <si>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</si>
  <si>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</si>
  <si>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</si>
  <si>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</si>
  <si>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</si>
  <si>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</si>
  <si>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</si>
  <si>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</si>
  <si>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</si>
  <si>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</si>
  <si>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</si>
  <si>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</si>
  <si>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</si>
  <si>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</si>
  <si>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</si>
  <si>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</si>
  <si>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</si>
  <si>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</si>
  <si>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</si>
  <si>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</si>
  <si>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</si>
  <si>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</si>
  <si>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</si>
  <si>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</si>
  <si>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</si>
  <si>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</si>
  <si>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</si>
  <si>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</si>
  <si>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</si>
  <si>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</si>
  <si>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</si>
  <si>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</si>
  <si>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</si>
  <si>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</si>
  <si>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</si>
  <si>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</si>
  <si>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</si>
  <si>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</si>
  <si>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</si>
  <si>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</si>
  <si>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</si>
  <si>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</si>
  <si>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</si>
  <si>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</si>
  <si>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</si>
  <si>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</si>
  <si>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</si>
  <si>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</si>
  <si>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</si>
  <si>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</si>
  <si>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</si>
  <si>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</si>
  <si>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</si>
  <si>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</si>
  <si>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</si>
  <si>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</si>
  <si>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</si>
  <si>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</si>
  <si>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</si>
  <si>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</si>
  <si>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</si>
  <si>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</si>
  <si>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</si>
  <si>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</si>
  <si>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</si>
  <si>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</si>
  <si>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</si>
  <si>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</si>
  <si>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</si>
  <si>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</si>
  <si>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</si>
  <si>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</si>
  <si>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</si>
  <si>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</si>
  <si>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</si>
  <si>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</si>
  <si>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</si>
  <si>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</si>
  <si>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</si>
  <si>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</si>
  <si>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</si>
  <si>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</si>
  <si>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</si>
  <si>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</si>
  <si>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</si>
  <si>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</si>
  <si>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</si>
  <si>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</si>
  <si>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</si>
  <si>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</si>
  <si>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</si>
  <si>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</si>
  <si>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</si>
  <si>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</si>
  <si>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</si>
  <si>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</si>
  <si>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</si>
  <si>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</si>
  <si>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</si>
  <si>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</si>
  <si>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</si>
  <si>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</si>
  <si>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</si>
  <si>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</si>
  <si>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</si>
  <si>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</si>
  <si>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</si>
  <si>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</si>
  <si>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</si>
  <si>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</si>
  <si>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</si>
  <si>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</si>
  <si>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</si>
  <si>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</si>
  <si>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</si>
  <si>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</si>
  <si>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</si>
  <si>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</si>
  <si>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</si>
  <si>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</si>
  <si>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</si>
  <si>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</si>
  <si>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</si>
  <si>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</si>
  <si>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</si>
  <si>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</si>
  <si>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</si>
  <si>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</si>
  <si>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</si>
  <si>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</si>
  <si>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</si>
  <si>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</si>
  <si>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</si>
  <si>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</si>
  <si>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</si>
  <si>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</si>
  <si>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</si>
  <si>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</si>
  <si>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</si>
  <si>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</si>
  <si>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</si>
  <si>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</si>
  <si>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</si>
  <si>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</si>
  <si>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</si>
  <si>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</si>
  <si>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</si>
  <si>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</si>
  <si>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</si>
  <si>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</si>
  <si>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</si>
  <si>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</si>
  <si>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</si>
  <si>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</si>
  <si>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</si>
  <si>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</si>
  <si>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</si>
  <si>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</si>
  <si>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</si>
  <si>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</si>
  <si>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</si>
  <si>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</si>
  <si>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</si>
  <si>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</si>
  <si>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</si>
  <si>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</si>
  <si>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</si>
  <si>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</si>
  <si>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</si>
  <si>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</si>
  <si>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</si>
  <si>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</si>
  <si>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</si>
  <si>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</si>
  <si>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</si>
  <si>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</si>
  <si>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</si>
  <si>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</si>
  <si>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</si>
  <si>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</si>
  <si>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</si>
  <si>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</si>
  <si>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</si>
  <si>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</si>
  <si>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</si>
  <si>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</si>
  <si>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</si>
  <si>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</si>
  <si>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</si>
  <si>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</si>
  <si>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</si>
  <si>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</si>
  <si>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</si>
  <si>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</si>
  <si>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</si>
  <si>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</si>
  <si>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</si>
  <si>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</si>
  <si>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</si>
  <si>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</si>
  <si>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</si>
  <si>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</si>
  <si>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</si>
  <si>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</si>
  <si>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</si>
  <si>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</si>
  <si>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</si>
  <si>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</si>
  <si>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</si>
  <si>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</si>
  <si>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</si>
  <si>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</si>
  <si>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</si>
  <si>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</si>
  <si>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</si>
  <si>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</si>
  <si>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</si>
  <si>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</si>
  <si>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</si>
  <si>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</si>
  <si>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</si>
  <si>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</si>
  <si>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</si>
  <si>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</si>
  <si>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</si>
  <si>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</si>
  <si>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</si>
  <si>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</si>
  <si>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</si>
  <si>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</si>
  <si>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</si>
  <si>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</si>
  <si>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</si>
  <si>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</si>
  <si>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</si>
  <si>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</si>
  <si>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</si>
  <si>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</si>
  <si>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</si>
  <si>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</si>
  <si>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</si>
  <si>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</si>
  <si>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</si>
  <si>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</si>
  <si>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</si>
  <si>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</si>
  <si>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</si>
  <si>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</si>
  <si>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</si>
  <si>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</si>
  <si>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</si>
  <si>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</si>
  <si>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</si>
  <si>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</si>
  <si>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</si>
  <si>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</si>
  <si>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</si>
  <si>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</si>
  <si>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</si>
  <si>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</si>
  <si>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</si>
  <si>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</si>
  <si>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</si>
  <si>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</si>
  <si>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</si>
  <si>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</si>
  <si>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</si>
  <si>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</si>
  <si>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</si>
  <si>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</si>
  <si>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</si>
  <si>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</si>
  <si>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</si>
  <si>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</si>
  <si>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</si>
  <si>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</si>
  <si>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</si>
  <si>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</si>
  <si>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</si>
  <si>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</si>
  <si>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</si>
  <si>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</si>
  <si>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</si>
  <si>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</si>
  <si>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</si>
  <si>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</si>
  <si>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</si>
  <si>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</si>
  <si>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</si>
  <si>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</si>
  <si>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</si>
  <si>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</si>
  <si>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</si>
  <si>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</si>
  <si>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</si>
  <si>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</si>
  <si>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</si>
  <si>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</si>
  <si>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</si>
  <si>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</si>
  <si>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</si>
  <si>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</si>
  <si>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</si>
  <si>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</si>
  <si>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</si>
  <si>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</si>
  <si>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</si>
  <si>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</si>
  <si>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</si>
  <si>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</si>
  <si>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</si>
  <si>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</si>
  <si>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</si>
  <si>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</si>
  <si>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</si>
  <si>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</si>
  <si>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</si>
  <si>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</si>
  <si>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</si>
  <si>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</si>
  <si>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</si>
  <si>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</si>
  <si>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</si>
  <si>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</si>
  <si>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</si>
  <si>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</si>
  <si>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</si>
  <si>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</si>
  <si>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</si>
  <si>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</si>
  <si>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</si>
  <si>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</si>
  <si>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</si>
  <si>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</si>
  <si>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</si>
  <si>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</si>
  <si>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</si>
  <si>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</si>
  <si>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</si>
  <si>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</si>
  <si>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</si>
  <si>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</si>
  <si>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</si>
  <si>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</si>
  <si>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</si>
  <si>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</si>
  <si>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</si>
  <si>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</si>
  <si>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</si>
  <si>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</si>
  <si>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</si>
  <si>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</si>
  <si>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</si>
  <si>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</si>
  <si>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</si>
  <si>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</si>
  <si>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</si>
  <si>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</si>
  <si>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</si>
  <si>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</si>
  <si>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</si>
  <si>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</si>
  <si>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</si>
  <si>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</si>
  <si>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</si>
  <si>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</si>
  <si>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</si>
  <si>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</si>
  <si>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</si>
  <si>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</si>
  <si>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</si>
  <si>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</si>
  <si>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</si>
  <si>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</si>
  <si>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</si>
  <si>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</si>
  <si>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</si>
  <si>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</si>
  <si>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</si>
  <si>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</si>
  <si>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</si>
  <si>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</si>
  <si>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</si>
  <si>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</si>
  <si>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</si>
  <si>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</si>
  <si>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</si>
  <si>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</si>
  <si>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</si>
  <si>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</si>
  <si>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</si>
  <si>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</si>
  <si>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</si>
  <si>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</si>
  <si>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</si>
  <si>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</si>
  <si>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</si>
  <si>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</si>
  <si>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</si>
  <si>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</si>
  <si>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</si>
  <si>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</si>
  <si>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</si>
  <si>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</si>
  <si>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</si>
  <si>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</si>
  <si>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</si>
  <si>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</si>
  <si>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</si>
  <si>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</si>
  <si>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</si>
  <si>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</si>
  <si>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</si>
  <si>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</si>
  <si>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</si>
  <si>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</si>
  <si>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</si>
  <si>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</si>
  <si>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</si>
  <si>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</si>
  <si>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</si>
  <si>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</si>
  <si>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</si>
  <si>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</si>
  <si>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</si>
  <si>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</si>
  <si>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</si>
  <si>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</si>
  <si>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</si>
  <si>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</si>
  <si>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</si>
  <si>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</si>
  <si>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</si>
  <si>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</si>
  <si>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</si>
  <si>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</si>
  <si>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</si>
  <si>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</si>
  <si>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</si>
  <si>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</si>
  <si>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</si>
  <si>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CHIKASKIA TOWNSHIP</t>
  </si>
  <si>
    <t>SPIVEY CITY</t>
  </si>
  <si>
    <t>Noxious Weeds</t>
  </si>
  <si>
    <t>Fuel</t>
  </si>
  <si>
    <t>August 19, 2013</t>
  </si>
  <si>
    <t>6:30 P.M.</t>
  </si>
  <si>
    <t>Chikaskia Township Bldg.</t>
  </si>
  <si>
    <t>RESOLUTION NO._______1___________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</si>
</sst>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1" fillId="42" borderId="0" xfId="0" applyFont="1" applyFill="1" applyAlignment="1">
      <alignment horizontal="center" wrapText="1"/>
    </xf>
    <xf numFmtId="0" fontId="37" fillId="0" borderId="0" xfId="0" applyFont="1" applyAlignment="1">
      <alignment horizontal="center" wrapText="1"/>
    </xf>
    <xf numFmtId="0" fontId="81" fillId="42" borderId="0" xfId="0" applyFont="1" applyFill="1" applyAlignment="1">
      <alignment horizontal="center" vertical="center"/>
    </xf>
    <xf numFmtId="0" fontId="81" fillId="0" borderId="0" xfId="0" applyFont="1" applyAlignment="1">
      <alignment horizontal="center" vertical="center"/>
    </xf>
    <xf numFmtId="0" fontId="81"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1"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81"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780</v>
      </c>
    </row>
    <row r="42" ht="52.5" customHeight="1">
      <c r="A42" s="228" t="s">
        <v>140</v>
      </c>
    </row>
    <row r="43" ht="33" customHeight="1">
      <c r="A43" s="221" t="s">
        <v>170</v>
      </c>
    </row>
    <row r="44" ht="10.5" customHeight="1">
      <c r="A44" s="221"/>
    </row>
    <row r="45" ht="108" customHeight="1">
      <c r="A45" s="221" t="s">
        <v>781</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56" t="s">
        <v>782</v>
      </c>
    </row>
    <row r="74" ht="78.75" customHeight="1">
      <c r="A74" s="556" t="s">
        <v>783</v>
      </c>
    </row>
    <row r="75" ht="73.5" customHeight="1">
      <c r="A75" s="221" t="s">
        <v>784</v>
      </c>
    </row>
    <row r="76" ht="120.75" customHeight="1">
      <c r="A76" s="221" t="s">
        <v>785</v>
      </c>
    </row>
    <row r="77" ht="72.75" customHeight="1">
      <c r="A77" s="221" t="s">
        <v>786</v>
      </c>
    </row>
    <row r="78" ht="72.75" customHeight="1">
      <c r="A78" s="556" t="s">
        <v>787</v>
      </c>
    </row>
    <row r="79" ht="100.5" customHeight="1">
      <c r="A79" s="221" t="s">
        <v>788</v>
      </c>
    </row>
    <row r="80" ht="110.25" customHeight="1">
      <c r="A80" s="221" t="s">
        <v>789</v>
      </c>
    </row>
    <row r="81" ht="100.5" customHeight="1">
      <c r="A81" s="229" t="s">
        <v>790</v>
      </c>
    </row>
    <row r="82" ht="61.5" customHeight="1">
      <c r="A82" s="383" t="s">
        <v>791</v>
      </c>
    </row>
    <row r="83" ht="118.5" customHeight="1">
      <c r="A83" s="221" t="s">
        <v>792</v>
      </c>
    </row>
    <row r="84" ht="86.25" customHeight="1">
      <c r="A84" s="229" t="s">
        <v>793</v>
      </c>
    </row>
    <row r="85" ht="101.25" customHeight="1">
      <c r="A85" s="229" t="s">
        <v>794</v>
      </c>
    </row>
    <row r="86" ht="133.5" customHeight="1">
      <c r="A86" s="221" t="s">
        <v>795</v>
      </c>
    </row>
    <row r="87" ht="137.25" customHeight="1">
      <c r="A87" s="221" t="s">
        <v>796</v>
      </c>
    </row>
    <row r="88" ht="101.25" customHeight="1">
      <c r="A88" s="221" t="s">
        <v>797</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56" t="s">
        <v>804</v>
      </c>
    </row>
    <row r="98" ht="116.25" customHeight="1">
      <c r="A98" s="556" t="s">
        <v>805</v>
      </c>
    </row>
    <row r="99" ht="90" customHeight="1">
      <c r="A99" s="221" t="s">
        <v>798</v>
      </c>
    </row>
    <row r="100" ht="48.75" customHeight="1">
      <c r="A100" s="221" t="s">
        <v>799</v>
      </c>
    </row>
    <row r="101" ht="61.5" customHeight="1">
      <c r="A101" s="221" t="s">
        <v>800</v>
      </c>
    </row>
    <row r="102" ht="9" customHeight="1"/>
    <row r="103" ht="78.75" customHeight="1">
      <c r="A103" s="221" t="s">
        <v>424</v>
      </c>
    </row>
    <row r="105" ht="73.5" customHeight="1">
      <c r="A105" s="556" t="s">
        <v>801</v>
      </c>
    </row>
    <row r="106" ht="108" customHeight="1">
      <c r="A106" s="556" t="s">
        <v>802</v>
      </c>
    </row>
    <row r="107" ht="96" customHeight="1">
      <c r="A107" s="556" t="s">
        <v>803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CHIKASKIA TOWNSHIP</v>
      </c>
      <c r="B1" s="281"/>
      <c r="C1" s="281"/>
      <c r="D1" s="281"/>
      <c r="E1" s="281"/>
      <c r="F1" s="281"/>
      <c r="G1" s="281"/>
      <c r="H1" s="281"/>
      <c r="I1" s="66"/>
      <c r="J1" s="66"/>
      <c r="K1" s="231">
        <f>inputPrYr!D9</f>
        <v>2014</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2013</v>
      </c>
      <c r="I6" s="289"/>
      <c r="J6" s="288">
        <f>K1</f>
        <v>2014</v>
      </c>
      <c r="K6" s="289"/>
    </row>
    <row r="7" spans="1:11" ht="15.75">
      <c r="A7" s="290" t="s">
        <v>11</v>
      </c>
      <c r="B7" s="237" t="s">
        <v>12</v>
      </c>
      <c r="C7" s="237" t="s">
        <v>301</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85" zoomScaleNormal="85" zoomScalePageLayoutView="0" workbookViewId="0" topLeftCell="A20">
      <selection activeCell="J9" sqref="J9"/>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CHIKASKIA TOWNSHIP</v>
      </c>
      <c r="C1" s="66"/>
      <c r="D1" s="66"/>
      <c r="E1" s="231">
        <f>inputPrYr!D9</f>
        <v>2014</v>
      </c>
    </row>
    <row r="2" spans="2:5" ht="15.75">
      <c r="B2" s="558" t="s">
        <v>779</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6025</v>
      </c>
      <c r="D6" s="418">
        <f>C47</f>
        <v>1235.5200000000004</v>
      </c>
      <c r="E6" s="267">
        <f>D47</f>
        <v>0.5200000000004366</v>
      </c>
    </row>
    <row r="7" spans="2:5" ht="15.75">
      <c r="B7" s="82" t="s">
        <v>75</v>
      </c>
      <c r="C7" s="418"/>
      <c r="D7" s="418"/>
      <c r="E7" s="328"/>
    </row>
    <row r="8" spans="2:5" ht="15.75">
      <c r="B8" s="82" t="s">
        <v>288</v>
      </c>
      <c r="C8" s="326">
        <f>6833.88-73</f>
        <v>6760.88</v>
      </c>
      <c r="D8" s="418">
        <f>inputPrYr!E20</f>
        <v>8605</v>
      </c>
      <c r="E8" s="328" t="s">
        <v>267</v>
      </c>
    </row>
    <row r="9" spans="2:5" ht="15.75">
      <c r="B9" s="82" t="s">
        <v>289</v>
      </c>
      <c r="C9" s="326">
        <f>48.7+33.35</f>
        <v>82.05000000000001</v>
      </c>
      <c r="D9" s="326"/>
      <c r="E9" s="175"/>
    </row>
    <row r="10" spans="2:5" ht="15.75">
      <c r="B10" s="82" t="s">
        <v>290</v>
      </c>
      <c r="C10" s="326">
        <f>462.82-9</f>
        <v>453.82</v>
      </c>
      <c r="D10" s="326">
        <v>216</v>
      </c>
      <c r="E10" s="267">
        <f>mvalloc!G12</f>
        <v>315.14</v>
      </c>
    </row>
    <row r="11" spans="2:5" ht="15.75">
      <c r="B11" s="82" t="s">
        <v>291</v>
      </c>
      <c r="C11" s="326">
        <f>0.71+1.56+5.15+0.06+1.21</f>
        <v>8.69</v>
      </c>
      <c r="D11" s="326">
        <v>6</v>
      </c>
      <c r="E11" s="267">
        <f>mvalloc!I12</f>
        <v>4.859999999999999</v>
      </c>
    </row>
    <row r="12" spans="2:5" ht="15.75">
      <c r="B12" s="329" t="s">
        <v>24</v>
      </c>
      <c r="C12" s="326">
        <f>20.93+45.98+6.17</f>
        <v>73.08</v>
      </c>
      <c r="D12" s="326">
        <v>23</v>
      </c>
      <c r="E12" s="267">
        <f>mvalloc!J12</f>
        <v>105.77</v>
      </c>
    </row>
    <row r="13" spans="2:5" ht="15.75">
      <c r="B13" s="329" t="s">
        <v>116</v>
      </c>
      <c r="C13" s="326"/>
      <c r="D13" s="326"/>
      <c r="E13" s="267">
        <f>inputOth!E70</f>
        <v>0</v>
      </c>
    </row>
    <row r="14" spans="2:5" ht="15.75">
      <c r="B14" s="329" t="s">
        <v>117</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v>1315</v>
      </c>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7378.5199999999995</v>
      </c>
      <c r="D25" s="421">
        <f>SUM(D8:D23)</f>
        <v>10165</v>
      </c>
      <c r="E25" s="335">
        <f>SUM(E8:E23)</f>
        <v>425.77</v>
      </c>
    </row>
    <row r="26" spans="2:5" ht="15.75">
      <c r="B26" s="100" t="s">
        <v>296</v>
      </c>
      <c r="C26" s="421">
        <f>C25+C6</f>
        <v>13403.52</v>
      </c>
      <c r="D26" s="421">
        <f>D25+D6</f>
        <v>11400.52</v>
      </c>
      <c r="E26" s="335">
        <f>E25+E6</f>
        <v>426.2900000000004</v>
      </c>
    </row>
    <row r="27" spans="2:5" ht="15.75">
      <c r="B27" s="82" t="s">
        <v>297</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v>350</v>
      </c>
      <c r="D30" s="326">
        <v>1000</v>
      </c>
      <c r="E30" s="175">
        <v>1000</v>
      </c>
    </row>
    <row r="31" spans="2:5" ht="15.75">
      <c r="B31" s="331" t="s">
        <v>57</v>
      </c>
      <c r="C31" s="326"/>
      <c r="D31" s="326"/>
      <c r="E31" s="175"/>
    </row>
    <row r="32" spans="2:5" ht="15.75">
      <c r="B32" s="331" t="s">
        <v>308</v>
      </c>
      <c r="C32" s="326">
        <v>125</v>
      </c>
      <c r="D32" s="326">
        <v>1689</v>
      </c>
      <c r="E32" s="175">
        <v>1689</v>
      </c>
    </row>
    <row r="33" spans="2:5" ht="15.75">
      <c r="B33" s="330" t="s">
        <v>58</v>
      </c>
      <c r="C33" s="326"/>
      <c r="D33" s="326">
        <v>2150</v>
      </c>
      <c r="E33" s="175">
        <v>2150</v>
      </c>
    </row>
    <row r="34" spans="2:5" ht="15.75">
      <c r="B34" s="330" t="s">
        <v>81</v>
      </c>
      <c r="C34" s="326">
        <v>1175</v>
      </c>
      <c r="D34" s="326">
        <v>1200</v>
      </c>
      <c r="E34" s="175">
        <v>1200</v>
      </c>
    </row>
    <row r="35" spans="2:5" ht="15.75">
      <c r="B35" s="331" t="s">
        <v>83</v>
      </c>
      <c r="C35" s="326">
        <v>8711</v>
      </c>
      <c r="D35" s="326">
        <v>3400</v>
      </c>
      <c r="E35" s="175">
        <v>3400</v>
      </c>
    </row>
    <row r="36" spans="2:5" ht="15.75">
      <c r="B36" s="331" t="s">
        <v>816</v>
      </c>
      <c r="C36" s="326">
        <v>94</v>
      </c>
      <c r="D36" s="326"/>
      <c r="E36" s="175"/>
    </row>
    <row r="37" spans="2:5" ht="15.75">
      <c r="B37" s="330" t="s">
        <v>820</v>
      </c>
      <c r="C37" s="326">
        <v>1113</v>
      </c>
      <c r="D37" s="326">
        <v>1281</v>
      </c>
      <c r="E37" s="175">
        <v>1250</v>
      </c>
    </row>
    <row r="38" spans="2:5" ht="15.75">
      <c r="B38" s="331"/>
      <c r="C38" s="326"/>
      <c r="D38" s="326"/>
      <c r="E38" s="175" t="s">
        <v>255</v>
      </c>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811</v>
      </c>
      <c r="C42" s="420">
        <f>IF(C26*0.25&lt;C41,"Exceeds 25%","")</f>
      </c>
      <c r="D42" s="420">
        <f>IF(D26*0.25&lt;D41,"Exceeds 25%","")</f>
      </c>
      <c r="E42" s="336">
        <f>IF(E26*0.25+E53&lt;E41,"Exceeds 25%","")</f>
      </c>
    </row>
    <row r="43" spans="2:5" ht="15.75">
      <c r="B43" s="329" t="s">
        <v>242</v>
      </c>
      <c r="C43" s="326"/>
      <c r="D43" s="326">
        <v>80</v>
      </c>
      <c r="E43" s="186">
        <f>nhood!E6</f>
        <v>111</v>
      </c>
    </row>
    <row r="44" spans="2:5" ht="15.75">
      <c r="B44" s="329" t="s">
        <v>240</v>
      </c>
      <c r="C44" s="326"/>
      <c r="D44" s="326"/>
      <c r="E44" s="175"/>
    </row>
    <row r="45" spans="2:5" ht="15.75">
      <c r="B45" s="329" t="s">
        <v>752</v>
      </c>
      <c r="C45" s="420">
        <f>IF(C46*0.1&lt;C44,"Exceed 10% Rule","")</f>
      </c>
      <c r="D45" s="420">
        <f>IF(D46*0.1&lt;D44,"Exceed 10% Rule","")</f>
      </c>
      <c r="E45" s="336">
        <f>IF(E46*0.1&lt;E44,"Exceed 10% Rule","")</f>
      </c>
    </row>
    <row r="46" spans="2:5" ht="15.75">
      <c r="B46" s="100" t="s">
        <v>298</v>
      </c>
      <c r="C46" s="421">
        <f>SUM(C28:C39,C41,C43:C44)</f>
        <v>12168</v>
      </c>
      <c r="D46" s="421">
        <f>SUM(D28:D39,D41,D43:D44)</f>
        <v>11400</v>
      </c>
      <c r="E46" s="335">
        <f>SUM(E28:E39,E43:E44,E41)</f>
        <v>11400</v>
      </c>
    </row>
    <row r="47" spans="2:5" ht="15.75">
      <c r="B47" s="82" t="s">
        <v>74</v>
      </c>
      <c r="C47" s="422">
        <f>C26-C46</f>
        <v>1235.5200000000004</v>
      </c>
      <c r="D47" s="422">
        <f>D26-D46</f>
        <v>0.5200000000004366</v>
      </c>
      <c r="E47" s="328" t="s">
        <v>267</v>
      </c>
    </row>
    <row r="48" spans="2:6" ht="15.75">
      <c r="B48" s="121" t="str">
        <f>CONCATENATE("",E1-2,"/",E1-1," Budget Authority Amount:")</f>
        <v>2012/2013 Budget Authority Amount:</v>
      </c>
      <c r="C48" s="362">
        <v>12169</v>
      </c>
      <c r="D48" s="69">
        <f>inputPrYr!D20</f>
        <v>11400</v>
      </c>
      <c r="E48" s="328" t="s">
        <v>267</v>
      </c>
      <c r="F48" s="337"/>
    </row>
    <row r="49" spans="2:6" ht="15.75">
      <c r="B49" s="121"/>
      <c r="C49" s="615" t="s">
        <v>749</v>
      </c>
      <c r="D49" s="616"/>
      <c r="E49" s="175"/>
      <c r="F49" s="337">
        <f>IF(E46/0.95-E46&lt;E49,"Exceeds 5%","")</f>
      </c>
    </row>
    <row r="50" spans="2:5" ht="15.75">
      <c r="B50" s="532" t="str">
        <f>CONCATENATE(C70,"      ",D70)</f>
        <v>      </v>
      </c>
      <c r="C50" s="617" t="s">
        <v>750</v>
      </c>
      <c r="D50" s="618"/>
      <c r="E50" s="267">
        <f>E46+E49</f>
        <v>11400</v>
      </c>
    </row>
    <row r="51" spans="2:5" ht="15.75">
      <c r="B51" s="532" t="str">
        <f>CONCATENATE(C71,"       ",D71)</f>
        <v>       </v>
      </c>
      <c r="C51" s="535"/>
      <c r="D51" s="534" t="s">
        <v>300</v>
      </c>
      <c r="E51" s="186">
        <f>IF(E50-E26&gt;0,E50-E26,0)</f>
        <v>10973.71</v>
      </c>
    </row>
    <row r="52" spans="2:5" ht="15.75">
      <c r="B52" s="216"/>
      <c r="C52" s="533" t="s">
        <v>751</v>
      </c>
      <c r="D52" s="537">
        <f>inputOth!$E$77</f>
        <v>0</v>
      </c>
      <c r="E52" s="267">
        <f>ROUND(IF(D52&gt;0,(E51*D52),0),0)</f>
        <v>0</v>
      </c>
    </row>
    <row r="53" spans="2:5" ht="15.75">
      <c r="B53" s="66"/>
      <c r="C53" s="619" t="str">
        <f>CONCATENATE("Amount of  ",$E$1-1," Ad Valorem Tax")</f>
        <v>Amount of  2013 Ad Valorem Tax</v>
      </c>
      <c r="D53" s="620"/>
      <c r="E53" s="186">
        <f>E51+E52</f>
        <v>10973.71</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CHIKASKIA TOWNSHIP</v>
      </c>
      <c r="C1" s="66"/>
      <c r="D1" s="66"/>
      <c r="E1" s="342">
        <f>inputPrYr!$D$9</f>
        <v>2014</v>
      </c>
    </row>
    <row r="2" spans="2:5" ht="15.75">
      <c r="B2" s="66"/>
      <c r="C2" s="66"/>
      <c r="D2" s="66"/>
      <c r="E2" s="216"/>
    </row>
    <row r="3" spans="2:5" ht="15.75">
      <c r="B3" s="558" t="s">
        <v>779</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2012</v>
      </c>
      <c r="D6" s="417" t="str">
        <f>CONCATENATE("Estimate ",$E$1-1,"")</f>
        <v>Estimate 2013</v>
      </c>
      <c r="E6" s="81" t="str">
        <f>CONCATENATE("Year ",$E$1,"")</f>
        <v>Year 2014</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21" t="str">
        <f>CONCATENATE("Projected Carryover Into ",E1+1,"")</f>
        <v>Projected Carryover Into 2015</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267</v>
      </c>
      <c r="F53" s="337"/>
      <c r="G53" s="544">
        <f>E29</f>
        <v>0</v>
      </c>
      <c r="H53" s="546" t="str">
        <f>CONCATENATE("",E1," Non-AV Receipts (est.)")</f>
        <v>2014 Non-AV Receipts (est.)</v>
      </c>
      <c r="I53" s="542"/>
    </row>
    <row r="54" spans="2:9" ht="15.75">
      <c r="B54" s="121"/>
      <c r="C54" s="615" t="s">
        <v>749</v>
      </c>
      <c r="D54" s="616"/>
      <c r="E54" s="175"/>
      <c r="F54" s="337">
        <f>IF(E51/0.95-E51&lt;E54,"Exceeds 5%","")</f>
      </c>
      <c r="G54" s="547">
        <f>E58</f>
        <v>0</v>
      </c>
      <c r="H54" s="546" t="str">
        <f>CONCATENATE("",E1," Ad Valorem Tax (est.)")</f>
        <v>2014 Ad Valorem Tax (est.)</v>
      </c>
      <c r="I54" s="542"/>
    </row>
    <row r="55" spans="2:9" ht="15.75">
      <c r="B55" s="532" t="str">
        <f>CONCATENATE(C68,"     ",D68)</f>
        <v>     </v>
      </c>
      <c r="C55" s="617" t="s">
        <v>750</v>
      </c>
      <c r="D55" s="618"/>
      <c r="E55" s="267">
        <f>E51+E54</f>
        <v>0</v>
      </c>
      <c r="G55" s="544">
        <f>SUM(G52:G54)</f>
        <v>0</v>
      </c>
      <c r="H55" s="546" t="str">
        <f>CONCATENATE("Total ",E1," Resources Available")</f>
        <v>Total 2014 Resources Available</v>
      </c>
      <c r="I55" s="542"/>
    </row>
    <row r="56" spans="2:9" ht="15.75">
      <c r="B56" s="532" t="str">
        <f>CONCATENATE(C69,"     ",D69)</f>
        <v>     </v>
      </c>
      <c r="C56" s="535"/>
      <c r="D56" s="534" t="s">
        <v>300</v>
      </c>
      <c r="E56" s="186">
        <f>IF(E55-E30&gt;0,E55-E30,0)</f>
        <v>0</v>
      </c>
      <c r="G56" s="548"/>
      <c r="H56" s="546"/>
      <c r="I56" s="542"/>
    </row>
    <row r="57" spans="2:9" ht="15.75">
      <c r="B57" s="216"/>
      <c r="C57" s="533" t="s">
        <v>751</v>
      </c>
      <c r="D57" s="537">
        <f>inputOth!$E77</f>
        <v>0</v>
      </c>
      <c r="E57" s="267">
        <f>ROUND(IF(D57&gt;0,(E56*D57),0),0)</f>
        <v>0</v>
      </c>
      <c r="G57" s="547">
        <f>C51</f>
        <v>0</v>
      </c>
      <c r="H57" s="546" t="str">
        <f>CONCATENATE("Less ",E1-2," Expenditures")</f>
        <v>Less 2012 Expenditures</v>
      </c>
      <c r="I57" s="542"/>
    </row>
    <row r="58" spans="2:9" ht="15.75">
      <c r="B58" s="66"/>
      <c r="C58" s="619" t="str">
        <f>CONCATENATE("Amount of  ",$E$1-1," Ad Valorem Tax")</f>
        <v>Amount of  2013 Ad Valorem Tax</v>
      </c>
      <c r="D58" s="620"/>
      <c r="E58" s="186">
        <f>E56+E57</f>
        <v>0</v>
      </c>
      <c r="G58" s="549">
        <f>G55-G57</f>
        <v>0</v>
      </c>
      <c r="H58" s="550" t="str">
        <f>CONCATENATE("Projected ",E1+1," carryover (est.)")</f>
        <v>Projected 2015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 operator="greaterThan" stopIfTrue="1">
      <formula>$C$53</formula>
    </cfRule>
  </conditionalFormatting>
  <conditionalFormatting sqref="D51">
    <cfRule type="cellIs" priority="8" dxfId="1"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85" zoomScaleNormal="85" zoomScalePageLayoutView="0" workbookViewId="0" topLeftCell="A20">
      <selection activeCell="J9" sqref="J9"/>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CHIKASKIA TOWNSHIP</v>
      </c>
      <c r="C1" s="66"/>
      <c r="D1" s="66"/>
      <c r="E1" s="231">
        <f>inputPrYr!D9</f>
        <v>2014</v>
      </c>
    </row>
    <row r="2" spans="2:5" ht="15.75">
      <c r="B2" s="558" t="s">
        <v>779</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2012</v>
      </c>
      <c r="D5" s="417" t="str">
        <f>gen!D5</f>
        <v>Estimate 2013</v>
      </c>
      <c r="E5" s="81" t="str">
        <f>gen!E5</f>
        <v>Year 2014</v>
      </c>
    </row>
    <row r="6" spans="2:5" ht="15.75">
      <c r="B6" s="82" t="s">
        <v>73</v>
      </c>
      <c r="C6" s="326">
        <v>106697</v>
      </c>
      <c r="D6" s="418">
        <f>C42</f>
        <v>87821.88</v>
      </c>
      <c r="E6" s="267">
        <f>D42</f>
        <v>38557.880000000005</v>
      </c>
    </row>
    <row r="7" spans="2:5" ht="15.75">
      <c r="B7" s="82" t="s">
        <v>75</v>
      </c>
      <c r="C7" s="418"/>
      <c r="D7" s="418"/>
      <c r="E7" s="328"/>
    </row>
    <row r="8" spans="2:5" ht="15.75">
      <c r="B8" s="82" t="s">
        <v>288</v>
      </c>
      <c r="C8" s="326">
        <f>76564.81-460</f>
        <v>76104.81</v>
      </c>
      <c r="D8" s="418">
        <f>inputPrYr!E22</f>
        <v>73030</v>
      </c>
      <c r="E8" s="328" t="s">
        <v>267</v>
      </c>
    </row>
    <row r="9" spans="2:5" ht="15.75">
      <c r="B9" s="82" t="s">
        <v>289</v>
      </c>
      <c r="C9" s="326">
        <f>551.46+83.26</f>
        <v>634.72</v>
      </c>
      <c r="D9" s="326"/>
      <c r="E9" s="175"/>
    </row>
    <row r="10" spans="2:5" ht="15.75">
      <c r="B10" s="82" t="s">
        <v>290</v>
      </c>
      <c r="C10" s="326">
        <f>2292.58-64</f>
        <v>2228.58</v>
      </c>
      <c r="D10" s="326">
        <v>1504</v>
      </c>
      <c r="E10" s="267">
        <f>mvalloc!G14</f>
        <v>1553</v>
      </c>
    </row>
    <row r="11" spans="2:5" ht="15.75">
      <c r="B11" s="82" t="s">
        <v>291</v>
      </c>
      <c r="C11" s="326">
        <f>13.17+39.73+0.51+10.22</f>
        <v>63.629999999999995</v>
      </c>
      <c r="D11" s="326">
        <v>51</v>
      </c>
      <c r="E11" s="267">
        <f>mvalloc!I14</f>
        <v>44</v>
      </c>
    </row>
    <row r="12" spans="2:5" ht="15.75">
      <c r="B12" s="82" t="s">
        <v>54</v>
      </c>
      <c r="C12" s="326">
        <f>355.38+104.75</f>
        <v>460.13</v>
      </c>
      <c r="D12" s="326">
        <v>71</v>
      </c>
      <c r="E12" s="267">
        <f>mvalloc!J14</f>
        <v>566.25</v>
      </c>
    </row>
    <row r="13" spans="2:5" ht="15.75">
      <c r="B13" s="82" t="s">
        <v>117</v>
      </c>
      <c r="C13" s="326"/>
      <c r="D13" s="326"/>
      <c r="E13" s="267">
        <f>mvalloc!K14</f>
        <v>0</v>
      </c>
    </row>
    <row r="14" spans="2:5" ht="15.75">
      <c r="B14" s="82" t="s">
        <v>55</v>
      </c>
      <c r="C14" s="326">
        <f>+404.56+384.81+29.76+402.71+403.17</f>
        <v>1625.01</v>
      </c>
      <c r="D14" s="326">
        <v>1560</v>
      </c>
      <c r="E14" s="267">
        <f>inputOth!E72</f>
        <v>1590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81116.88</v>
      </c>
      <c r="D23" s="421">
        <f>SUM(D8:D21)</f>
        <v>76216</v>
      </c>
      <c r="E23" s="335">
        <f>SUM(E8:E21)</f>
        <v>3753.25</v>
      </c>
    </row>
    <row r="24" spans="2:5" ht="15.75">
      <c r="B24" s="100" t="s">
        <v>296</v>
      </c>
      <c r="C24" s="421">
        <f>C23+C6</f>
        <v>187813.88</v>
      </c>
      <c r="D24" s="421">
        <f>D23+D6</f>
        <v>164037.88</v>
      </c>
      <c r="E24" s="335">
        <f>E23+E6</f>
        <v>42311.130000000005</v>
      </c>
    </row>
    <row r="25" spans="2:5" ht="15.75">
      <c r="B25" s="82" t="s">
        <v>297</v>
      </c>
      <c r="C25" s="418"/>
      <c r="D25" s="418"/>
      <c r="E25" s="267"/>
    </row>
    <row r="26" spans="2:5" ht="15.75">
      <c r="B26" s="331"/>
      <c r="C26" s="326"/>
      <c r="D26" s="326"/>
      <c r="E26" s="175"/>
    </row>
    <row r="27" spans="2:5" ht="15.75">
      <c r="B27" s="331" t="s">
        <v>56</v>
      </c>
      <c r="C27" s="326">
        <v>1197</v>
      </c>
      <c r="D27" s="326">
        <v>1440</v>
      </c>
      <c r="E27" s="175">
        <v>1440</v>
      </c>
    </row>
    <row r="28" spans="2:5" ht="15.75">
      <c r="B28" s="331" t="s">
        <v>80</v>
      </c>
      <c r="C28" s="326">
        <v>10993</v>
      </c>
      <c r="D28" s="326">
        <v>15000</v>
      </c>
      <c r="E28" s="175">
        <v>15000</v>
      </c>
    </row>
    <row r="29" spans="2:5" ht="15.75">
      <c r="B29" s="330" t="s">
        <v>57</v>
      </c>
      <c r="C29" s="326">
        <v>1871</v>
      </c>
      <c r="D29" s="326">
        <v>2000</v>
      </c>
      <c r="E29" s="175">
        <v>2000</v>
      </c>
    </row>
    <row r="30" spans="2:5" ht="15.75">
      <c r="B30" s="331" t="s">
        <v>82</v>
      </c>
      <c r="C30" s="326">
        <v>5600</v>
      </c>
      <c r="D30" s="326">
        <v>34866</v>
      </c>
      <c r="E30" s="175">
        <v>34866</v>
      </c>
    </row>
    <row r="31" spans="2:5" ht="15.75">
      <c r="B31" s="331" t="s">
        <v>60</v>
      </c>
      <c r="C31" s="326">
        <v>1457</v>
      </c>
      <c r="D31" s="326">
        <v>28080</v>
      </c>
      <c r="E31" s="175">
        <v>28080</v>
      </c>
    </row>
    <row r="32" spans="2:5" ht="15.75">
      <c r="B32" s="331" t="s">
        <v>58</v>
      </c>
      <c r="C32" s="326">
        <f>36607+2535</f>
        <v>39142</v>
      </c>
      <c r="D32" s="326">
        <v>36911</v>
      </c>
      <c r="E32" s="175">
        <v>37594</v>
      </c>
    </row>
    <row r="33" spans="2:5" ht="15.75">
      <c r="B33" s="331" t="s">
        <v>83</v>
      </c>
      <c r="C33" s="326"/>
      <c r="D33" s="326"/>
      <c r="E33" s="175"/>
    </row>
    <row r="34" spans="2:5" ht="15.75">
      <c r="B34" s="330" t="s">
        <v>190</v>
      </c>
      <c r="C34" s="326"/>
      <c r="D34" s="326">
        <v>2000</v>
      </c>
      <c r="E34" s="175">
        <v>2000</v>
      </c>
    </row>
    <row r="35" spans="2:5" ht="15.75">
      <c r="B35" s="330" t="s">
        <v>821</v>
      </c>
      <c r="C35" s="326">
        <v>5839</v>
      </c>
      <c r="D35" s="326">
        <v>4500</v>
      </c>
      <c r="E35" s="175">
        <v>4500</v>
      </c>
    </row>
    <row r="36" spans="2:5" ht="15.75">
      <c r="B36" s="82" t="s">
        <v>59</v>
      </c>
      <c r="C36" s="326">
        <v>33893</v>
      </c>
      <c r="D36" s="326"/>
      <c r="E36" s="175">
        <v>0</v>
      </c>
    </row>
    <row r="37" spans="2:5" ht="15.75">
      <c r="B37" s="82" t="s">
        <v>755</v>
      </c>
      <c r="C37" s="420">
        <f>IF(C24*0.25&lt;C36,"Exceeds 25%","")</f>
      </c>
      <c r="D37" s="420">
        <f>IF(D24*0.25&lt;D36,"Exceeds 25%","")</f>
      </c>
      <c r="E37" s="336">
        <f>IF(E24*0.25+E48&lt;E36,"Exceeds 25%","")</f>
      </c>
    </row>
    <row r="38" spans="2:5" ht="15.75">
      <c r="B38" s="329" t="s">
        <v>242</v>
      </c>
      <c r="C38" s="326"/>
      <c r="D38" s="326">
        <v>683</v>
      </c>
      <c r="E38" s="186">
        <f>nhood!E8</f>
        <v>840</v>
      </c>
    </row>
    <row r="39" spans="2:5" ht="15.75">
      <c r="B39" s="329" t="s">
        <v>240</v>
      </c>
      <c r="C39" s="326"/>
      <c r="D39" s="326"/>
      <c r="E39" s="175"/>
    </row>
    <row r="40" spans="2:5" ht="15.75">
      <c r="B40" s="329" t="s">
        <v>752</v>
      </c>
      <c r="C40" s="420">
        <f>IF(C41*0.1&lt;C39,"Exceed 10% Rule","")</f>
      </c>
      <c r="D40" s="420">
        <f>IF(D41*0.1&lt;D39,"Exceed 10% Rule","")</f>
      </c>
      <c r="E40" s="336">
        <f>IF(E41*0.1&lt;E39,"Exceed 10% Rule","")</f>
      </c>
    </row>
    <row r="41" spans="2:5" ht="15.75">
      <c r="B41" s="100" t="s">
        <v>298</v>
      </c>
      <c r="C41" s="421">
        <f>SUM(C26:C39)</f>
        <v>99992</v>
      </c>
      <c r="D41" s="421">
        <f>SUM(D26:D39)</f>
        <v>125480</v>
      </c>
      <c r="E41" s="335">
        <f>SUM(E26:E36,E39)</f>
        <v>125480</v>
      </c>
    </row>
    <row r="42" spans="2:5" ht="15.75">
      <c r="B42" s="82" t="s">
        <v>74</v>
      </c>
      <c r="C42" s="422">
        <f>C24-C41</f>
        <v>87821.88</v>
      </c>
      <c r="D42" s="422">
        <f>D24-D41</f>
        <v>38557.880000000005</v>
      </c>
      <c r="E42" s="328" t="s">
        <v>267</v>
      </c>
    </row>
    <row r="43" spans="2:6" ht="15.75">
      <c r="B43" s="121" t="str">
        <f>CONCATENATE("",$E$1-2,"/",$E$1-1," Budget Authority Amount:")</f>
        <v>2012/2013 Budget Authority Amount:</v>
      </c>
      <c r="C43" s="362">
        <v>135570</v>
      </c>
      <c r="D43" s="85">
        <f>inputPrYr!D22</f>
        <v>135570</v>
      </c>
      <c r="E43" s="328" t="s">
        <v>267</v>
      </c>
      <c r="F43" s="337"/>
    </row>
    <row r="44" spans="2:6" ht="15.75">
      <c r="B44" s="121"/>
      <c r="C44" s="615" t="s">
        <v>749</v>
      </c>
      <c r="D44" s="616"/>
      <c r="E44" s="175"/>
      <c r="F44" s="337">
        <f>IF(E41/0.95-E41&lt;E44,"Exceeds 5%","")</f>
      </c>
    </row>
    <row r="45" spans="2:5" ht="15.75">
      <c r="B45" s="532" t="str">
        <f>CONCATENATE(C70,"     ",D70)</f>
        <v>     </v>
      </c>
      <c r="C45" s="617" t="s">
        <v>750</v>
      </c>
      <c r="D45" s="618"/>
      <c r="E45" s="267">
        <f>E41+E44</f>
        <v>125480</v>
      </c>
    </row>
    <row r="46" spans="2:5" ht="15.75">
      <c r="B46" s="532" t="str">
        <f>CONCATENATE(C71,"     ",D71)</f>
        <v>     </v>
      </c>
      <c r="C46" s="535"/>
      <c r="D46" s="534" t="s">
        <v>300</v>
      </c>
      <c r="E46" s="186">
        <f>IF(E45-E24&gt;0,E45-E24,0)</f>
        <v>83168.87</v>
      </c>
    </row>
    <row r="47" spans="2:5" ht="15.75">
      <c r="B47" s="216"/>
      <c r="C47" s="533" t="s">
        <v>751</v>
      </c>
      <c r="D47" s="537">
        <f>inputOth!$E$77</f>
        <v>0</v>
      </c>
      <c r="E47" s="267">
        <f>ROUND(IF(D47&gt;0,(E46*D47),0),0)</f>
        <v>0</v>
      </c>
    </row>
    <row r="48" spans="2:5" ht="15.75">
      <c r="B48" s="66"/>
      <c r="C48" s="619" t="str">
        <f>CONCATENATE("Amount of  ",$E$1-1," Ad Valorem Tax")</f>
        <v>Amount of  2013 Ad Valorem Tax</v>
      </c>
      <c r="D48" s="620"/>
      <c r="E48" s="186">
        <f>E46+E47</f>
        <v>83168.87</v>
      </c>
    </row>
    <row r="49" spans="2:5" ht="15.75">
      <c r="B49" s="66"/>
      <c r="C49" s="66"/>
      <c r="D49" s="66"/>
      <c r="E49" s="66"/>
    </row>
    <row r="50" spans="2:5" ht="15.75">
      <c r="B50" s="66"/>
      <c r="C50" s="66"/>
      <c r="D50" s="66"/>
      <c r="E50" s="66"/>
    </row>
    <row r="51" spans="2:5" ht="15.75">
      <c r="B51" s="161" t="s">
        <v>302</v>
      </c>
      <c r="C51" s="209">
        <f>E1-2</f>
        <v>2012</v>
      </c>
      <c r="D51" s="66"/>
      <c r="E51" s="66"/>
    </row>
    <row r="52" spans="2:5" ht="15.75">
      <c r="B52" s="79" t="s">
        <v>303</v>
      </c>
      <c r="C52" s="81" t="s">
        <v>304</v>
      </c>
      <c r="D52" s="66"/>
      <c r="E52" s="66"/>
    </row>
    <row r="53" spans="2:5" ht="15.75">
      <c r="B53" s="108" t="s">
        <v>286</v>
      </c>
      <c r="C53" s="531">
        <v>142975</v>
      </c>
      <c r="D53" s="66"/>
      <c r="E53" s="66"/>
    </row>
    <row r="54" spans="2:5" ht="15.75">
      <c r="B54" s="108" t="s">
        <v>305</v>
      </c>
      <c r="C54" s="362"/>
      <c r="D54" s="66"/>
      <c r="E54" s="66"/>
    </row>
    <row r="55" spans="2:5" ht="15.75">
      <c r="B55" s="108" t="s">
        <v>306</v>
      </c>
      <c r="C55" s="526">
        <f>IF(C36&gt;0,C36,0)</f>
        <v>33893</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294</v>
      </c>
      <c r="C59" s="531">
        <v>28</v>
      </c>
      <c r="D59" s="66"/>
      <c r="E59" s="66"/>
    </row>
    <row r="60" spans="2:5" ht="15.75">
      <c r="B60" s="177" t="s">
        <v>293</v>
      </c>
      <c r="C60" s="531"/>
      <c r="D60" s="66"/>
      <c r="E60" s="66"/>
    </row>
    <row r="61" spans="2:5" ht="15.75">
      <c r="B61" s="354" t="s">
        <v>296</v>
      </c>
      <c r="C61" s="524">
        <f>SUM(C53,C55:C60)</f>
        <v>176896</v>
      </c>
      <c r="D61" s="66"/>
      <c r="E61" s="66"/>
    </row>
    <row r="62" spans="2:5" ht="15.75">
      <c r="B62" s="354" t="s">
        <v>298</v>
      </c>
      <c r="C62" s="531"/>
      <c r="D62" s="66"/>
      <c r="E62" s="66"/>
    </row>
    <row r="63" spans="2:5" ht="15.75">
      <c r="B63" s="354" t="s">
        <v>299</v>
      </c>
      <c r="C63" s="524">
        <f>C61-C62</f>
        <v>176896</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 operator="greaterThan" stopIfTrue="1">
      <formula>$C$43</formula>
    </cfRule>
  </conditionalFormatting>
  <conditionalFormatting sqref="D41">
    <cfRule type="cellIs" priority="11" dxfId="1"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74" t="s">
        <v>307</v>
      </c>
      <c r="D1" s="66"/>
      <c r="E1" s="231">
        <f>inputPrYr!D9</f>
        <v>2014</v>
      </c>
    </row>
    <row r="2" spans="2:5" ht="15.75">
      <c r="B2" s="558" t="s">
        <v>779</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inputOth!$B86</f>
        <v>0</v>
      </c>
      <c r="D33" s="85">
        <f>inputPrYr!$D23</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inputOth!$B87</f>
        <v>0</v>
      </c>
      <c r="D69" s="85">
        <f>inputPrYr!$D24</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2014</v>
      </c>
    </row>
    <row r="2" spans="2:5" ht="15.75">
      <c r="B2" s="558" t="s">
        <v>779</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inputOth!$B88</f>
        <v>0</v>
      </c>
      <c r="D33" s="85">
        <f>inputPrYr!$D25</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inputOth!$B89</f>
        <v>0</v>
      </c>
      <c r="D69" s="85">
        <f>inputPrYr!$D26</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inputOth!$B90</f>
        <v>0</v>
      </c>
      <c r="D33" s="85">
        <f>inputPrYr!$D27</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inputOth!$B91</f>
        <v>0</v>
      </c>
      <c r="D69" s="85">
        <f>inputPrYr!$D28</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inputOth!$B92</f>
        <v>0</v>
      </c>
      <c r="D33" s="85">
        <f>inputPrYr!$D29</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inputOth!$B93</f>
        <v>0</v>
      </c>
      <c r="D69" s="85">
        <f>inputPrYr!$D30</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CHIKASKIA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CHIKASKIA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818</v>
      </c>
      <c r="E3" s="73"/>
    </row>
    <row r="4" spans="1:5" ht="15.75">
      <c r="A4" s="161" t="s">
        <v>235</v>
      </c>
      <c r="B4" s="66"/>
      <c r="C4" s="66"/>
      <c r="D4" s="162" t="s">
        <v>817</v>
      </c>
      <c r="E4" s="73"/>
    </row>
    <row r="5" spans="1:5" ht="15.75">
      <c r="A5" s="66"/>
      <c r="B5" s="66"/>
      <c r="C5" s="66"/>
      <c r="D5" s="66"/>
      <c r="E5" s="66"/>
    </row>
    <row r="6" spans="1:5" ht="15.75">
      <c r="A6" s="163" t="s">
        <v>154</v>
      </c>
      <c r="B6" s="66"/>
      <c r="C6" s="66"/>
      <c r="D6" s="391" t="s">
        <v>819</v>
      </c>
      <c r="E6" s="66"/>
    </row>
    <row r="7" spans="1:5" ht="15.75">
      <c r="A7" s="163" t="s">
        <v>155</v>
      </c>
      <c r="B7" s="66"/>
      <c r="C7" s="66"/>
      <c r="D7" s="115"/>
      <c r="E7" s="66"/>
    </row>
    <row r="8" spans="1:5" ht="15.75">
      <c r="A8" s="66"/>
      <c r="B8" s="66"/>
      <c r="C8" s="66"/>
      <c r="D8" s="66"/>
      <c r="E8" s="66"/>
    </row>
    <row r="9" spans="1:5" ht="15.75">
      <c r="A9" s="163" t="s">
        <v>100</v>
      </c>
      <c r="B9" s="66"/>
      <c r="C9" s="66"/>
      <c r="D9" s="164">
        <v>2014</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2013 Budget, Certificate Page:</v>
      </c>
      <c r="B17" s="171"/>
      <c r="C17" s="69"/>
      <c r="D17" s="66"/>
      <c r="E17" s="66"/>
    </row>
    <row r="18" spans="1:5" ht="15.75">
      <c r="A18" s="170" t="s">
        <v>331</v>
      </c>
      <c r="B18" s="171"/>
      <c r="C18" s="69"/>
      <c r="D18" s="172">
        <f>D9-1</f>
        <v>2013</v>
      </c>
      <c r="E18" s="172">
        <f>D9-2</f>
        <v>2012</v>
      </c>
    </row>
    <row r="19" spans="1:5" ht="15.75">
      <c r="A19" s="74" t="s">
        <v>249</v>
      </c>
      <c r="B19" s="66"/>
      <c r="C19" s="173" t="s">
        <v>248</v>
      </c>
      <c r="D19" s="174" t="s">
        <v>362</v>
      </c>
      <c r="E19" s="174" t="s">
        <v>288</v>
      </c>
    </row>
    <row r="20" spans="1:5" ht="15.75">
      <c r="A20" s="66"/>
      <c r="B20" s="108" t="s">
        <v>250</v>
      </c>
      <c r="C20" s="85" t="s">
        <v>251</v>
      </c>
      <c r="D20" s="175">
        <v>11400</v>
      </c>
      <c r="E20" s="175">
        <v>8605</v>
      </c>
    </row>
    <row r="21" spans="1:5" ht="15.75">
      <c r="A21" s="66"/>
      <c r="B21" s="108" t="s">
        <v>322</v>
      </c>
      <c r="C21" s="85" t="s">
        <v>107</v>
      </c>
      <c r="D21" s="175"/>
      <c r="E21" s="175"/>
    </row>
    <row r="22" spans="1:5" ht="15.75">
      <c r="A22" s="66"/>
      <c r="B22" s="108" t="s">
        <v>252</v>
      </c>
      <c r="C22" s="176" t="s">
        <v>237</v>
      </c>
      <c r="D22" s="175">
        <v>135570</v>
      </c>
      <c r="E22" s="175">
        <v>73030</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81635</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146970</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2011 Tax Rate         (2012 Column)</v>
      </c>
      <c r="E46" s="66"/>
    </row>
    <row r="47" spans="1:5" ht="15.75">
      <c r="A47" s="170" t="str">
        <f>CONCATENATE("the ",D9-1," Budget, Budget Summary Page:")</f>
        <v>the 2013 Budget, Budget Summary Page:</v>
      </c>
      <c r="B47" s="187"/>
      <c r="C47" s="66"/>
      <c r="D47" s="565"/>
      <c r="E47" s="66"/>
    </row>
    <row r="48" spans="1:5" ht="15.75">
      <c r="A48" s="66"/>
      <c r="B48" s="92" t="str">
        <f aca="true" t="shared" si="0" ref="B48:B57">B20</f>
        <v>General</v>
      </c>
      <c r="C48" s="66"/>
      <c r="D48" s="188">
        <v>1.018</v>
      </c>
      <c r="E48" s="66"/>
    </row>
    <row r="49" spans="1:5" ht="15.75">
      <c r="A49" s="66"/>
      <c r="B49" s="92" t="str">
        <f t="shared" si="0"/>
        <v>Debt Service</v>
      </c>
      <c r="C49" s="66"/>
      <c r="D49" s="189"/>
      <c r="E49" s="66"/>
    </row>
    <row r="50" spans="1:5" ht="15.75">
      <c r="A50" s="66"/>
      <c r="B50" s="92" t="str">
        <f t="shared" si="0"/>
        <v>Road</v>
      </c>
      <c r="C50" s="66"/>
      <c r="D50" s="189">
        <v>12.593</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13.611</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92547</v>
      </c>
    </row>
    <row r="62" spans="1:5" ht="15.75">
      <c r="A62" s="192" t="str">
        <f>CONCATENATE("Assessed Valuation (",D9-2," budget column):")</f>
        <v>Assessed Valuation (2012 budget column):</v>
      </c>
      <c r="B62" s="168"/>
      <c r="C62" s="66"/>
      <c r="D62" s="66"/>
      <c r="E62" s="193">
        <v>7408074</v>
      </c>
    </row>
    <row r="63" spans="1:5" ht="15.75">
      <c r="A63" s="66"/>
      <c r="B63" s="66"/>
      <c r="C63" s="66"/>
      <c r="D63" s="66"/>
      <c r="E63" s="194"/>
    </row>
    <row r="64" spans="1:5" ht="15.75">
      <c r="A64" s="195" t="s">
        <v>173</v>
      </c>
      <c r="B64" s="195"/>
      <c r="C64" s="196"/>
      <c r="D64" s="197">
        <f>D9-3</f>
        <v>2011</v>
      </c>
      <c r="E64" s="197">
        <f>D9-2</f>
        <v>2012</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CHIKASKIA TOWNSHIP</v>
      </c>
      <c r="B1" s="123"/>
      <c r="C1" s="116"/>
      <c r="D1" s="116"/>
      <c r="E1" s="116"/>
      <c r="F1" s="124" t="s">
        <v>345</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85" zoomScaleNormal="85" zoomScalePageLayoutView="0" workbookViewId="0" topLeftCell="A11">
      <selection activeCell="J9" sqref="J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309</v>
      </c>
      <c r="G2" s="74" t="s">
        <v>310</v>
      </c>
      <c r="H2" s="66"/>
    </row>
    <row r="3" spans="1:8" ht="15.75">
      <c r="A3" s="589" t="s">
        <v>311</v>
      </c>
      <c r="B3" s="589"/>
      <c r="C3" s="589"/>
      <c r="D3" s="589"/>
      <c r="E3" s="589"/>
      <c r="F3" s="589"/>
      <c r="G3" s="589"/>
      <c r="H3" s="589"/>
    </row>
    <row r="4" spans="1:8" ht="15.75">
      <c r="A4" s="633" t="str">
        <f>inputPrYr!D3</f>
        <v>CHIKASKIA TOWNSHIP</v>
      </c>
      <c r="B4" s="633"/>
      <c r="C4" s="633"/>
      <c r="D4" s="633"/>
      <c r="E4" s="633"/>
      <c r="F4" s="633"/>
      <c r="G4" s="633"/>
      <c r="H4" s="633"/>
    </row>
    <row r="5" spans="1:8" ht="15.75">
      <c r="A5" s="633" t="str">
        <f>inputPrYr!D4</f>
        <v>KINGMAN COUNTY</v>
      </c>
      <c r="B5" s="633"/>
      <c r="C5" s="633"/>
      <c r="D5" s="633"/>
      <c r="E5" s="633"/>
      <c r="F5" s="633"/>
      <c r="G5" s="633"/>
      <c r="H5" s="633"/>
    </row>
    <row r="6" spans="1:8" ht="15.75">
      <c r="A6" s="632" t="str">
        <f>CONCATENATE("will meet on ",inputBudSum!B5," at ",inputBudSum!B7," at ",inputBudSum!B9," for the purpose of hearing and")</f>
        <v>will meet on August 19, 2013 at 6:30 P.M. at Chikaskia Township Bldg. for the purpose of hearing and</v>
      </c>
      <c r="B6" s="632"/>
      <c r="C6" s="632"/>
      <c r="D6" s="632"/>
      <c r="E6" s="632"/>
      <c r="F6" s="632"/>
      <c r="G6" s="632"/>
      <c r="H6" s="632"/>
    </row>
    <row r="7" spans="1:8" ht="15.75">
      <c r="A7" s="70" t="s">
        <v>428</v>
      </c>
      <c r="B7" s="67"/>
      <c r="C7" s="67"/>
      <c r="D7" s="67"/>
      <c r="E7" s="67"/>
      <c r="F7" s="67"/>
      <c r="G7" s="67"/>
      <c r="H7" s="67"/>
    </row>
    <row r="8" spans="1:8" ht="15.75">
      <c r="A8" s="594" t="str">
        <f>CONCATENATE("Detailed budget information is available at ",inputBudSum!B12," and will be available at this hearing.")</f>
        <v>Detailed budget information is available at Chikaskia Township Bldg. and will be available at this hearing.</v>
      </c>
      <c r="B8" s="603"/>
      <c r="C8" s="603"/>
      <c r="D8" s="603"/>
      <c r="E8" s="603"/>
      <c r="F8" s="603"/>
      <c r="G8" s="603"/>
      <c r="H8" s="60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304</v>
      </c>
      <c r="D14" s="76"/>
      <c r="E14" s="76" t="s">
        <v>304</v>
      </c>
      <c r="F14" s="210"/>
      <c r="G14" s="586" t="str">
        <f>CONCATENATE("Amount of ",H1-1," Ad Valorem Tax")</f>
        <v>Amount of 2013 Ad Valorem Tax</v>
      </c>
      <c r="H14" s="76" t="s">
        <v>312</v>
      </c>
      <c r="I14" s="203"/>
    </row>
    <row r="15" spans="1:9" ht="15.75">
      <c r="A15" s="66"/>
      <c r="B15" s="78"/>
      <c r="C15" s="78" t="s">
        <v>313</v>
      </c>
      <c r="D15" s="78"/>
      <c r="E15" s="78" t="s">
        <v>313</v>
      </c>
      <c r="F15" s="528" t="s">
        <v>185</v>
      </c>
      <c r="G15" s="630"/>
      <c r="H15" s="78" t="s">
        <v>313</v>
      </c>
      <c r="I15" s="203"/>
    </row>
    <row r="16" spans="1:10" ht="15.75">
      <c r="A16" s="211" t="s">
        <v>263</v>
      </c>
      <c r="B16" s="81" t="s">
        <v>314</v>
      </c>
      <c r="C16" s="81" t="s">
        <v>315</v>
      </c>
      <c r="D16" s="81" t="s">
        <v>314</v>
      </c>
      <c r="E16" s="81" t="s">
        <v>315</v>
      </c>
      <c r="F16" s="527" t="s">
        <v>748</v>
      </c>
      <c r="G16" s="631"/>
      <c r="H16" s="81" t="s">
        <v>315</v>
      </c>
      <c r="I16" s="203"/>
      <c r="J16" s="551"/>
    </row>
    <row r="17" spans="1:10" ht="15.75">
      <c r="A17" s="92" t="str">
        <f>inputPrYr!B20</f>
        <v>General</v>
      </c>
      <c r="B17" s="92">
        <f>IF(gen!$C$46&lt;&gt;0,gen!$C$46,"  ")</f>
        <v>12168</v>
      </c>
      <c r="C17" s="95">
        <f>IF(inputPrYr!D48&gt;0,inputPrYr!D48,"  ")</f>
        <v>1.018</v>
      </c>
      <c r="D17" s="92">
        <f>IF(gen!$D$46&lt;&gt;0,gen!$D$46,"  ")</f>
        <v>11400</v>
      </c>
      <c r="E17" s="95">
        <f>IF(inputOth!D37&gt;0,inputOth!D37,"  ")</f>
        <v>1.275</v>
      </c>
      <c r="F17" s="92">
        <f>IF(gen!$E$46&lt;&gt;0,gen!$E$46,"  ")</f>
        <v>11400</v>
      </c>
      <c r="G17" s="92">
        <f>IF(gen!$E$53&lt;&gt;0,gen!$E$53,"")</f>
        <v>10973.71</v>
      </c>
      <c r="H17" s="95">
        <f>IF(gen!E53&gt;0,ROUND(G17/F38*1000,3)," ")</f>
        <v>1.804</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99992</v>
      </c>
      <c r="C19" s="95">
        <f>IF(inputPrYr!D50&gt;0,inputPrYr!D50,"  ")</f>
        <v>12.593</v>
      </c>
      <c r="D19" s="92">
        <f>IF(road!$D$41&lt;&gt;0,road!$D$41,"  ")</f>
        <v>125480</v>
      </c>
      <c r="E19" s="95">
        <f>IF(inputOth!D39&gt;0,inputOth!D39,"  ")</f>
        <v>11.945</v>
      </c>
      <c r="F19" s="92">
        <f>IF(road!$E$41&lt;&gt;0,road!$E$41,"  ")</f>
        <v>125480</v>
      </c>
      <c r="G19" s="92">
        <f>IF(road!$E$48&lt;&gt;0,road!$E$48,"  ")</f>
        <v>83168.87</v>
      </c>
      <c r="H19" s="95">
        <f>IF(road!E48&gt;0,ROUND(G19/F39*1000,3)," ")</f>
        <v>15.075</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t="str">
        <f>IF(road!C62&lt;&gt;0,road!C62,"  ")</f>
        <v>  </v>
      </c>
      <c r="C33" s="510"/>
      <c r="D33" s="510"/>
      <c r="E33" s="510"/>
      <c r="F33" s="510"/>
      <c r="G33" s="510"/>
      <c r="H33" s="510"/>
    </row>
    <row r="34" spans="1:8" ht="15.75">
      <c r="A34" s="108" t="s">
        <v>266</v>
      </c>
      <c r="B34" s="507">
        <f aca="true" t="shared" si="0" ref="B34:H34">SUM(B17:B33)</f>
        <v>112160</v>
      </c>
      <c r="C34" s="508">
        <f t="shared" si="0"/>
        <v>13.611</v>
      </c>
      <c r="D34" s="507">
        <f t="shared" si="0"/>
        <v>136880</v>
      </c>
      <c r="E34" s="508">
        <f t="shared" si="0"/>
        <v>13.22</v>
      </c>
      <c r="F34" s="507">
        <f t="shared" si="0"/>
        <v>136880</v>
      </c>
      <c r="G34" s="507">
        <f t="shared" si="0"/>
        <v>94142.57999999999</v>
      </c>
      <c r="H34" s="508">
        <f t="shared" si="0"/>
        <v>16.878999999999998</v>
      </c>
    </row>
    <row r="35" spans="1:8" ht="15.75">
      <c r="A35" s="108" t="s">
        <v>316</v>
      </c>
      <c r="B35" s="92">
        <f>transfer!C29</f>
        <v>33893</v>
      </c>
      <c r="C35" s="66"/>
      <c r="D35" s="92">
        <f>transfer!D29</f>
        <v>0</v>
      </c>
      <c r="E35" s="213"/>
      <c r="F35" s="92">
        <f>transfer!E29</f>
        <v>0</v>
      </c>
      <c r="G35" s="66"/>
      <c r="H35" s="66"/>
    </row>
    <row r="36" spans="1:8" ht="16.5" thickBot="1">
      <c r="A36" s="108" t="s">
        <v>317</v>
      </c>
      <c r="B36" s="511">
        <f>B34-B35</f>
        <v>78267</v>
      </c>
      <c r="C36" s="66"/>
      <c r="D36" s="511">
        <f>D34-D35</f>
        <v>136880</v>
      </c>
      <c r="E36" s="66"/>
      <c r="F36" s="511">
        <f>F34-F35</f>
        <v>136880</v>
      </c>
      <c r="G36" s="66"/>
      <c r="H36" s="66"/>
    </row>
    <row r="37" spans="1:8" ht="16.5" thickTop="1">
      <c r="A37" s="108" t="s">
        <v>0</v>
      </c>
      <c r="B37" s="236">
        <f>inputPrYr!E61</f>
        <v>92547</v>
      </c>
      <c r="C37" s="213"/>
      <c r="D37" s="236">
        <f>inputPrYr!E31</f>
        <v>81635</v>
      </c>
      <c r="E37" s="66"/>
      <c r="F37" s="512" t="s">
        <v>267</v>
      </c>
      <c r="G37" s="66"/>
      <c r="H37" s="66"/>
    </row>
    <row r="38" spans="1:8" ht="15.75">
      <c r="A38" s="108" t="s">
        <v>191</v>
      </c>
      <c r="B38" s="92">
        <f>inputPrYr!E62</f>
        <v>7408074</v>
      </c>
      <c r="C38" s="213"/>
      <c r="D38" s="92">
        <f>inputOth!E54</f>
        <v>6750502</v>
      </c>
      <c r="E38" s="213"/>
      <c r="F38" s="92">
        <f>inputOth!E11</f>
        <v>6081772</v>
      </c>
      <c r="G38" s="66"/>
      <c r="H38" s="66"/>
    </row>
    <row r="39" spans="1:10" ht="15.75">
      <c r="A39" s="82" t="s">
        <v>247</v>
      </c>
      <c r="B39" s="214"/>
      <c r="C39" s="66"/>
      <c r="D39" s="182"/>
      <c r="E39" s="66"/>
      <c r="F39" s="92">
        <f>inputOth!E8</f>
        <v>5517156</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85" zoomScaleNormal="85" zoomScalePageLayoutView="0" workbookViewId="0" topLeftCell="A1">
      <selection activeCell="J9" sqref="J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CHIKASKIA TOWNSHIP</v>
      </c>
      <c r="B1" s="66"/>
      <c r="C1" s="66"/>
      <c r="D1" s="66"/>
      <c r="E1" s="66"/>
      <c r="F1" s="66">
        <f>inputPrYr!D9</f>
        <v>2014</v>
      </c>
    </row>
    <row r="2" spans="1:6" ht="15.75">
      <c r="A2" s="66"/>
      <c r="B2" s="66"/>
      <c r="C2" s="66"/>
      <c r="D2" s="66"/>
      <c r="E2" s="66"/>
      <c r="F2" s="66"/>
    </row>
    <row r="3" spans="1:6" ht="15.75">
      <c r="A3" s="66"/>
      <c r="B3" s="585" t="str">
        <f>CONCATENATE("",F1," Neighborhood Revitalization Rebate")</f>
        <v>2014 Neighborhood Revitalization Rebate</v>
      </c>
      <c r="C3" s="590"/>
      <c r="D3" s="590"/>
      <c r="E3" s="590"/>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10974</v>
      </c>
      <c r="D6" s="367">
        <f aca="true" t="shared" si="0" ref="D6:D16">IF(C6&gt;0,C6/$D$22,"")</f>
        <v>1.8044083204697579</v>
      </c>
      <c r="E6" s="362">
        <f>IF(C6&gt;0,ROUND(D6*$D$26,0),"")</f>
        <v>111</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83169</v>
      </c>
      <c r="D8" s="367">
        <f t="shared" si="0"/>
        <v>13.67512626254322</v>
      </c>
      <c r="E8" s="362">
        <f t="shared" si="1"/>
        <v>840</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
        <v>255</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94143</v>
      </c>
      <c r="D17" s="370">
        <f>SUM(D6:D16)</f>
        <v>15.479534583012978</v>
      </c>
      <c r="E17" s="369">
        <f>SUM(E6:E16)</f>
        <v>951</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2013 July 1 Valuation:</v>
      </c>
      <c r="B20" s="635"/>
      <c r="C20" s="636"/>
      <c r="D20" s="371">
        <f>inputOth!E11</f>
        <v>6081772</v>
      </c>
      <c r="E20" s="66"/>
      <c r="F20" s="196"/>
    </row>
    <row r="21" spans="1:6" ht="15.75">
      <c r="A21" s="66"/>
      <c r="B21" s="66"/>
      <c r="C21" s="66"/>
      <c r="D21" s="66"/>
      <c r="E21" s="66"/>
      <c r="F21" s="196"/>
    </row>
    <row r="22" spans="1:6" ht="15.75">
      <c r="A22" s="66"/>
      <c r="B22" s="636" t="s">
        <v>386</v>
      </c>
      <c r="C22" s="636"/>
      <c r="D22" s="372">
        <f>IF(D20&gt;0,(D20*0.001),"")</f>
        <v>6081.772</v>
      </c>
      <c r="E22" s="66"/>
      <c r="F22" s="196"/>
    </row>
    <row r="23" spans="1:6" ht="15.75">
      <c r="A23" s="66"/>
      <c r="B23" s="121"/>
      <c r="C23" s="121"/>
      <c r="D23" s="373"/>
      <c r="E23" s="66"/>
      <c r="F23" s="196"/>
    </row>
    <row r="24" spans="1:6" ht="15.75">
      <c r="A24" s="634" t="s">
        <v>387</v>
      </c>
      <c r="B24" s="603"/>
      <c r="C24" s="603"/>
      <c r="D24" s="374">
        <f>inputOth!E33</f>
        <v>61398</v>
      </c>
      <c r="E24" s="183"/>
      <c r="F24" s="183"/>
    </row>
    <row r="25" spans="1:6" ht="15.75">
      <c r="A25" s="183"/>
      <c r="B25" s="183"/>
      <c r="C25" s="183"/>
      <c r="D25" s="375"/>
      <c r="E25" s="183"/>
      <c r="F25" s="183"/>
    </row>
    <row r="26" spans="1:6" ht="15.75">
      <c r="A26" s="183"/>
      <c r="B26" s="634" t="s">
        <v>388</v>
      </c>
      <c r="C26" s="635"/>
      <c r="D26" s="376">
        <f>IF(D24&gt;0,(D24*0.001),"")</f>
        <v>61.398</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85" zoomScaleNormal="85" zoomScalePageLayoutView="0" workbookViewId="0" topLeftCell="A1">
      <selection activeCell="J9" sqref="J9"/>
    </sheetView>
  </sheetViews>
  <sheetFormatPr defaultColWidth="8.796875" defaultRowHeight="15.75"/>
  <sheetData>
    <row r="1" spans="1:7" ht="15.75">
      <c r="A1" s="642" t="s">
        <v>84</v>
      </c>
      <c r="B1" s="642"/>
      <c r="C1" s="642"/>
      <c r="D1" s="642"/>
      <c r="E1" s="642"/>
      <c r="F1" s="642"/>
      <c r="G1" s="642"/>
    </row>
    <row r="2" ht="15.75">
      <c r="A2" s="21"/>
    </row>
    <row r="3" spans="1:7" ht="15.75">
      <c r="A3" s="643" t="s">
        <v>825</v>
      </c>
      <c r="B3" s="643"/>
      <c r="C3" s="643"/>
      <c r="D3" s="643"/>
      <c r="E3" s="643"/>
      <c r="F3" s="643"/>
      <c r="G3" s="643"/>
    </row>
    <row r="4" ht="15.75">
      <c r="A4" s="22"/>
    </row>
    <row r="5" ht="15.75">
      <c r="A5" s="22"/>
    </row>
    <row r="6" spans="1:9" ht="15.75">
      <c r="A6" s="28" t="str">
        <f>CONCATENATE("A resolution expressing the property taxation policy of the Board of ",(inputPrYr!D3)," ")</f>
        <v>A resolution expressing the property taxation policy of the Board of CHIKASKIA TOWNSHIP </v>
      </c>
      <c r="I6">
        <f>CONCATENATE(I7)</f>
      </c>
    </row>
    <row r="7" spans="1:7" ht="15.75">
      <c r="A7" s="644" t="str">
        <f>CONCATENATE("   with respect to financing the ",inputPrYr!D9," annual budget for ",(inputPrYr!D3)," , ",(inputPrYr!D4)," , Kansas.")</f>
        <v>   with respect to financing the 2014 annual budget for CHIKASKIA TOWNSHIP , KINGMAN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2014 CHIKASKIA TOWNSHIP budget exceed the amount levied to finance the 2013</v>
      </c>
    </row>
    <row r="12" spans="1:7" ht="15.75">
      <c r="A12" s="639" t="str">
        <f>CONCATENATE((inputPrYr!D3)," Township budget, except with regard to revenue produced and attributable to the taxation of 1) new improvements to real property; 2) increased personal property valuation, other than increased")</f>
        <v>CHIKASKIA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39" t="s">
        <v>90</v>
      </c>
      <c r="B14" s="573"/>
      <c r="C14" s="573"/>
      <c r="D14" s="573"/>
      <c r="E14" s="573"/>
      <c r="F14" s="573"/>
      <c r="G14" s="573"/>
    </row>
    <row r="15" spans="1:7" ht="15.75">
      <c r="A15" s="573"/>
      <c r="B15" s="573"/>
      <c r="C15" s="573"/>
      <c r="D15" s="573"/>
      <c r="E15" s="573"/>
      <c r="F15" s="573"/>
      <c r="G15" s="573"/>
    </row>
    <row r="16" spans="1:7" ht="15.75">
      <c r="A16" s="640"/>
      <c r="B16" s="640"/>
      <c r="C16" s="640"/>
      <c r="D16" s="640"/>
      <c r="E16" s="640"/>
      <c r="F16" s="640"/>
      <c r="G16" s="640"/>
    </row>
    <row r="17" ht="15.75">
      <c r="A17" s="22"/>
    </row>
    <row r="18" spans="1:7" ht="15.75">
      <c r="A18" s="645" t="s">
        <v>86</v>
      </c>
      <c r="B18" s="573"/>
      <c r="C18" s="573"/>
      <c r="D18" s="573"/>
      <c r="E18" s="573"/>
      <c r="F18" s="573"/>
      <c r="G18" s="573"/>
    </row>
    <row r="19" spans="1:7" ht="15.75">
      <c r="A19" s="573"/>
      <c r="B19" s="573"/>
      <c r="C19" s="573"/>
      <c r="D19" s="573"/>
      <c r="E19" s="573"/>
      <c r="F19" s="573"/>
      <c r="G19" s="573"/>
    </row>
    <row r="20" ht="15.75">
      <c r="A20" s="22"/>
    </row>
    <row r="21" spans="1:7" ht="15.75">
      <c r="A21" s="645" t="str">
        <f>CONCATENATE("Whereas, ",(inputPrYr!D3)," provides essential services to protect the safety and well being of the citizens of the township; and")</f>
        <v>Whereas, CHIKASKIA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5" t="str">
        <f>CONCATENATE("NOW, THEREFORE, BE IT RESOLVED by the Board of ",(inputPrYr!D3)," of ",(inputPrYr!D4),", Kansas that is our desire to notify the public of increased property taxes to finance the ",inputPrYr!D9," ",(inputPrYr!D3),"  budget as defined above.")</f>
        <v>NOW, THEREFORE, BE IT RESOLVED by the Board of CHIKASKIA TOWNSHIP of KINGMAN COUNTY, Kansas that is our desire to notify the public of increased property taxes to finance the 2014 CHIKASKIA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1" t="str">
        <f>CONCATENATE("Adopted this ___17______ day of ___July________, ",inputPrYr!D9-1," by the ",(inputPrYr!D3)," Board, ",(inputPrYr!D4),", Kansas.")</f>
        <v>Adopted this ___17______ day of ___July________, 2013 by the CHIKASKIA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38" t="str">
        <f>CONCATENATE((inputPrYr!D3)," Board")</f>
        <v>CHIKASKIA TOWNSHIP Board</v>
      </c>
      <c r="E33" s="638"/>
      <c r="F33" s="638"/>
      <c r="G33" s="638"/>
    </row>
    <row r="35" spans="4:7" ht="15.75">
      <c r="D35" s="637" t="s">
        <v>88</v>
      </c>
      <c r="E35" s="637"/>
      <c r="F35" s="637"/>
      <c r="G35" s="637"/>
    </row>
    <row r="36" spans="1:7" ht="15.75">
      <c r="A36" s="25"/>
      <c r="D36" s="637" t="s">
        <v>92</v>
      </c>
      <c r="E36" s="637"/>
      <c r="F36" s="637"/>
      <c r="G36" s="637"/>
    </row>
    <row r="37" spans="4:7" ht="15.75">
      <c r="D37" s="637"/>
      <c r="E37" s="637"/>
      <c r="F37" s="637"/>
      <c r="G37" s="637"/>
    </row>
    <row r="38" spans="4:7" ht="15.75">
      <c r="D38" s="637" t="s">
        <v>88</v>
      </c>
      <c r="E38" s="637"/>
      <c r="F38" s="637"/>
      <c r="G38" s="637"/>
    </row>
    <row r="39" spans="1:7" ht="15.75">
      <c r="A39" s="24"/>
      <c r="D39" s="637" t="s">
        <v>93</v>
      </c>
      <c r="E39" s="637"/>
      <c r="F39" s="637"/>
      <c r="G39" s="637"/>
    </row>
    <row r="40" spans="4:7" ht="15.75">
      <c r="D40" s="637"/>
      <c r="E40" s="637"/>
      <c r="F40" s="637"/>
      <c r="G40" s="637"/>
    </row>
    <row r="41" spans="4:7" ht="15.75">
      <c r="D41" s="637" t="s">
        <v>91</v>
      </c>
      <c r="E41" s="637"/>
      <c r="F41" s="637"/>
      <c r="G41" s="637"/>
    </row>
    <row r="42" spans="1:7" ht="15.75">
      <c r="A42" s="24"/>
      <c r="D42" s="637" t="s">
        <v>94</v>
      </c>
      <c r="E42" s="637"/>
      <c r="F42" s="637"/>
      <c r="G42" s="637"/>
    </row>
    <row r="43" ht="15.75">
      <c r="A43" s="26"/>
    </row>
    <row r="44" ht="15.75">
      <c r="A44" s="26"/>
    </row>
    <row r="45" ht="15.75">
      <c r="A45" s="26" t="s">
        <v>89</v>
      </c>
    </row>
    <row r="50" spans="3:4" ht="15.75">
      <c r="C50" s="32" t="s">
        <v>281</v>
      </c>
      <c r="D50" s="64">
        <v>8</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2012 'total expenditures' exceed your 2012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2014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2012 budget was amended, did you</v>
      </c>
    </row>
    <row r="26" ht="15.75">
      <c r="A26" s="403" t="s">
        <v>442</v>
      </c>
    </row>
    <row r="27" ht="15.75">
      <c r="A27" s="403"/>
    </row>
    <row r="28" ht="15.75">
      <c r="A28" s="403" t="str">
        <f>CONCATENATE("Next, look to see if any of your ",inputPrYr!D9-2," expenditures can be")</f>
        <v>Next, look to see if any of your 2012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2012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2012 financial records have been closed?</v>
      </c>
    </row>
    <row r="76" ht="15.75">
      <c r="A76" s="403" t="s">
        <v>479</v>
      </c>
    </row>
    <row r="77" ht="15.75">
      <c r="A77" s="403" t="str">
        <f>CONCATENATE("(i.e. an audit for ",inputPrYr!D9-2," has been completed, or the ",inputPrYr!D9)</f>
        <v>(i.e. an audit for 2012 has been completed, or the 2014</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2012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2014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2014 'total expenditures' exceed your 2014</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CHIKASKIA TOWNSHIP</v>
      </c>
      <c r="B1" s="30"/>
      <c r="C1" s="30"/>
      <c r="D1" s="30"/>
      <c r="E1" s="30">
        <f>inputPrYr!D9</f>
        <v>2014</v>
      </c>
    </row>
    <row r="2" spans="1:5" ht="15.75">
      <c r="A2" s="42" t="str">
        <f>inputPrYr!D4</f>
        <v>KINGMAN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2014:</v>
      </c>
      <c r="B6" s="579"/>
      <c r="C6" s="579"/>
      <c r="D6" s="579"/>
      <c r="E6" s="579"/>
    </row>
    <row r="7" spans="1:5" ht="15.75">
      <c r="A7" s="56" t="str">
        <f>CONCATENATE("Assessed Valuation for ",E1-1,":")</f>
        <v>Assessed Valuation for 2013:</v>
      </c>
      <c r="B7" s="10"/>
      <c r="C7" s="10"/>
      <c r="D7" s="10"/>
      <c r="E7" s="36"/>
    </row>
    <row r="8" spans="1:5" ht="15.75">
      <c r="A8" s="13" t="s">
        <v>164</v>
      </c>
      <c r="B8" s="14"/>
      <c r="C8" s="14"/>
      <c r="D8" s="14"/>
      <c r="E8" s="35">
        <v>5517156</v>
      </c>
    </row>
    <row r="9" spans="1:5" ht="15.75">
      <c r="A9" s="15" t="str">
        <f>inputPrYr!$D$6</f>
        <v>SPIVEY CITY</v>
      </c>
      <c r="B9" s="16"/>
      <c r="C9" s="16"/>
      <c r="D9" s="16"/>
      <c r="E9" s="35">
        <v>564616</v>
      </c>
    </row>
    <row r="10" spans="1:5" ht="15.75">
      <c r="A10" s="15">
        <f>inputPrYr!$D$7</f>
        <v>0</v>
      </c>
      <c r="B10" s="16"/>
      <c r="C10" s="16"/>
      <c r="D10" s="16"/>
      <c r="E10" s="35"/>
    </row>
    <row r="11" spans="1:5" ht="15.75">
      <c r="A11" s="15" t="str">
        <f>CONCATENATE("Total Assessed Valuation for ",$E$1-1,"")</f>
        <v>Total Assessed Valuation for 2013</v>
      </c>
      <c r="B11" s="16"/>
      <c r="C11" s="16"/>
      <c r="D11" s="16"/>
      <c r="E11" s="54">
        <f>SUM(E8:E10)</f>
        <v>6081772</v>
      </c>
    </row>
    <row r="12" spans="1:5" ht="15.75">
      <c r="A12" s="55" t="str">
        <f>CONCATENATE("New Improvements for ",E1-1,":")</f>
        <v>New Improvements for 2013:</v>
      </c>
      <c r="B12" s="10"/>
      <c r="C12" s="10"/>
      <c r="D12" s="10"/>
      <c r="E12" s="34"/>
    </row>
    <row r="13" spans="1:5" ht="15.75">
      <c r="A13" s="13" t="s">
        <v>164</v>
      </c>
      <c r="B13" s="14"/>
      <c r="C13" s="14"/>
      <c r="D13" s="14"/>
      <c r="E13" s="53">
        <v>0</v>
      </c>
    </row>
    <row r="14" spans="1:5" ht="15.75">
      <c r="A14" s="15" t="str">
        <f>inputPrYr!$D$6</f>
        <v>SPIVEY CITY</v>
      </c>
      <c r="B14" s="14"/>
      <c r="C14" s="14"/>
      <c r="D14" s="14"/>
      <c r="E14" s="3">
        <v>1771</v>
      </c>
    </row>
    <row r="15" spans="1:5" ht="15.75">
      <c r="A15" s="15">
        <f>inputPrYr!$D$7</f>
        <v>0</v>
      </c>
      <c r="B15" s="14"/>
      <c r="C15" s="14"/>
      <c r="D15" s="14"/>
      <c r="E15" s="3"/>
    </row>
    <row r="16" spans="1:5" ht="15.75">
      <c r="A16" s="15" t="str">
        <f>CONCATENATE("Total New Improvements for ",$E$1-1,"")</f>
        <v>Total New Improvements for 2013</v>
      </c>
      <c r="B16" s="16"/>
      <c r="C16" s="16"/>
      <c r="D16" s="16"/>
      <c r="E16" s="52">
        <f>SUM(E13:E15)</f>
        <v>1771</v>
      </c>
    </row>
    <row r="17" spans="1:5" ht="15.75">
      <c r="A17" s="55" t="str">
        <f>CONCATENATE("Personal Property excluding oil, gas, and mobile homes- ",E1-1,":")</f>
        <v>Personal Property excluding oil, gas, and mobile homes- 2013:</v>
      </c>
      <c r="B17" s="10"/>
      <c r="C17" s="10"/>
      <c r="D17" s="10"/>
      <c r="E17" s="34"/>
    </row>
    <row r="18" spans="1:5" ht="15.75">
      <c r="A18" s="13" t="s">
        <v>164</v>
      </c>
      <c r="B18" s="14"/>
      <c r="C18" s="14"/>
      <c r="D18" s="14"/>
      <c r="E18" s="53">
        <v>101874</v>
      </c>
    </row>
    <row r="19" spans="1:5" ht="15.75">
      <c r="A19" s="15" t="str">
        <f>inputPrYr!$D$6</f>
        <v>SPIVEY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101874</v>
      </c>
    </row>
    <row r="22" spans="1:5" ht="15.75">
      <c r="A22" s="55" t="str">
        <f>CONCATENATE("Property that has changed in use for ",E1-1,":")</f>
        <v>Property that has changed in use for 2013:</v>
      </c>
      <c r="B22" s="10"/>
      <c r="C22" s="10"/>
      <c r="D22" s="10"/>
      <c r="E22" s="34"/>
    </row>
    <row r="23" spans="1:5" ht="15.75">
      <c r="A23" s="13" t="s">
        <v>164</v>
      </c>
      <c r="B23" s="14"/>
      <c r="C23" s="14"/>
      <c r="D23" s="14"/>
      <c r="E23" s="53">
        <v>0</v>
      </c>
    </row>
    <row r="24" spans="1:5" ht="15.75">
      <c r="A24" s="15" t="str">
        <f>inputPrYr!$D$6</f>
        <v>SPIVEY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2">
        <f>SUM(E23:E25)</f>
        <v>0</v>
      </c>
    </row>
    <row r="27" spans="1:5" ht="15.75">
      <c r="A27" s="55" t="str">
        <f>CONCATENATE("Personal Property excluding oil, gas, and mobile homes- ",E1-2,":")</f>
        <v>Personal Property excluding oil, gas, and mobile homes- 2012:</v>
      </c>
      <c r="B27" s="10"/>
      <c r="C27" s="10"/>
      <c r="D27" s="10"/>
      <c r="E27" s="34"/>
    </row>
    <row r="28" spans="1:5" ht="15.75">
      <c r="A28" s="13" t="s">
        <v>164</v>
      </c>
      <c r="B28" s="14"/>
      <c r="C28" s="14"/>
      <c r="D28" s="14"/>
      <c r="E28" s="53">
        <v>45082</v>
      </c>
    </row>
    <row r="29" spans="1:5" ht="15.75">
      <c r="A29" s="15" t="str">
        <f>inputPrYr!$D$6</f>
        <v>SPIVEY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45082</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61398</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576" t="s">
        <v>263</v>
      </c>
      <c r="B36" s="577"/>
      <c r="C36" s="30"/>
      <c r="D36" s="37" t="s">
        <v>275</v>
      </c>
      <c r="E36" s="36"/>
    </row>
    <row r="37" spans="1:5" ht="15.75">
      <c r="A37" s="13" t="str">
        <f>inputPrYr!B20</f>
        <v>General</v>
      </c>
      <c r="B37" s="14"/>
      <c r="C37" s="10"/>
      <c r="D37" s="49">
        <v>1.275</v>
      </c>
      <c r="E37" s="36"/>
    </row>
    <row r="38" spans="1:5" ht="15.75">
      <c r="A38" s="13" t="str">
        <f>inputPrYr!B21</f>
        <v>Debt Service</v>
      </c>
      <c r="B38" s="16"/>
      <c r="C38" s="10"/>
      <c r="D38" s="50"/>
      <c r="E38" s="36"/>
    </row>
    <row r="39" spans="1:5" ht="15.75">
      <c r="A39" s="13" t="str">
        <f>inputPrYr!B22</f>
        <v>Road</v>
      </c>
      <c r="B39" s="16"/>
      <c r="C39" s="10"/>
      <c r="D39" s="50">
        <v>11.945</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13.22</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164</v>
      </c>
      <c r="B51" s="14"/>
      <c r="C51" s="14"/>
      <c r="D51" s="14"/>
      <c r="E51" s="4">
        <v>6113662</v>
      </c>
    </row>
    <row r="52" spans="1:5" ht="15.75">
      <c r="A52" s="16" t="str">
        <f>inputPrYr!D6</f>
        <v>SPIVEY CITY</v>
      </c>
      <c r="B52" s="16"/>
      <c r="C52" s="16"/>
      <c r="D52" s="20"/>
      <c r="E52" s="4">
        <v>636840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6750502</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156</v>
      </c>
      <c r="B57" s="14"/>
      <c r="C57" s="14"/>
      <c r="D57" s="8"/>
      <c r="E57" s="7"/>
    </row>
    <row r="58" spans="1:5" ht="15.75">
      <c r="A58" s="13" t="s">
        <v>114</v>
      </c>
      <c r="B58" s="14"/>
      <c r="C58" s="14"/>
      <c r="D58" s="39"/>
      <c r="E58" s="2">
        <v>1867.81</v>
      </c>
    </row>
    <row r="59" spans="1:5" ht="15.75">
      <c r="A59" s="15" t="s">
        <v>254</v>
      </c>
      <c r="B59" s="16"/>
      <c r="C59" s="16"/>
      <c r="D59" s="40"/>
      <c r="E59" s="2">
        <v>48.86</v>
      </c>
    </row>
    <row r="60" spans="1:5" ht="15.75">
      <c r="A60" s="15" t="s">
        <v>115</v>
      </c>
      <c r="B60" s="16"/>
      <c r="C60" s="16"/>
      <c r="D60" s="40"/>
      <c r="E60" s="2">
        <v>672.02</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1590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2012 Budget Certificate Page</v>
      </c>
      <c r="B80" s="569"/>
      <c r="C80" s="33"/>
      <c r="D80" s="33"/>
      <c r="E80" s="33"/>
    </row>
    <row r="81" spans="1:5" ht="15.75">
      <c r="A81" s="58"/>
      <c r="B81" s="58" t="str">
        <f>CONCATENATE("",E1-2," Expenditure Amounts")</f>
        <v>2012 Expenditure Amounts</v>
      </c>
      <c r="C81" s="570" t="str">
        <f>CONCATENATE("Note: If the ",E1-2," budget was amended, then the")</f>
        <v>Note: If the 2012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47" t="s">
        <v>679</v>
      </c>
      <c r="C6" s="648"/>
      <c r="D6" s="648"/>
      <c r="E6" s="648"/>
      <c r="F6" s="648"/>
      <c r="G6" s="648"/>
      <c r="H6" s="648"/>
      <c r="I6" s="648"/>
      <c r="J6" s="648"/>
      <c r="K6" s="648"/>
      <c r="L6" s="429"/>
    </row>
    <row r="7" spans="1:12" ht="40.5" customHeight="1">
      <c r="A7" s="427"/>
      <c r="B7" s="649" t="s">
        <v>680</v>
      </c>
      <c r="C7" s="650"/>
      <c r="D7" s="650"/>
      <c r="E7" s="650"/>
      <c r="F7" s="650"/>
      <c r="G7" s="650"/>
      <c r="H7" s="650"/>
      <c r="I7" s="650"/>
      <c r="J7" s="650"/>
      <c r="K7" s="650"/>
      <c r="L7" s="427"/>
    </row>
    <row r="8" spans="1:12" ht="14.25">
      <c r="A8" s="427"/>
      <c r="B8" s="651" t="s">
        <v>681</v>
      </c>
      <c r="C8" s="651"/>
      <c r="D8" s="651"/>
      <c r="E8" s="651"/>
      <c r="F8" s="651"/>
      <c r="G8" s="651"/>
      <c r="H8" s="651"/>
      <c r="I8" s="651"/>
      <c r="J8" s="651"/>
      <c r="K8" s="651"/>
      <c r="L8" s="427"/>
    </row>
    <row r="9" spans="1:12" ht="14.25">
      <c r="A9" s="427"/>
      <c r="L9" s="427"/>
    </row>
    <row r="10" spans="1:12" ht="14.25">
      <c r="A10" s="427"/>
      <c r="B10" s="651" t="s">
        <v>682</v>
      </c>
      <c r="C10" s="651"/>
      <c r="D10" s="651"/>
      <c r="E10" s="651"/>
      <c r="F10" s="651"/>
      <c r="G10" s="651"/>
      <c r="H10" s="651"/>
      <c r="I10" s="651"/>
      <c r="J10" s="651"/>
      <c r="K10" s="651"/>
      <c r="L10" s="427"/>
    </row>
    <row r="11" spans="1:12" ht="14.25">
      <c r="A11" s="427"/>
      <c r="B11" s="430"/>
      <c r="C11" s="430"/>
      <c r="D11" s="430"/>
      <c r="E11" s="430"/>
      <c r="F11" s="430"/>
      <c r="G11" s="430"/>
      <c r="H11" s="430"/>
      <c r="I11" s="430"/>
      <c r="J11" s="430"/>
      <c r="K11" s="430"/>
      <c r="L11" s="427"/>
    </row>
    <row r="12" spans="1:12" ht="32.25" customHeight="1">
      <c r="A12" s="427"/>
      <c r="B12" s="652" t="s">
        <v>683</v>
      </c>
      <c r="C12" s="652"/>
      <c r="D12" s="652"/>
      <c r="E12" s="652"/>
      <c r="F12" s="652"/>
      <c r="G12" s="652"/>
      <c r="H12" s="652"/>
      <c r="I12" s="652"/>
      <c r="J12" s="652"/>
      <c r="K12" s="652"/>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46">
        <v>133685008</v>
      </c>
      <c r="G23" s="646"/>
      <c r="L23" s="427"/>
    </row>
    <row r="24" spans="1:12" ht="14.25">
      <c r="A24" s="427"/>
      <c r="L24" s="427"/>
    </row>
    <row r="25" spans="1:12" ht="14.25">
      <c r="A25" s="427"/>
      <c r="C25" s="653">
        <f>F23</f>
        <v>133685008</v>
      </c>
      <c r="D25" s="653"/>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54" t="s">
        <v>680</v>
      </c>
      <c r="C30" s="654"/>
      <c r="D30" s="654"/>
      <c r="E30" s="654"/>
      <c r="F30" s="654"/>
      <c r="G30" s="654"/>
      <c r="H30" s="654"/>
      <c r="I30" s="654"/>
      <c r="J30" s="654"/>
      <c r="K30" s="654"/>
      <c r="L30" s="427"/>
    </row>
    <row r="31" spans="1:12" ht="14.25">
      <c r="A31" s="427"/>
      <c r="B31" s="651" t="s">
        <v>694</v>
      </c>
      <c r="C31" s="651"/>
      <c r="D31" s="651"/>
      <c r="E31" s="651"/>
      <c r="F31" s="651"/>
      <c r="G31" s="651"/>
      <c r="H31" s="651"/>
      <c r="I31" s="651"/>
      <c r="J31" s="651"/>
      <c r="K31" s="651"/>
      <c r="L31" s="427"/>
    </row>
    <row r="32" spans="1:12" ht="14.25">
      <c r="A32" s="427"/>
      <c r="L32" s="427"/>
    </row>
    <row r="33" spans="1:12" ht="14.25">
      <c r="A33" s="427"/>
      <c r="B33" s="651" t="s">
        <v>695</v>
      </c>
      <c r="C33" s="651"/>
      <c r="D33" s="651"/>
      <c r="E33" s="651"/>
      <c r="F33" s="651"/>
      <c r="G33" s="651"/>
      <c r="H33" s="651"/>
      <c r="I33" s="651"/>
      <c r="J33" s="651"/>
      <c r="K33" s="651"/>
      <c r="L33" s="427"/>
    </row>
    <row r="34" spans="1:12" ht="14.25">
      <c r="A34" s="427"/>
      <c r="L34" s="427"/>
    </row>
    <row r="35" spans="1:12" ht="89.25" customHeight="1">
      <c r="A35" s="427"/>
      <c r="B35" s="652" t="s">
        <v>696</v>
      </c>
      <c r="C35" s="655"/>
      <c r="D35" s="655"/>
      <c r="E35" s="655"/>
      <c r="F35" s="655"/>
      <c r="G35" s="655"/>
      <c r="H35" s="655"/>
      <c r="I35" s="655"/>
      <c r="J35" s="655"/>
      <c r="K35" s="655"/>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56">
        <v>3120000</v>
      </c>
      <c r="D41" s="656"/>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46">
        <v>133685008</v>
      </c>
      <c r="C48" s="646"/>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57" t="s">
        <v>704</v>
      </c>
      <c r="H50" s="658"/>
      <c r="I50" s="439" t="s">
        <v>690</v>
      </c>
      <c r="J50" s="449">
        <f>B50/F50</f>
        <v>52.8690023342034</v>
      </c>
      <c r="K50" s="441"/>
      <c r="L50" s="427"/>
    </row>
    <row r="51" spans="1:15" ht="15" thickBot="1">
      <c r="A51" s="427"/>
      <c r="B51" s="442"/>
      <c r="C51" s="443"/>
      <c r="D51" s="443"/>
      <c r="E51" s="443"/>
      <c r="F51" s="443"/>
      <c r="G51" s="443"/>
      <c r="H51" s="443"/>
      <c r="I51" s="659" t="s">
        <v>705</v>
      </c>
      <c r="J51" s="659"/>
      <c r="K51" s="660"/>
      <c r="L51" s="427"/>
      <c r="O51" s="450"/>
    </row>
    <row r="52" spans="1:12" ht="40.5" customHeight="1">
      <c r="A52" s="427"/>
      <c r="B52" s="654" t="s">
        <v>680</v>
      </c>
      <c r="C52" s="654"/>
      <c r="D52" s="654"/>
      <c r="E52" s="654"/>
      <c r="F52" s="654"/>
      <c r="G52" s="654"/>
      <c r="H52" s="654"/>
      <c r="I52" s="654"/>
      <c r="J52" s="654"/>
      <c r="K52" s="654"/>
      <c r="L52" s="427"/>
    </row>
    <row r="53" spans="1:12" ht="14.25">
      <c r="A53" s="427"/>
      <c r="B53" s="651" t="s">
        <v>706</v>
      </c>
      <c r="C53" s="651"/>
      <c r="D53" s="651"/>
      <c r="E53" s="651"/>
      <c r="F53" s="651"/>
      <c r="G53" s="651"/>
      <c r="H53" s="651"/>
      <c r="I53" s="651"/>
      <c r="J53" s="651"/>
      <c r="K53" s="651"/>
      <c r="L53" s="427"/>
    </row>
    <row r="54" spans="1:12" ht="14.25">
      <c r="A54" s="427"/>
      <c r="B54" s="430"/>
      <c r="C54" s="430"/>
      <c r="D54" s="430"/>
      <c r="E54" s="430"/>
      <c r="F54" s="430"/>
      <c r="G54" s="430"/>
      <c r="H54" s="430"/>
      <c r="I54" s="430"/>
      <c r="J54" s="430"/>
      <c r="K54" s="430"/>
      <c r="L54" s="427"/>
    </row>
    <row r="55" spans="1:12" ht="14.25">
      <c r="A55" s="427"/>
      <c r="B55" s="647" t="s">
        <v>707</v>
      </c>
      <c r="C55" s="647"/>
      <c r="D55" s="647"/>
      <c r="E55" s="647"/>
      <c r="F55" s="647"/>
      <c r="G55" s="647"/>
      <c r="H55" s="647"/>
      <c r="I55" s="647"/>
      <c r="J55" s="647"/>
      <c r="K55" s="647"/>
      <c r="L55" s="427"/>
    </row>
    <row r="56" spans="1:12" ht="15" customHeight="1">
      <c r="A56" s="427"/>
      <c r="L56" s="427"/>
    </row>
    <row r="57" spans="1:24" ht="74.25" customHeight="1">
      <c r="A57" s="427"/>
      <c r="B57" s="652" t="s">
        <v>708</v>
      </c>
      <c r="C57" s="655"/>
      <c r="D57" s="655"/>
      <c r="E57" s="655"/>
      <c r="F57" s="655"/>
      <c r="G57" s="655"/>
      <c r="H57" s="655"/>
      <c r="I57" s="655"/>
      <c r="J57" s="655"/>
      <c r="K57" s="655"/>
      <c r="L57" s="427"/>
      <c r="M57" s="451"/>
      <c r="N57" s="452"/>
      <c r="O57" s="452"/>
      <c r="P57" s="452"/>
      <c r="Q57" s="452"/>
      <c r="R57" s="452"/>
      <c r="S57" s="452"/>
      <c r="T57" s="452"/>
      <c r="U57" s="452"/>
      <c r="V57" s="452"/>
      <c r="W57" s="452"/>
      <c r="X57" s="452"/>
    </row>
    <row r="58" spans="1:24" ht="15" customHeight="1">
      <c r="A58" s="427"/>
      <c r="B58" s="652"/>
      <c r="C58" s="655"/>
      <c r="D58" s="655"/>
      <c r="E58" s="655"/>
      <c r="F58" s="655"/>
      <c r="G58" s="655"/>
      <c r="H58" s="655"/>
      <c r="I58" s="655"/>
      <c r="J58" s="655"/>
      <c r="K58" s="655"/>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46">
        <v>133685008</v>
      </c>
      <c r="D74" s="646"/>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46">
        <v>5000</v>
      </c>
      <c r="D77" s="646"/>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46">
        <v>100000</v>
      </c>
      <c r="D80" s="646"/>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61">
        <f>H80</f>
        <v>11500</v>
      </c>
      <c r="D83" s="661"/>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54" t="s">
        <v>680</v>
      </c>
      <c r="C85" s="654"/>
      <c r="D85" s="654"/>
      <c r="E85" s="654"/>
      <c r="F85" s="654"/>
      <c r="G85" s="654"/>
      <c r="H85" s="654"/>
      <c r="I85" s="654"/>
      <c r="J85" s="654"/>
      <c r="K85" s="654"/>
      <c r="L85" s="427"/>
    </row>
    <row r="86" spans="1:12" ht="14.25">
      <c r="A86" s="427"/>
      <c r="B86" s="647" t="s">
        <v>728</v>
      </c>
      <c r="C86" s="647"/>
      <c r="D86" s="647"/>
      <c r="E86" s="647"/>
      <c r="F86" s="647"/>
      <c r="G86" s="647"/>
      <c r="H86" s="647"/>
      <c r="I86" s="647"/>
      <c r="J86" s="647"/>
      <c r="K86" s="647"/>
      <c r="L86" s="427"/>
    </row>
    <row r="87" spans="1:12" ht="14.25">
      <c r="A87" s="427"/>
      <c r="B87" s="466"/>
      <c r="C87" s="466"/>
      <c r="D87" s="466"/>
      <c r="E87" s="466"/>
      <c r="F87" s="466"/>
      <c r="G87" s="466"/>
      <c r="H87" s="466"/>
      <c r="I87" s="466"/>
      <c r="J87" s="466"/>
      <c r="K87" s="466"/>
      <c r="L87" s="427"/>
    </row>
    <row r="88" spans="1:12" ht="14.25">
      <c r="A88" s="427"/>
      <c r="B88" s="647" t="s">
        <v>729</v>
      </c>
      <c r="C88" s="647"/>
      <c r="D88" s="647"/>
      <c r="E88" s="647"/>
      <c r="F88" s="647"/>
      <c r="G88" s="647"/>
      <c r="H88" s="647"/>
      <c r="I88" s="647"/>
      <c r="J88" s="647"/>
      <c r="K88" s="647"/>
      <c r="L88" s="427"/>
    </row>
    <row r="89" spans="1:12" ht="14.25">
      <c r="A89" s="427"/>
      <c r="B89" s="467"/>
      <c r="C89" s="467"/>
      <c r="D89" s="467"/>
      <c r="E89" s="467"/>
      <c r="F89" s="467"/>
      <c r="G89" s="467"/>
      <c r="H89" s="467"/>
      <c r="I89" s="467"/>
      <c r="J89" s="467"/>
      <c r="K89" s="467"/>
      <c r="L89" s="427"/>
    </row>
    <row r="90" spans="1:12" ht="45" customHeight="1">
      <c r="A90" s="427"/>
      <c r="B90" s="652" t="s">
        <v>730</v>
      </c>
      <c r="C90" s="652"/>
      <c r="D90" s="652"/>
      <c r="E90" s="652"/>
      <c r="F90" s="652"/>
      <c r="G90" s="652"/>
      <c r="H90" s="652"/>
      <c r="I90" s="652"/>
      <c r="J90" s="652"/>
      <c r="K90" s="652"/>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46">
        <v>133685008</v>
      </c>
      <c r="D94" s="646"/>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46">
        <v>50000</v>
      </c>
      <c r="D97" s="646"/>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46">
        <v>2500000</v>
      </c>
      <c r="D100" s="646"/>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61">
        <f>H100</f>
        <v>750000</v>
      </c>
      <c r="D103" s="661"/>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54" t="s">
        <v>680</v>
      </c>
      <c r="C105" s="662"/>
      <c r="D105" s="662"/>
      <c r="E105" s="662"/>
      <c r="F105" s="662"/>
      <c r="G105" s="662"/>
      <c r="H105" s="662"/>
      <c r="I105" s="662"/>
      <c r="J105" s="662"/>
      <c r="K105" s="662"/>
      <c r="L105" s="427"/>
    </row>
    <row r="106" spans="1:12" ht="15" customHeight="1">
      <c r="A106" s="427"/>
      <c r="B106" s="663" t="s">
        <v>732</v>
      </c>
      <c r="C106" s="648"/>
      <c r="D106" s="648"/>
      <c r="E106" s="648"/>
      <c r="F106" s="648"/>
      <c r="G106" s="648"/>
      <c r="H106" s="648"/>
      <c r="I106" s="648"/>
      <c r="J106" s="648"/>
      <c r="K106" s="648"/>
      <c r="L106" s="427"/>
    </row>
    <row r="107" spans="1:12" ht="15" customHeight="1">
      <c r="A107" s="427"/>
      <c r="B107" s="472"/>
      <c r="C107" s="480"/>
      <c r="D107" s="480"/>
      <c r="E107" s="439"/>
      <c r="F107" s="449"/>
      <c r="G107" s="439"/>
      <c r="H107" s="439"/>
      <c r="I107" s="439"/>
      <c r="J107" s="461"/>
      <c r="K107" s="472"/>
      <c r="L107" s="427"/>
    </row>
    <row r="108" spans="1:12" ht="15" customHeight="1">
      <c r="A108" s="427"/>
      <c r="B108" s="663" t="s">
        <v>733</v>
      </c>
      <c r="C108" s="664"/>
      <c r="D108" s="664"/>
      <c r="E108" s="664"/>
      <c r="F108" s="664"/>
      <c r="G108" s="664"/>
      <c r="H108" s="664"/>
      <c r="I108" s="664"/>
      <c r="J108" s="664"/>
      <c r="K108" s="664"/>
      <c r="L108" s="427"/>
    </row>
    <row r="109" spans="1:12" ht="15" customHeight="1">
      <c r="A109" s="427"/>
      <c r="B109" s="472"/>
      <c r="C109" s="480"/>
      <c r="D109" s="480"/>
      <c r="E109" s="439"/>
      <c r="F109" s="449"/>
      <c r="G109" s="439"/>
      <c r="H109" s="439"/>
      <c r="I109" s="439"/>
      <c r="J109" s="461"/>
      <c r="K109" s="472"/>
      <c r="L109" s="427"/>
    </row>
    <row r="110" spans="1:12" ht="59.25" customHeight="1">
      <c r="A110" s="427"/>
      <c r="B110" s="667" t="s">
        <v>734</v>
      </c>
      <c r="C110" s="655"/>
      <c r="D110" s="655"/>
      <c r="E110" s="655"/>
      <c r="F110" s="655"/>
      <c r="G110" s="655"/>
      <c r="H110" s="655"/>
      <c r="I110" s="655"/>
      <c r="J110" s="655"/>
      <c r="K110" s="655"/>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46">
        <v>133685008</v>
      </c>
      <c r="D114" s="646"/>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46">
        <v>50000</v>
      </c>
      <c r="D117" s="646"/>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46">
        <v>2500000</v>
      </c>
      <c r="D120" s="646"/>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61">
        <f>H120</f>
        <v>625000</v>
      </c>
      <c r="D123" s="661"/>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54" t="s">
        <v>680</v>
      </c>
      <c r="C125" s="654"/>
      <c r="D125" s="654"/>
      <c r="E125" s="654"/>
      <c r="F125" s="654"/>
      <c r="G125" s="654"/>
      <c r="H125" s="654"/>
      <c r="I125" s="654"/>
      <c r="J125" s="654"/>
      <c r="K125" s="654"/>
      <c r="L125" s="481"/>
    </row>
    <row r="126" spans="1:12" ht="14.25">
      <c r="A126" s="427"/>
      <c r="B126" s="647" t="s">
        <v>735</v>
      </c>
      <c r="C126" s="647"/>
      <c r="D126" s="647"/>
      <c r="E126" s="647"/>
      <c r="F126" s="647"/>
      <c r="G126" s="647"/>
      <c r="H126" s="647"/>
      <c r="I126" s="647"/>
      <c r="J126" s="647"/>
      <c r="K126" s="647"/>
      <c r="L126" s="481"/>
    </row>
    <row r="127" spans="1:12" ht="14.25">
      <c r="A127" s="427"/>
      <c r="B127" s="430"/>
      <c r="C127" s="430"/>
      <c r="D127" s="430"/>
      <c r="E127" s="430"/>
      <c r="F127" s="430"/>
      <c r="G127" s="430"/>
      <c r="H127" s="430"/>
      <c r="I127" s="430"/>
      <c r="J127" s="430"/>
      <c r="K127" s="430"/>
      <c r="L127" s="481"/>
    </row>
    <row r="128" spans="1:12" ht="14.25">
      <c r="A128" s="427"/>
      <c r="B128" s="647" t="s">
        <v>736</v>
      </c>
      <c r="C128" s="647"/>
      <c r="D128" s="647"/>
      <c r="E128" s="647"/>
      <c r="F128" s="647"/>
      <c r="G128" s="647"/>
      <c r="H128" s="647"/>
      <c r="I128" s="647"/>
      <c r="J128" s="647"/>
      <c r="K128" s="647"/>
      <c r="L128" s="481"/>
    </row>
    <row r="129" spans="1:12" ht="14.25">
      <c r="A129" s="427"/>
      <c r="B129" s="467"/>
      <c r="C129" s="467"/>
      <c r="D129" s="467"/>
      <c r="E129" s="467"/>
      <c r="F129" s="467"/>
      <c r="G129" s="467"/>
      <c r="H129" s="467"/>
      <c r="I129" s="467"/>
      <c r="J129" s="467"/>
      <c r="K129" s="467"/>
      <c r="L129" s="481"/>
    </row>
    <row r="130" spans="1:12" ht="74.25" customHeight="1">
      <c r="A130" s="427"/>
      <c r="B130" s="652" t="s">
        <v>737</v>
      </c>
      <c r="C130" s="652"/>
      <c r="D130" s="652"/>
      <c r="E130" s="652"/>
      <c r="F130" s="652"/>
      <c r="G130" s="652"/>
      <c r="H130" s="652"/>
      <c r="I130" s="652"/>
      <c r="J130" s="652"/>
      <c r="K130" s="652"/>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675" t="s">
        <v>738</v>
      </c>
      <c r="D133" s="675"/>
      <c r="E133" s="438"/>
      <c r="F133" s="439" t="s">
        <v>739</v>
      </c>
      <c r="G133" s="438"/>
      <c r="H133" s="675" t="s">
        <v>724</v>
      </c>
      <c r="I133" s="675"/>
      <c r="J133" s="438"/>
      <c r="K133" s="441"/>
      <c r="L133" s="427"/>
    </row>
    <row r="134" spans="1:12" ht="14.25">
      <c r="A134" s="427"/>
      <c r="B134" s="447" t="s">
        <v>717</v>
      </c>
      <c r="C134" s="646">
        <v>100000</v>
      </c>
      <c r="D134" s="646"/>
      <c r="E134" s="439" t="s">
        <v>267</v>
      </c>
      <c r="F134" s="439">
        <v>0.115</v>
      </c>
      <c r="G134" s="439" t="s">
        <v>690</v>
      </c>
      <c r="H134" s="665">
        <f>C134*F134</f>
        <v>11500</v>
      </c>
      <c r="I134" s="665"/>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66" t="s">
        <v>724</v>
      </c>
      <c r="D136" s="666"/>
      <c r="E136" s="458"/>
      <c r="F136" s="459" t="s">
        <v>740</v>
      </c>
      <c r="G136" s="459"/>
      <c r="H136" s="458"/>
      <c r="I136" s="458"/>
      <c r="J136" s="458" t="s">
        <v>741</v>
      </c>
      <c r="K136" s="460"/>
      <c r="L136" s="427"/>
    </row>
    <row r="137" spans="1:12" ht="14.25">
      <c r="A137" s="427"/>
      <c r="B137" s="447" t="s">
        <v>720</v>
      </c>
      <c r="C137" s="665">
        <f>H134</f>
        <v>11500</v>
      </c>
      <c r="D137" s="665"/>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68" t="s">
        <v>744</v>
      </c>
      <c r="C144" s="669"/>
      <c r="D144" s="669"/>
      <c r="E144" s="669"/>
      <c r="F144" s="669"/>
      <c r="G144" s="669"/>
      <c r="H144" s="669"/>
      <c r="I144" s="669"/>
      <c r="J144" s="669"/>
      <c r="K144" s="670"/>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65" t="s">
        <v>745</v>
      </c>
      <c r="D147" s="665"/>
      <c r="E147" s="439"/>
      <c r="F147" s="499" t="s">
        <v>746</v>
      </c>
      <c r="G147" s="439"/>
      <c r="H147" s="439"/>
      <c r="I147" s="439"/>
      <c r="J147" s="671" t="s">
        <v>747</v>
      </c>
      <c r="K147" s="672"/>
      <c r="L147" s="427"/>
    </row>
    <row r="148" spans="1:12" ht="14.25">
      <c r="A148" s="427"/>
      <c r="B148" s="447"/>
      <c r="C148" s="673">
        <v>52.869</v>
      </c>
      <c r="D148" s="673"/>
      <c r="E148" s="439" t="s">
        <v>267</v>
      </c>
      <c r="F148" s="504">
        <v>133685008</v>
      </c>
      <c r="G148" s="505" t="s">
        <v>691</v>
      </c>
      <c r="H148" s="439">
        <v>1000</v>
      </c>
      <c r="I148" s="439" t="s">
        <v>690</v>
      </c>
      <c r="J148" s="665">
        <f>C148*(F148/1000)</f>
        <v>7067792.687952</v>
      </c>
      <c r="K148" s="674"/>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812</v>
      </c>
    </row>
    <row r="2" ht="15.75">
      <c r="A2" s="117" t="s">
        <v>813</v>
      </c>
    </row>
    <row r="3" ht="15.75">
      <c r="A3" s="117" t="s">
        <v>814</v>
      </c>
    </row>
    <row r="5" ht="15.75">
      <c r="A5" s="563" t="s">
        <v>809</v>
      </c>
    </row>
    <row r="6" ht="15.75">
      <c r="A6" s="557" t="s">
        <v>810</v>
      </c>
    </row>
    <row r="8" ht="15.75">
      <c r="A8" s="412" t="s">
        <v>756</v>
      </c>
    </row>
    <row r="9" ht="15.75">
      <c r="A9" s="557" t="s">
        <v>757</v>
      </c>
    </row>
    <row r="10" ht="15.75">
      <c r="A10" s="557" t="s">
        <v>758</v>
      </c>
    </row>
    <row r="11" ht="31.5">
      <c r="A11" s="556" t="s">
        <v>759</v>
      </c>
    </row>
    <row r="12" ht="15.75">
      <c r="A12" s="557" t="s">
        <v>760</v>
      </c>
    </row>
    <row r="13" ht="15.75">
      <c r="A13" s="557" t="s">
        <v>761</v>
      </c>
    </row>
    <row r="14" ht="15.75">
      <c r="A14" s="557" t="s">
        <v>762</v>
      </c>
    </row>
    <row r="15" ht="15.75">
      <c r="A15" s="557" t="s">
        <v>763</v>
      </c>
    </row>
    <row r="16" ht="15.75">
      <c r="A16" s="557" t="s">
        <v>764</v>
      </c>
    </row>
    <row r="17" ht="15.75">
      <c r="A17" s="557" t="s">
        <v>765</v>
      </c>
    </row>
    <row r="18" ht="15.75">
      <c r="A18" s="557" t="s">
        <v>766</v>
      </c>
    </row>
    <row r="19" ht="15.75">
      <c r="A19" s="557" t="s">
        <v>767</v>
      </c>
    </row>
    <row r="20" ht="15.75">
      <c r="A20" s="557" t="s">
        <v>768</v>
      </c>
    </row>
    <row r="21" ht="15.75">
      <c r="A21" s="557" t="s">
        <v>769</v>
      </c>
    </row>
    <row r="22" ht="15.75">
      <c r="A22" s="557" t="s">
        <v>770</v>
      </c>
    </row>
    <row r="23" ht="15.75">
      <c r="A23" s="557" t="s">
        <v>771</v>
      </c>
    </row>
    <row r="24" ht="15.75">
      <c r="A24" s="557" t="s">
        <v>772</v>
      </c>
    </row>
    <row r="25" ht="15.75">
      <c r="A25" s="557" t="s">
        <v>773</v>
      </c>
    </row>
    <row r="26" ht="15.75">
      <c r="A26" s="557" t="s">
        <v>774</v>
      </c>
    </row>
    <row r="27" ht="15.75">
      <c r="A27" s="557" t="s">
        <v>775</v>
      </c>
    </row>
    <row r="28" ht="15.75">
      <c r="A28" s="557" t="s">
        <v>776</v>
      </c>
    </row>
    <row r="29" ht="15.75">
      <c r="A29" s="557" t="s">
        <v>777</v>
      </c>
    </row>
    <row r="30" ht="15.75">
      <c r="A30" s="557" t="s">
        <v>778</v>
      </c>
    </row>
    <row r="31" ht="15.75">
      <c r="A31" s="117" t="s">
        <v>808</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401</v>
      </c>
      <c r="B2" s="583"/>
      <c r="C2" s="583"/>
      <c r="D2" s="583"/>
      <c r="E2" s="583"/>
      <c r="F2" s="583"/>
    </row>
    <row r="4" ht="15.75">
      <c r="D4" s="393"/>
    </row>
    <row r="5" spans="1:4" ht="15.75">
      <c r="A5" s="220" t="s">
        <v>396</v>
      </c>
      <c r="B5" s="394" t="s">
        <v>822</v>
      </c>
      <c r="C5" s="395"/>
      <c r="D5" s="220" t="s">
        <v>807</v>
      </c>
    </row>
    <row r="6" spans="1:4" ht="15.75">
      <c r="A6" s="220"/>
      <c r="B6" s="396"/>
      <c r="C6" s="397"/>
      <c r="D6" s="220" t="s">
        <v>806</v>
      </c>
    </row>
    <row r="7" spans="1:4" ht="15.75">
      <c r="A7" s="220" t="s">
        <v>397</v>
      </c>
      <c r="B7" s="394" t="s">
        <v>823</v>
      </c>
      <c r="C7" s="398"/>
      <c r="D7" s="220"/>
    </row>
    <row r="8" spans="1:4" ht="15.75">
      <c r="A8" s="220"/>
      <c r="B8" s="220"/>
      <c r="C8" s="220"/>
      <c r="D8" s="220"/>
    </row>
    <row r="9" spans="1:5" ht="15.75">
      <c r="A9" s="220" t="s">
        <v>398</v>
      </c>
      <c r="B9" s="399" t="s">
        <v>824</v>
      </c>
      <c r="C9" s="399"/>
      <c r="D9" s="399"/>
      <c r="E9" s="400"/>
    </row>
    <row r="10" spans="1:4" ht="15.75">
      <c r="A10" s="220"/>
      <c r="B10" s="220"/>
      <c r="C10" s="220"/>
      <c r="D10" s="220"/>
    </row>
    <row r="11" spans="1:4" ht="15.75">
      <c r="A11" s="220"/>
      <c r="B11" s="220"/>
      <c r="C11" s="220"/>
      <c r="D11" s="220"/>
    </row>
    <row r="12" spans="1:5" ht="15.75">
      <c r="A12" s="220" t="s">
        <v>399</v>
      </c>
      <c r="B12" s="399" t="s">
        <v>824</v>
      </c>
      <c r="C12" s="399"/>
      <c r="D12" s="399"/>
      <c r="E12" s="400"/>
    </row>
    <row r="15" spans="1:5" ht="15.75">
      <c r="A15" s="584" t="s">
        <v>402</v>
      </c>
      <c r="B15" s="584"/>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9"/>
  <sheetViews>
    <sheetView tabSelected="1" zoomScale="85" zoomScaleNormal="85" zoomScalePageLayoutView="0" workbookViewId="0" topLeftCell="A1">
      <selection activeCell="J9" sqref="J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85" t="s">
        <v>25</v>
      </c>
      <c r="B1" s="585"/>
      <c r="C1" s="585"/>
      <c r="D1" s="585"/>
      <c r="E1" s="585"/>
      <c r="F1" s="585"/>
      <c r="G1" s="66">
        <f>inputPrYr!D9</f>
        <v>2014</v>
      </c>
    </row>
    <row r="2" spans="2:6" s="66" customFormat="1" ht="15.75">
      <c r="B2" s="67"/>
      <c r="C2" s="67"/>
      <c r="D2" s="67"/>
      <c r="E2" s="67"/>
      <c r="F2" s="68"/>
    </row>
    <row r="3" spans="1:7" s="66" customFormat="1" ht="15.75">
      <c r="A3" s="589" t="str">
        <f>CONCATENATE("To the Clerk of ",inputPrYr!D4,", State of Kansas")</f>
        <v>To the Clerk of KINGMAN COUNTY, State of Kansas</v>
      </c>
      <c r="B3" s="590"/>
      <c r="C3" s="590"/>
      <c r="D3" s="590"/>
      <c r="E3" s="590"/>
      <c r="F3" s="590"/>
      <c r="G3" s="590"/>
    </row>
    <row r="4" spans="1:6" s="66" customFormat="1" ht="15.75">
      <c r="A4" s="70" t="s">
        <v>106</v>
      </c>
      <c r="B4" s="67"/>
      <c r="C4" s="67"/>
      <c r="D4" s="67"/>
      <c r="E4" s="67"/>
      <c r="F4" s="67"/>
    </row>
    <row r="5" s="66" customFormat="1" ht="15.75">
      <c r="C5" s="555" t="str">
        <f>inputPrYr!D3</f>
        <v>CHIKASKIA TOWNSHIP</v>
      </c>
    </row>
    <row r="6" spans="1:6" s="66" customFormat="1" ht="15.75">
      <c r="A6" s="594" t="s">
        <v>104</v>
      </c>
      <c r="B6" s="590"/>
      <c r="C6" s="590"/>
      <c r="D6" s="590"/>
      <c r="E6" s="590"/>
      <c r="F6" s="590"/>
    </row>
    <row r="7" spans="1:6" s="66" customFormat="1" ht="15.75" customHeight="1">
      <c r="A7" s="589" t="s">
        <v>105</v>
      </c>
      <c r="B7" s="595"/>
      <c r="C7" s="595"/>
      <c r="D7" s="595"/>
      <c r="E7" s="595"/>
      <c r="F7" s="595"/>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591" t="str">
        <f>CONCATENATE("",G1," Adopted Budget")</f>
        <v>2014 Adopted Budget</v>
      </c>
      <c r="E11" s="592"/>
      <c r="F11" s="593"/>
    </row>
    <row r="12" spans="1:6" s="66" customFormat="1" ht="15.75">
      <c r="A12" s="74"/>
      <c r="C12" s="72"/>
      <c r="D12" s="75" t="s">
        <v>255</v>
      </c>
      <c r="E12" s="586" t="str">
        <f>CONCATENATE("Amount of ",G1-1," Ad Valorem Tax")</f>
        <v>Amount of 2013 Ad Valorem Tax</v>
      </c>
      <c r="F12" s="76" t="s">
        <v>256</v>
      </c>
    </row>
    <row r="13" spans="3:6" s="66" customFormat="1" ht="15.75">
      <c r="C13" s="76" t="s">
        <v>257</v>
      </c>
      <c r="D13" s="529" t="s">
        <v>185</v>
      </c>
      <c r="E13" s="587"/>
      <c r="F13" s="78" t="s">
        <v>258</v>
      </c>
    </row>
    <row r="14" spans="1:6" s="66" customFormat="1" ht="15.75">
      <c r="A14" s="79" t="s">
        <v>259</v>
      </c>
      <c r="B14" s="80"/>
      <c r="C14" s="81" t="s">
        <v>260</v>
      </c>
      <c r="D14" s="530" t="s">
        <v>748</v>
      </c>
      <c r="E14" s="588"/>
      <c r="F14" s="81" t="s">
        <v>262</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815</v>
      </c>
      <c r="D17" s="73"/>
      <c r="E17" s="73"/>
      <c r="F17" s="86"/>
    </row>
    <row r="18" spans="1:6" s="66" customFormat="1" ht="15.75">
      <c r="A18" s="87" t="s">
        <v>95</v>
      </c>
      <c r="B18" s="83"/>
      <c r="C18" s="85" t="s">
        <v>815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11400</v>
      </c>
      <c r="E20" s="85">
        <f>IF(gen!$E$53&lt;&gt;0,gen!$E$53,0)</f>
        <v>10973.71</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125480</v>
      </c>
      <c r="E22" s="85">
        <f>IF(road!$E$48&lt;&gt;0,road!$E$48,"  ")</f>
        <v>83168.87</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8"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c r="H25" s="66" t="s">
        <v>255</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136880</v>
      </c>
      <c r="E37" s="102">
        <f>SUM(E20:E36)</f>
        <v>94142.57999999999</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96" t="s">
        <v>79</v>
      </c>
      <c r="C41" s="597"/>
      <c r="D41" s="109"/>
      <c r="F41" s="74" t="s">
        <v>268</v>
      </c>
    </row>
    <row r="42" spans="1:6" s="66" customFormat="1" ht="15.75">
      <c r="A42" s="82" t="str">
        <f>inputPrYr!D3</f>
        <v>CHIKASKIA TOWNSHIP</v>
      </c>
      <c r="B42" s="598"/>
      <c r="C42" s="599"/>
      <c r="D42" s="110"/>
      <c r="F42" s="74"/>
    </row>
    <row r="43" spans="1:6" s="66" customFormat="1" ht="15.75">
      <c r="A43" s="82" t="str">
        <f>inputPrYr!D6</f>
        <v>SPIVEY CITY</v>
      </c>
      <c r="B43" s="598"/>
      <c r="C43" s="606"/>
      <c r="D43" s="110"/>
      <c r="F43" s="74"/>
    </row>
    <row r="44" spans="1:6" s="66" customFormat="1" ht="15.75">
      <c r="A44" s="82">
        <f>inputPrYr!D7</f>
        <v>0</v>
      </c>
      <c r="B44" s="598"/>
      <c r="C44" s="606"/>
      <c r="D44" s="110"/>
      <c r="F44" s="74"/>
    </row>
    <row r="45" spans="1:6" s="66" customFormat="1" ht="15.75">
      <c r="A45" s="82" t="s">
        <v>191</v>
      </c>
      <c r="B45" s="604">
        <f>SUM(B42:C44)</f>
        <v>0</v>
      </c>
      <c r="C45" s="605"/>
      <c r="D45" s="110"/>
      <c r="F45" s="74"/>
    </row>
    <row r="46" spans="1:6" s="66" customFormat="1" ht="15.75">
      <c r="A46" s="111"/>
      <c r="B46" s="600" t="str">
        <f>CONCATENATE("Nov. 1, ",G1-1," Valuation")</f>
        <v>Nov. 1, 2013 Valuation</v>
      </c>
      <c r="C46" s="601"/>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02" t="s">
        <v>270</v>
      </c>
      <c r="E59" s="603"/>
      <c r="F59" s="60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4">
      <selection activeCell="J9" sqref="J9"/>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CHIKASKIA TOWNSHIP</v>
      </c>
      <c r="D1" s="66"/>
      <c r="E1" s="66"/>
      <c r="F1" s="66"/>
      <c r="G1" s="66"/>
      <c r="H1" s="66"/>
      <c r="I1" s="66"/>
      <c r="J1" s="66">
        <f>inputPrYr!D9</f>
        <v>2014</v>
      </c>
    </row>
    <row r="2" spans="1:10" ht="15.75">
      <c r="A2" s="66"/>
      <c r="B2" s="66"/>
      <c r="C2" s="66"/>
      <c r="D2" s="66"/>
      <c r="E2" s="66"/>
      <c r="F2" s="66"/>
      <c r="G2" s="66"/>
      <c r="H2" s="66"/>
      <c r="I2" s="66"/>
      <c r="J2" s="66"/>
    </row>
    <row r="3" spans="1:10" ht="15.75">
      <c r="A3" s="608" t="str">
        <f>CONCATENATE("Computation to Determine Limit for ",J1,"")</f>
        <v>Computation to Determine Limit for 2014</v>
      </c>
      <c r="B3" s="585"/>
      <c r="C3" s="585"/>
      <c r="D3" s="585"/>
      <c r="E3" s="585"/>
      <c r="F3" s="585"/>
      <c r="G3" s="585"/>
      <c r="H3" s="585"/>
      <c r="I3" s="585"/>
      <c r="J3" s="585"/>
    </row>
    <row r="4" spans="1:10" ht="15.75">
      <c r="A4" s="66"/>
      <c r="B4" s="66"/>
      <c r="C4" s="66"/>
      <c r="D4" s="66"/>
      <c r="E4" s="585"/>
      <c r="F4" s="585"/>
      <c r="G4" s="585"/>
      <c r="H4" s="65"/>
      <c r="I4" s="66"/>
      <c r="J4" s="268" t="s">
        <v>35</v>
      </c>
    </row>
    <row r="5" spans="1:10" ht="15.75">
      <c r="A5" s="269" t="s">
        <v>36</v>
      </c>
      <c r="B5" s="66" t="str">
        <f>CONCATENATE("Total Tax Levy Amount in ",J1-1,"")</f>
        <v>Total Tax Levy Amount in 2013</v>
      </c>
      <c r="C5" s="66"/>
      <c r="D5" s="66"/>
      <c r="E5" s="194"/>
      <c r="F5" s="194"/>
      <c r="G5" s="194"/>
      <c r="H5" s="270" t="s">
        <v>287</v>
      </c>
      <c r="I5" s="194" t="s">
        <v>274</v>
      </c>
      <c r="J5" s="271">
        <f>inputPrYr!E31</f>
        <v>81635</v>
      </c>
    </row>
    <row r="6" spans="1:10" ht="15.75">
      <c r="A6" s="269" t="s">
        <v>37</v>
      </c>
      <c r="B6" s="66" t="str">
        <f>CONCATENATE("Debt Service Levy in ",J1-1,"")</f>
        <v>Debt Service Levy in 2013</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81635</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287</v>
      </c>
      <c r="G11" s="247">
        <f>inputOth!E16</f>
        <v>1771</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287</v>
      </c>
      <c r="E14" s="247">
        <f>inputOth!E21</f>
        <v>101874</v>
      </c>
      <c r="F14" s="270"/>
      <c r="G14" s="194"/>
      <c r="H14" s="194"/>
      <c r="I14" s="274"/>
      <c r="J14" s="194"/>
    </row>
    <row r="15" spans="1:10" ht="15.75">
      <c r="A15" s="269"/>
      <c r="B15" s="66" t="s">
        <v>43</v>
      </c>
      <c r="C15" s="66" t="str">
        <f>CONCATENATE("Personal Property ",J1-2,"")</f>
        <v>Personal Property 2012</v>
      </c>
      <c r="D15" s="269" t="s">
        <v>38</v>
      </c>
      <c r="E15" s="273">
        <f>inputOth!E31</f>
        <v>45082</v>
      </c>
      <c r="F15" s="270"/>
      <c r="G15" s="274"/>
      <c r="H15" s="274"/>
      <c r="I15" s="194"/>
      <c r="J15" s="194"/>
    </row>
    <row r="16" spans="1:10" ht="15.75">
      <c r="A16" s="269"/>
      <c r="B16" s="66" t="s">
        <v>44</v>
      </c>
      <c r="C16" s="66" t="s">
        <v>63</v>
      </c>
      <c r="D16" s="66"/>
      <c r="E16" s="194"/>
      <c r="F16" s="194" t="s">
        <v>287</v>
      </c>
      <c r="G16" s="247">
        <f>IF(E14&gt;E15,E14-E15,0)</f>
        <v>56792</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287</v>
      </c>
      <c r="G18" s="247">
        <f>inputOth!E26</f>
        <v>0</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58563</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6081772</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6023209</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0.009722890240069703</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794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82429</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82429</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2014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85" zoomScaleNormal="85" zoomScalePageLayoutView="0" workbookViewId="0" topLeftCell="A1">
      <selection activeCell="J9" sqref="J9"/>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CHIKASKIA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603"/>
      <c r="D6" s="603"/>
      <c r="E6" s="603"/>
      <c r="F6" s="603"/>
      <c r="G6" s="603"/>
      <c r="H6" s="603"/>
      <c r="I6" s="603"/>
      <c r="J6" s="603"/>
      <c r="K6" s="603"/>
    </row>
    <row r="7" spans="1:11" ht="16.5">
      <c r="A7" s="66"/>
      <c r="B7" s="585"/>
      <c r="C7" s="610"/>
      <c r="D7" s="610"/>
      <c r="E7" s="610"/>
      <c r="F7" s="610"/>
      <c r="G7" s="610"/>
      <c r="H7" s="610"/>
      <c r="I7" s="610"/>
      <c r="J7" s="610"/>
      <c r="K7" s="610"/>
    </row>
    <row r="8" spans="1:11" ht="16.5">
      <c r="A8" s="66"/>
      <c r="B8" s="585"/>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2012</v>
      </c>
      <c r="E10" s="611" t="str">
        <f>CONCATENATE("Budget Tax Levy Rate for ",K1-1,"")</f>
        <v>Budget Tax Levy Rate for 2013</v>
      </c>
      <c r="F10" s="85"/>
      <c r="G10" s="591" t="str">
        <f>CONCATENATE("Allocation for Year ",K1,"")</f>
        <v>Allocation for Year 2014</v>
      </c>
      <c r="H10" s="613"/>
      <c r="I10" s="613"/>
      <c r="J10" s="613"/>
      <c r="K10" s="614"/>
    </row>
    <row r="11" spans="1:11" ht="15.75">
      <c r="A11" s="66"/>
      <c r="B11" s="236" t="str">
        <f>CONCATENATE("",K1-1," Budgeted Funds")</f>
        <v>2013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8605</v>
      </c>
      <c r="E12" s="239">
        <f>IF(inputOth!D37&gt;0,inputOth!D37,"  ")</f>
        <v>1.275</v>
      </c>
      <c r="F12" s="240"/>
      <c r="G12" s="92">
        <v>315.14</v>
      </c>
      <c r="H12" s="241"/>
      <c r="I12" s="92">
        <f>IF(inputPrYr!E20=0,0,I27-SUM(I13:I22))</f>
        <v>4.859999999999999</v>
      </c>
      <c r="J12" s="92">
        <v>105.77</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73030</v>
      </c>
      <c r="E14" s="239">
        <f>IF(inputOth!D39&gt;0,inputOth!D39,"  ")</f>
        <v>11.945</v>
      </c>
      <c r="F14" s="240"/>
      <c r="G14" s="92">
        <v>1553</v>
      </c>
      <c r="H14" s="241"/>
      <c r="I14" s="92">
        <f>IF(inputPrYr!$E$22=0,0,ROUND($D$14*$I$35,0))</f>
        <v>44</v>
      </c>
      <c r="J14" s="92">
        <v>566.25</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81635</v>
      </c>
      <c r="E23" s="244">
        <f>SUM(E12:E22)</f>
        <v>13.22</v>
      </c>
      <c r="F23" s="245"/>
      <c r="G23" s="243">
        <f t="shared" si="0"/>
        <v>1868.1399999999999</v>
      </c>
      <c r="H23" s="243"/>
      <c r="I23" s="243">
        <f t="shared" si="0"/>
        <v>48.86</v>
      </c>
      <c r="J23" s="243">
        <f t="shared" si="0"/>
        <v>672.02</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1867.81</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48.86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672.02</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0.022880014699577386</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0.0005985177926134624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0.00823200832976052</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CHIKASKIA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85" t="s">
        <v>123</v>
      </c>
      <c r="B5" s="585"/>
      <c r="C5" s="585"/>
      <c r="D5" s="585"/>
      <c r="E5" s="585"/>
      <c r="F5" s="585"/>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2012</v>
      </c>
      <c r="D9" s="260">
        <f>F1-1</f>
        <v>2013</v>
      </c>
      <c r="E9" s="260">
        <f>F1</f>
        <v>2014</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33893</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33893</v>
      </c>
      <c r="D27" s="267">
        <f>SUM(D10:D26)</f>
        <v>0</v>
      </c>
      <c r="E27" s="267">
        <f>SUM(E10:E26)</f>
        <v>0</v>
      </c>
      <c r="F27" s="196"/>
    </row>
    <row r="28" spans="1:6" ht="15.75">
      <c r="A28" s="196"/>
      <c r="B28" s="90" t="s">
        <v>646</v>
      </c>
      <c r="C28" s="66"/>
      <c r="D28" s="184"/>
      <c r="E28" s="184"/>
      <c r="F28" s="196"/>
    </row>
    <row r="29" spans="1:6" ht="15.75">
      <c r="A29" s="196"/>
      <c r="B29" s="90" t="s">
        <v>131</v>
      </c>
      <c r="C29" s="186">
        <f>C27</f>
        <v>33893</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2013-07-17T12:36:24Z</cp:lastPrinted>
  <dcterms:created xsi:type="dcterms:W3CDTF">1998-08-26T16:30:41Z</dcterms:created>
  <dcterms:modified xsi:type="dcterms:W3CDTF">2013-07-17T12:41:16Z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