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<sst xmlns="http://schemas.openxmlformats.org/spreadsheetml/2006/main" count="1380" uniqueCount="824">
  <si>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</si>
  <si>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</si>
  <si>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</si>
  <si>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</si>
  <si>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</si>
  <si>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</si>
  <si>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</si>
  <si>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</si>
  <si>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</si>
  <si>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</si>
  <si>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</si>
  <si>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</si>
  <si>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</si>
  <si>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</si>
  <si>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</si>
  <si>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</si>
  <si>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</si>
  <si>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</si>
  <si>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</si>
  <si>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</si>
  <si>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</si>
  <si>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</si>
  <si>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</si>
  <si>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</si>
  <si>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</si>
  <si>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</si>
  <si>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</si>
  <si>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</si>
  <si>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</si>
  <si>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</si>
  <si>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</si>
  <si>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</si>
  <si>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</si>
  <si>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</si>
  <si>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</si>
  <si>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</si>
  <si>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</si>
  <si>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</si>
  <si>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</si>
  <si>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</si>
  <si>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</si>
  <si>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</si>
  <si>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</si>
  <si>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</si>
  <si>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</si>
  <si>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</si>
  <si>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</si>
  <si>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</si>
  <si>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</si>
  <si>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</si>
  <si>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</si>
  <si>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</si>
  <si>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</si>
  <si>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</si>
  <si>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</si>
  <si>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</si>
  <si>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</si>
  <si>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</si>
  <si>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</si>
  <si>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</si>
  <si>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</si>
  <si>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</si>
  <si>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</si>
  <si>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</si>
  <si>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</si>
  <si>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</si>
  <si>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</si>
  <si>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</si>
  <si>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</si>
  <si>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</si>
  <si>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</si>
  <si>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</si>
  <si>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</si>
  <si>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</si>
  <si>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</si>
  <si>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</si>
  <si>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</si>
  <si>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</si>
  <si>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</si>
  <si>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</si>
  <si>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</si>
  <si>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</si>
  <si>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</si>
  <si>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</si>
  <si>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</si>
  <si>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</si>
  <si>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</si>
  <si>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</si>
  <si>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</si>
  <si>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</si>
  <si>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</si>
  <si>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</si>
  <si>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</si>
  <si>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</si>
  <si>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</si>
  <si>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</si>
  <si>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</si>
  <si>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</si>
  <si>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</si>
  <si>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</si>
  <si>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</si>
  <si>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</si>
  <si>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</si>
  <si>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</si>
  <si>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</si>
  <si>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</si>
  <si>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</si>
  <si>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</si>
  <si>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</si>
  <si>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</si>
  <si>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</si>
  <si>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</si>
  <si>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</si>
  <si>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</si>
  <si>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</si>
  <si>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</si>
  <si>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</si>
  <si>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</si>
  <si>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</si>
  <si>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</si>
  <si>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</si>
  <si>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</si>
  <si>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</si>
  <si>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</si>
  <si>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</si>
  <si>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</si>
  <si>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</si>
  <si>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</si>
  <si>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</si>
  <si>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</si>
  <si>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</si>
  <si>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</si>
  <si>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</si>
  <si>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</si>
  <si>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</si>
  <si>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</si>
  <si>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</si>
  <si>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</si>
  <si>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</si>
  <si>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</si>
  <si>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</si>
  <si>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</si>
  <si>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</si>
  <si>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</si>
  <si>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</si>
  <si>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</si>
  <si>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</si>
  <si>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</si>
  <si>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</si>
  <si>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</si>
  <si>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</si>
  <si>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</si>
  <si>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</si>
  <si>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</si>
  <si>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</si>
  <si>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</si>
  <si>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</si>
  <si>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</si>
  <si>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</si>
  <si>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</si>
  <si>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</si>
  <si>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</si>
  <si>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</si>
  <si>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</si>
  <si>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</si>
  <si>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</si>
  <si>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</si>
  <si>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</si>
  <si>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</si>
  <si>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</si>
  <si>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</si>
  <si>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</si>
  <si>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</si>
  <si>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</si>
  <si>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</si>
  <si>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</si>
  <si>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</si>
  <si>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</si>
  <si>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</si>
  <si>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</si>
  <si>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</si>
  <si>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</si>
  <si>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</si>
  <si>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</si>
  <si>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</si>
  <si>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</si>
  <si>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</si>
  <si>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</si>
  <si>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</si>
  <si>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</si>
  <si>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</si>
  <si>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</si>
  <si>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</si>
  <si>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</si>
  <si>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</si>
  <si>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</si>
  <si>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</si>
  <si>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</si>
  <si>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</si>
  <si>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</si>
  <si>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</si>
  <si>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</si>
  <si>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</si>
  <si>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</si>
  <si>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</si>
  <si>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</si>
  <si>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</si>
  <si>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</si>
  <si>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</si>
  <si>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</si>
  <si>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</si>
  <si>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</si>
  <si>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</si>
  <si>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</si>
  <si>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</si>
  <si>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</si>
  <si>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</si>
  <si>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</si>
  <si>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</si>
  <si>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</si>
  <si>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</si>
  <si>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</si>
  <si>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</si>
  <si>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</si>
  <si>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</si>
  <si>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</si>
  <si>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</si>
  <si>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</si>
  <si>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</si>
  <si>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</si>
  <si>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</si>
  <si>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</si>
  <si>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</si>
  <si>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</si>
  <si>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</si>
  <si>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</si>
  <si>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</si>
  <si>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</si>
  <si>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</si>
  <si>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</si>
  <si>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</si>
  <si>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</si>
  <si>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</si>
  <si>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</si>
  <si>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</si>
  <si>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</si>
  <si>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</si>
  <si>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</si>
  <si>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</si>
  <si>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</si>
  <si>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</si>
  <si>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</si>
  <si>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</si>
  <si>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</si>
  <si>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</si>
  <si>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</si>
  <si>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</si>
  <si>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</si>
  <si>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</si>
  <si>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</si>
  <si>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</si>
  <si>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</si>
  <si>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</si>
  <si>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</si>
  <si>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</si>
  <si>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</si>
  <si>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</si>
  <si>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</si>
  <si>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</si>
  <si>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</si>
  <si>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</si>
  <si>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</si>
  <si>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</si>
  <si>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</si>
  <si>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</si>
  <si>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</si>
  <si>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</si>
  <si>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</si>
  <si>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</si>
  <si>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</si>
  <si>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</si>
  <si>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</si>
  <si>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</si>
  <si>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</si>
  <si>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</si>
  <si>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</si>
  <si>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</si>
  <si>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</si>
  <si>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</si>
  <si>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</si>
  <si>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</si>
  <si>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</si>
  <si>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</si>
  <si>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</si>
  <si>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</si>
  <si>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</si>
  <si>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</si>
  <si>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</si>
  <si>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</si>
  <si>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</si>
  <si>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</si>
  <si>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</si>
  <si>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</si>
  <si>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</si>
  <si>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</si>
  <si>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</si>
  <si>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</si>
  <si>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</si>
  <si>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</si>
  <si>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</si>
  <si>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</si>
  <si>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</si>
  <si>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</si>
  <si>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</si>
  <si>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</si>
  <si>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</si>
  <si>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</si>
  <si>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</si>
  <si>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</si>
  <si>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</si>
  <si>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</si>
  <si>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</si>
  <si>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</si>
  <si>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</si>
  <si>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</si>
  <si>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</si>
  <si>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</si>
  <si>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</si>
  <si>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</si>
  <si>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</si>
  <si>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</si>
  <si>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</si>
  <si>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</si>
  <si>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</si>
  <si>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</si>
  <si>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</si>
  <si>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</si>
  <si>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</si>
  <si>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</si>
  <si>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</si>
  <si>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</si>
  <si>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</si>
  <si>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</si>
  <si>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</si>
  <si>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</si>
  <si>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</si>
  <si>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</si>
  <si>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</si>
  <si>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</si>
  <si>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</si>
  <si>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</si>
  <si>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</si>
  <si>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</si>
  <si>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</si>
  <si>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</si>
  <si>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</si>
  <si>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</si>
  <si>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</si>
  <si>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</si>
  <si>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</si>
  <si>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</si>
  <si>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</si>
  <si>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</si>
  <si>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</si>
  <si>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</si>
  <si>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</si>
  <si>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</si>
  <si>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</si>
  <si>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</si>
  <si>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</si>
  <si>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</si>
  <si>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</si>
  <si>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</si>
  <si>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</si>
  <si>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</si>
  <si>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</si>
  <si>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</si>
  <si>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</si>
  <si>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</si>
  <si>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</si>
  <si>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</si>
  <si>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</si>
  <si>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</si>
  <si>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</si>
  <si>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</si>
  <si>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</si>
  <si>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</si>
  <si>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</si>
  <si>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</si>
  <si>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</si>
  <si>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</si>
  <si>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</si>
  <si>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</si>
  <si>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</si>
  <si>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</si>
  <si>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</si>
  <si>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</si>
  <si>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</si>
  <si>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</si>
  <si>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</si>
  <si>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</si>
  <si>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</si>
  <si>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</si>
  <si>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</si>
  <si>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</si>
  <si>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</si>
  <si>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</si>
  <si>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</si>
  <si>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</si>
  <si>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</si>
  <si>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</si>
  <si>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</si>
  <si>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</si>
  <si>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</si>
  <si>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</si>
  <si>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</si>
  <si>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</si>
  <si>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</si>
  <si>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</si>
  <si>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</si>
  <si>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</si>
  <si>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</si>
  <si>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</si>
  <si>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</si>
  <si>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</si>
  <si>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</si>
  <si>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</si>
  <si>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</si>
  <si>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</si>
  <si>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</si>
  <si>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</si>
  <si>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</si>
  <si>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</si>
  <si>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</si>
  <si>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</si>
  <si>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</si>
  <si>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</si>
  <si>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</si>
  <si>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</si>
  <si>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</si>
  <si>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</si>
  <si>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</si>
  <si>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</si>
  <si>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</si>
  <si>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</si>
  <si>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</si>
  <si>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</si>
  <si>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</si>
  <si>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</si>
  <si>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</si>
  <si>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</si>
  <si>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</si>
  <si>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</si>
  <si>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</si>
  <si>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</si>
  <si>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</si>
  <si>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</si>
  <si>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</si>
  <si>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</si>
  <si>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</si>
  <si>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</si>
  <si>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</si>
  <si>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</si>
  <si>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</si>
  <si>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</si>
  <si>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</si>
  <si>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</si>
  <si>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</si>
  <si>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</si>
  <si>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</si>
  <si>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</si>
  <si>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</si>
  <si>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</si>
  <si>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</si>
  <si>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</si>
  <si>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</si>
  <si>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</si>
  <si>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</si>
  <si>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</si>
  <si>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</si>
  <si>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</si>
  <si>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</si>
  <si>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</si>
  <si>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</si>
  <si>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</si>
  <si>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</si>
  <si>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</si>
  <si>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</si>
  <si>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</si>
  <si>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</si>
  <si>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</si>
  <si>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</si>
  <si>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</si>
  <si>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</si>
  <si>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</si>
  <si>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</si>
  <si>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</si>
  <si>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</si>
  <si>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</si>
  <si>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</si>
  <si>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</si>
  <si>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</si>
  <si>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</si>
  <si>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</si>
  <si>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</si>
  <si>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</si>
  <si>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</si>
  <si>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</si>
  <si>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</si>
  <si>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</si>
  <si>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</si>
  <si>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</si>
  <si>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</si>
  <si>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</si>
  <si>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</si>
  <si>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</si>
  <si>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</si>
  <si>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</si>
  <si>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</si>
  <si>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</si>
  <si>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</si>
  <si>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</si>
  <si>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</si>
  <si>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</si>
  <si>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</si>
  <si>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</si>
  <si>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</si>
  <si>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</si>
  <si>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</si>
  <si>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</si>
  <si>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</si>
  <si>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</si>
  <si>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</si>
  <si>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</si>
  <si>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</si>
  <si>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</si>
  <si>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</si>
  <si>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</si>
  <si>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</si>
  <si>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</si>
  <si>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</si>
  <si>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</si>
  <si>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</si>
  <si>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</si>
  <si>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</si>
  <si>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</si>
  <si>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</si>
  <si>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</si>
  <si>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</si>
  <si>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</si>
  <si>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</si>
  <si>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</si>
  <si>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</si>
  <si>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</si>
  <si>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</si>
  <si>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</si>
  <si>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</si>
  <si>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</si>
  <si>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</si>
  <si>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</si>
  <si>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</si>
  <si>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</si>
  <si>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</si>
  <si>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</si>
  <si>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</si>
  <si>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</si>
  <si>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</si>
  <si>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</si>
  <si>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</si>
  <si>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</si>
  <si>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</si>
  <si>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</si>
  <si>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</si>
  <si>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</si>
  <si>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</si>
  <si>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</si>
  <si>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</si>
  <si>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</si>
  <si>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</si>
  <si>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</si>
  <si>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</si>
  <si>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</si>
  <si>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</si>
  <si>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</si>
  <si>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</si>
  <si>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</si>
  <si>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</si>
  <si>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</si>
  <si>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</si>
  <si>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</si>
  <si>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</si>
  <si>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</si>
  <si>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</si>
  <si>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</si>
  <si>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</si>
  <si>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</si>
  <si>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</si>
  <si>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</si>
  <si>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</si>
  <si>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</si>
  <si>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</si>
  <si>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</si>
  <si>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</si>
  <si>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</si>
  <si>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</si>
  <si>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</si>
  <si>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</si>
  <si>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</si>
  <si>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</si>
  <si>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</si>
  <si>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</si>
  <si>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</si>
  <si>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</si>
  <si>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</si>
  <si>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</si>
  <si>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</si>
  <si>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</si>
  <si>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</si>
  <si>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</si>
  <si>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</si>
  <si>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</si>
  <si>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</si>
  <si>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</si>
  <si>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</si>
  <si>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</si>
  <si>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</si>
  <si>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</si>
  <si>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</si>
  <si>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</si>
  <si>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</si>
  <si>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</si>
  <si>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</si>
  <si>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</si>
  <si>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</si>
  <si>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</si>
  <si>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</si>
  <si>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</si>
  <si>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</si>
  <si>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</si>
  <si>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</si>
  <si>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</si>
  <si>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</si>
  <si>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</si>
  <si>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</si>
  <si>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</si>
  <si>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</si>
  <si>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</si>
  <si>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</si>
  <si>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</si>
  <si>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</si>
  <si>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</si>
  <si>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</si>
  <si>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</si>
  <si>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</si>
  <si>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</si>
  <si>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</si>
  <si>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</si>
  <si>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</si>
  <si>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</si>
  <si>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</si>
  <si>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</si>
  <si>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</si>
  <si>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</si>
  <si>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</si>
  <si>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</si>
  <si>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</si>
  <si>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</si>
  <si>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</si>
  <si>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</si>
  <si>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</si>
  <si>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</si>
  <si>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</si>
  <si>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</si>
  <si>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</si>
  <si>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</si>
  <si>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</si>
  <si>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</si>
  <si>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</si>
  <si>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</si>
  <si>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</si>
  <si>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</si>
  <si>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</si>
  <si>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</si>
  <si>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</si>
  <si>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</si>
  <si>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</si>
  <si>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</si>
  <si>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</si>
  <si>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</si>
  <si>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</si>
  <si>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</si>
  <si>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</si>
  <si>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</si>
  <si>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</si>
  <si>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</si>
  <si>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</si>
  <si>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</si>
  <si>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</si>
  <si>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</si>
  <si>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</si>
  <si>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</si>
  <si>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</si>
  <si>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</si>
  <si>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</si>
  <si>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</si>
  <si>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</si>
  <si>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</si>
  <si>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</si>
  <si>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</si>
  <si>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</si>
  <si>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</si>
  <si>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</si>
  <si>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</si>
  <si>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</si>
  <si>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</si>
  <si>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</si>
  <si>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</si>
  <si>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</si>
  <si>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</si>
  <si>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</si>
  <si>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</si>
  <si>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</si>
  <si>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</si>
  <si>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</si>
  <si>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</si>
  <si>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</si>
  <si>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</si>
  <si>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</si>
  <si>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</si>
  <si>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</si>
  <si>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</si>
  <si>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</si>
  <si>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</si>
  <si>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</si>
  <si>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</si>
  <si>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</si>
  <si>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</si>
  <si>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</si>
  <si>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</si>
  <si>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</si>
  <si>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</si>
  <si>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</si>
  <si>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</si>
  <si>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</si>
  <si>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</si>
  <si>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</si>
  <si>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</si>
  <si>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</si>
  <si>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</si>
  <si>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</si>
  <si>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</si>
  <si>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</si>
  <si>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</si>
  <si>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</si>
  <si>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</si>
  <si>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</si>
  <si>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</si>
  <si>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</si>
  <si>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</si>
  <si>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</si>
  <si>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</si>
  <si>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</si>
  <si>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</si>
  <si>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</si>
  <si>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</si>
  <si>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</si>
  <si>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</si>
  <si>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</si>
  <si>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</si>
  <si>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</si>
  <si>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</si>
  <si>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</si>
  <si>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</si>
  <si>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</si>
  <si>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</si>
  <si>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</si>
  <si>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</si>
  <si>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</si>
  <si>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</si>
  <si>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</si>
  <si>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</si>
  <si>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</si>
  <si>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</si>
  <si>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</si>
  <si>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</si>
  <si>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</si>
  <si>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</si>
  <si>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</si>
  <si>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</si>
  <si>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</si>
  <si>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</si>
  <si>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</si>
  <si>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</si>
  <si>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</si>
  <si>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</si>
  <si>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</si>
  <si>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</si>
  <si>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</si>
  <si>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</si>
  <si>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</si>
  <si>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</si>
  <si>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</si>
  <si>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</si>
  <si>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</si>
  <si>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</si>
  <si>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</si>
  <si>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</si>
  <si>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</si>
  <si>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</si>
  <si>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</si>
  <si>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</si>
  <si>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</si>
  <si>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</si>
  <si>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</si>
  <si>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ALLEN TOWNSHIP</t>
  </si>
  <si>
    <t>Fire - Norwich Cy F.D.</t>
  </si>
  <si>
    <t>Fuel</t>
  </si>
  <si>
    <t>Mowing</t>
  </si>
  <si>
    <t>FEMA</t>
  </si>
  <si>
    <t>Fema payments</t>
  </si>
  <si>
    <t>Road maintenance</t>
  </si>
  <si>
    <t>August 27, 2013</t>
  </si>
  <si>
    <t>11:30 P.M.</t>
  </si>
  <si>
    <t>Redz, Norwich,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</si>
</sst>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B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ALLEN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A1">
      <selection activeCell="A20" sqref="A2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ALLEN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1015</v>
      </c>
      <c r="D6" s="418">
        <f>C51</f>
        <v>2117.3900000000012</v>
      </c>
      <c r="E6" s="32">
        <f>D51</f>
        <v>1462.3900000000012</v>
      </c>
    </row>
    <row r="7" spans="2:5" ht="15.75">
      <c r="B7" s="27" t="s">
        <v>124</v>
      </c>
      <c r="C7" s="418"/>
      <c r="D7" s="418"/>
      <c r="E7" s="33"/>
    </row>
    <row r="8" spans="2:5" ht="15.75">
      <c r="B8" s="27" t="s">
        <v>16</v>
      </c>
      <c r="C8" s="29">
        <v>9417</v>
      </c>
      <c r="D8" s="418">
        <f>inputPrYr!E16</f>
        <v>9127</v>
      </c>
      <c r="E8" s="33" t="s">
        <v>302</v>
      </c>
    </row>
    <row r="9" spans="2:5" ht="15.75">
      <c r="B9" s="27" t="s">
        <v>17</v>
      </c>
      <c r="C9" s="29">
        <v>40</v>
      </c>
      <c r="D9" s="29"/>
      <c r="E9" s="34"/>
    </row>
    <row r="10" spans="2:5" ht="15.75">
      <c r="B10" s="27" t="s">
        <v>18</v>
      </c>
      <c r="C10" s="29">
        <f>596.44-18</f>
        <v>578.44</v>
      </c>
      <c r="D10" s="29">
        <v>446</v>
      </c>
      <c r="E10" s="32">
        <f>mvalloc!G11</f>
        <v>464.7399999999998</v>
      </c>
    </row>
    <row r="11" spans="2:5" ht="15.75">
      <c r="B11" s="27" t="s">
        <v>19</v>
      </c>
      <c r="C11" s="29">
        <f>5.15+11.48+1.22</f>
        <v>17.85</v>
      </c>
      <c r="D11" s="29">
        <v>9</v>
      </c>
      <c r="E11" s="32">
        <f>mvalloc!I11</f>
        <v>10.89</v>
      </c>
    </row>
    <row r="12" spans="2:5" ht="15.75">
      <c r="B12" s="35" t="s">
        <v>72</v>
      </c>
      <c r="C12" s="29">
        <f>62.94+4.66+16.98+1.52</f>
        <v>86.1</v>
      </c>
      <c r="D12" s="29">
        <v>13</v>
      </c>
      <c r="E12" s="32">
        <f>mvalloc!J11</f>
        <v>115</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10139.390000000001</v>
      </c>
      <c r="D26" s="420">
        <f>SUM(D8:D24)</f>
        <v>9595</v>
      </c>
      <c r="E26" s="42">
        <f>SUM(E8:E24)</f>
        <v>590.6299999999998</v>
      </c>
    </row>
    <row r="27" spans="2:5" ht="15.75">
      <c r="B27" s="43" t="s">
        <v>24</v>
      </c>
      <c r="C27" s="420">
        <f>C26+C6</f>
        <v>11154.390000000001</v>
      </c>
      <c r="D27" s="420">
        <f>D26+D6</f>
        <v>11712.390000000001</v>
      </c>
      <c r="E27" s="42">
        <f>E26+E6</f>
        <v>2053.020000000001</v>
      </c>
    </row>
    <row r="28" spans="2:5" ht="15.75">
      <c r="B28" s="27" t="s">
        <v>25</v>
      </c>
      <c r="C28" s="418"/>
      <c r="D28" s="418"/>
      <c r="E28" s="32"/>
    </row>
    <row r="29" spans="2:5" ht="15.75">
      <c r="B29" s="37"/>
      <c r="C29" s="29"/>
      <c r="D29" s="29"/>
      <c r="E29" s="34"/>
    </row>
    <row r="30" spans="2:5" ht="15.75">
      <c r="B30" s="38" t="s">
        <v>105</v>
      </c>
      <c r="C30" s="29">
        <v>287</v>
      </c>
      <c r="D30" s="29">
        <v>600</v>
      </c>
      <c r="E30" s="34">
        <v>600</v>
      </c>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v>258</v>
      </c>
      <c r="E34" s="34">
        <v>244</v>
      </c>
    </row>
    <row r="35" spans="2:5" ht="15.75">
      <c r="B35" s="37" t="s">
        <v>130</v>
      </c>
      <c r="C35" s="29"/>
      <c r="D35" s="29"/>
      <c r="E35" s="34"/>
    </row>
    <row r="36" spans="2:5" ht="15.75">
      <c r="B36" s="38" t="s">
        <v>132</v>
      </c>
      <c r="C36" s="29"/>
      <c r="D36" s="29">
        <v>2261</v>
      </c>
      <c r="E36" s="34">
        <v>2261</v>
      </c>
    </row>
    <row r="37" spans="2:5" ht="15.75">
      <c r="B37" s="38" t="s">
        <v>810</v>
      </c>
      <c r="C37" s="29"/>
      <c r="D37" s="29">
        <v>100</v>
      </c>
      <c r="E37" s="34">
        <v>100</v>
      </c>
    </row>
    <row r="38" spans="2:5" ht="15.75">
      <c r="B38" s="37" t="s">
        <v>815</v>
      </c>
      <c r="C38" s="29">
        <v>7000</v>
      </c>
      <c r="D38" s="29">
        <v>7000</v>
      </c>
      <c r="E38" s="34">
        <v>7000</v>
      </c>
    </row>
    <row r="39" spans="2:5" ht="15.75">
      <c r="B39" s="38" t="s">
        <v>817</v>
      </c>
      <c r="C39" s="29">
        <v>1750</v>
      </c>
      <c r="D39" s="29"/>
      <c r="E39" s="34" t="s">
        <v>290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31</v>
      </c>
      <c r="E47" s="46">
        <f>nhood!E6</f>
        <v>45</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9037</v>
      </c>
      <c r="D50" s="412">
        <f>SUM(D29:D48)</f>
        <v>10250</v>
      </c>
      <c r="E50" s="47">
        <f>SUM(E29:E43,E45,E47:E48)</f>
        <v>10250</v>
      </c>
    </row>
    <row r="51" spans="2:5" ht="15.75">
      <c r="B51" s="27" t="s">
        <v>123</v>
      </c>
      <c r="C51" s="413">
        <f>C27-C50</f>
        <v>2117.3900000000012</v>
      </c>
      <c r="D51" s="413">
        <f>SUM(D27-D50)</f>
        <v>1462.3900000000012</v>
      </c>
      <c r="E51" s="33" t="s">
        <v>302</v>
      </c>
    </row>
    <row r="52" spans="2:6" ht="15.75">
      <c r="B52" s="48" t="str">
        <f>CONCATENATE("",E1-2,"/",E1-1," Budget Authority Amount:")</f>
        <v>2012/2013 Budget Authority Amount:</v>
      </c>
      <c r="C52" s="143">
        <v>10250</v>
      </c>
      <c r="D52" s="172">
        <f>inputPrYr!D16</f>
        <v>10250</v>
      </c>
      <c r="E52" s="33" t="s">
        <v>302</v>
      </c>
      <c r="F52" s="50"/>
    </row>
    <row r="53" spans="2:6" ht="15.75">
      <c r="B53" s="48"/>
      <c r="C53" s="609" t="s">
        <v>646</v>
      </c>
      <c r="D53" s="610"/>
      <c r="E53" s="34"/>
      <c r="F53" s="533">
        <f>IF(E50/0.95-E50&lt;E53,"Exceeds 5%","")</f>
      </c>
    </row>
    <row r="54" spans="2:5" ht="15.75">
      <c r="B54" s="436" t="str">
        <f>CONCATENATE(C72,"     ",D72)</f>
        <v>     </v>
      </c>
      <c r="C54" s="611">
        <v>4</v>
      </c>
      <c r="D54" s="612"/>
      <c r="E54" s="32">
        <f>E50+E53</f>
        <v>10250</v>
      </c>
    </row>
    <row r="55" spans="2:5" ht="15.75">
      <c r="B55" s="436" t="str">
        <f>CONCATENATE(C73,"     ",D73)</f>
        <v>     </v>
      </c>
      <c r="C55" s="60"/>
      <c r="D55" s="52" t="s">
        <v>28</v>
      </c>
      <c r="E55" s="46">
        <f>IF(E54-E27&gt;0,E54-E27,0)</f>
        <v>8196.98</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8196.98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ALLEN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A1">
      <selection activeCell="A20" sqref="A2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ALLEN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985</v>
      </c>
      <c r="D6" s="418">
        <f>C44</f>
        <v>7343.320000000007</v>
      </c>
      <c r="E6" s="32">
        <f>D44</f>
        <v>7010.320000000007</v>
      </c>
    </row>
    <row r="7" spans="2:5" ht="15.75">
      <c r="B7" s="27" t="s">
        <v>124</v>
      </c>
      <c r="C7" s="418"/>
      <c r="D7" s="418"/>
      <c r="E7" s="33"/>
    </row>
    <row r="8" spans="2:5" ht="15.75">
      <c r="B8" s="27" t="s">
        <v>16</v>
      </c>
      <c r="C8" s="29">
        <f>46807.98-430</f>
        <v>46377.98</v>
      </c>
      <c r="D8" s="418">
        <f>inputPrYr!E18</f>
        <v>48626</v>
      </c>
      <c r="E8" s="33" t="s">
        <v>302</v>
      </c>
    </row>
    <row r="9" spans="2:5" ht="15.75">
      <c r="B9" s="27" t="s">
        <v>17</v>
      </c>
      <c r="C9" s="29">
        <v>196</v>
      </c>
      <c r="D9" s="29"/>
      <c r="E9" s="34"/>
    </row>
    <row r="10" spans="2:5" ht="15.75">
      <c r="B10" s="27" t="s">
        <v>18</v>
      </c>
      <c r="C10" s="29">
        <f>3314.81-98</f>
        <v>3216.81</v>
      </c>
      <c r="D10" s="29">
        <v>2198</v>
      </c>
      <c r="E10" s="32">
        <f>mvalloc!G13</f>
        <v>2476</v>
      </c>
    </row>
    <row r="11" spans="2:5" ht="15.75">
      <c r="B11" s="27" t="s">
        <v>19</v>
      </c>
      <c r="C11" s="29">
        <f>25.72+65.23+6.92</f>
        <v>97.87</v>
      </c>
      <c r="D11" s="29">
        <v>47</v>
      </c>
      <c r="E11" s="32">
        <f>mvalloc!I13</f>
        <v>61</v>
      </c>
    </row>
    <row r="12" spans="2:5" ht="15.75">
      <c r="B12" s="27" t="s">
        <v>103</v>
      </c>
      <c r="C12" s="29">
        <f>314.07+23.25+84.75+7.59</f>
        <v>429.65999999999997</v>
      </c>
      <c r="D12" s="29">
        <v>69</v>
      </c>
      <c r="E12" s="32">
        <f>mvalloc!J13</f>
        <v>566</v>
      </c>
    </row>
    <row r="13" spans="2:5" ht="15.75">
      <c r="B13" s="27" t="s">
        <v>167</v>
      </c>
      <c r="C13" s="29"/>
      <c r="D13" s="29"/>
      <c r="E13" s="32">
        <f>mvalloc!K13</f>
        <v>0</v>
      </c>
    </row>
    <row r="14" spans="2:5" ht="15.75">
      <c r="B14" s="27" t="s">
        <v>104</v>
      </c>
      <c r="C14" s="29">
        <v>2545</v>
      </c>
      <c r="D14" s="29">
        <v>2450</v>
      </c>
      <c r="E14" s="32">
        <f>inputOth!E36</f>
        <v>2490</v>
      </c>
    </row>
    <row r="15" spans="2:5" ht="15.75">
      <c r="B15" s="38"/>
      <c r="C15" s="29" t="s">
        <v>290</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52863.32000000001</v>
      </c>
      <c r="D23" s="420">
        <f>SUM(D8:D21)</f>
        <v>53390</v>
      </c>
      <c r="E23" s="42">
        <f>SUM(E8:E21)</f>
        <v>5593</v>
      </c>
    </row>
    <row r="24" spans="2:5" ht="15.75">
      <c r="B24" s="43" t="s">
        <v>24</v>
      </c>
      <c r="C24" s="420">
        <f>C23+C6</f>
        <v>53848.32000000001</v>
      </c>
      <c r="D24" s="420">
        <f>D23+D6</f>
        <v>60733.32000000001</v>
      </c>
      <c r="E24" s="42">
        <f>E23+E6</f>
        <v>12603.320000000007</v>
      </c>
    </row>
    <row r="25" spans="2:5" ht="15.75">
      <c r="B25" s="27" t="s">
        <v>25</v>
      </c>
      <c r="C25" s="418"/>
      <c r="D25" s="418"/>
      <c r="E25" s="32"/>
    </row>
    <row r="26" spans="2:5" ht="15.75">
      <c r="B26" s="38" t="s">
        <v>105</v>
      </c>
      <c r="C26" s="29">
        <v>642</v>
      </c>
      <c r="D26" s="29">
        <v>1440</v>
      </c>
      <c r="E26" s="34">
        <v>1440</v>
      </c>
    </row>
    <row r="27" spans="2:5" ht="15.75">
      <c r="B27" s="38" t="s">
        <v>129</v>
      </c>
      <c r="C27" s="29">
        <v>4463</v>
      </c>
      <c r="D27" s="29">
        <v>8700</v>
      </c>
      <c r="E27" s="34">
        <v>8700</v>
      </c>
    </row>
    <row r="28" spans="2:5" ht="15.75">
      <c r="B28" s="37" t="s">
        <v>106</v>
      </c>
      <c r="C28" s="29">
        <v>387</v>
      </c>
      <c r="D28" s="29"/>
      <c r="E28" s="34"/>
    </row>
    <row r="29" spans="2:5" ht="15.75">
      <c r="B29" s="38" t="s">
        <v>131</v>
      </c>
      <c r="C29" s="29">
        <v>6059</v>
      </c>
      <c r="D29" s="29">
        <v>11004</v>
      </c>
      <c r="E29" s="34">
        <v>10905</v>
      </c>
    </row>
    <row r="30" spans="2:5" ht="15.75">
      <c r="B30" s="38" t="s">
        <v>109</v>
      </c>
      <c r="C30" s="29">
        <v>2248</v>
      </c>
      <c r="D30" s="29">
        <v>14658</v>
      </c>
      <c r="E30" s="34">
        <v>14658</v>
      </c>
    </row>
    <row r="31" spans="2:5" ht="15.75">
      <c r="B31" s="38" t="s">
        <v>107</v>
      </c>
      <c r="C31" s="29">
        <v>7119</v>
      </c>
      <c r="D31" s="29">
        <v>14097</v>
      </c>
      <c r="E31" s="34">
        <v>14097</v>
      </c>
    </row>
    <row r="32" spans="2:5" ht="15.75">
      <c r="B32" s="38" t="s">
        <v>132</v>
      </c>
      <c r="C32" s="29">
        <v>4800</v>
      </c>
      <c r="D32" s="29">
        <v>2500</v>
      </c>
      <c r="E32" s="34">
        <v>2500</v>
      </c>
    </row>
    <row r="33" spans="2:5" ht="15.75">
      <c r="B33" s="38" t="s">
        <v>811</v>
      </c>
      <c r="C33" s="29"/>
      <c r="D33" s="29"/>
      <c r="E33" s="34"/>
    </row>
    <row r="34" spans="2:5" ht="15.75">
      <c r="B34" s="37" t="s">
        <v>812</v>
      </c>
      <c r="C34" s="29">
        <v>7572</v>
      </c>
      <c r="D34" s="29"/>
      <c r="E34" s="34">
        <v>7682</v>
      </c>
    </row>
    <row r="35" spans="2:5" ht="15.75">
      <c r="B35" s="37" t="s">
        <v>816</v>
      </c>
      <c r="C35" s="29"/>
      <c r="D35" s="29">
        <v>1157</v>
      </c>
      <c r="E35" s="34">
        <v>1157</v>
      </c>
    </row>
    <row r="36" spans="2:5" ht="15.75">
      <c r="B36" s="38"/>
      <c r="C36" s="29"/>
      <c r="D36" s="29"/>
      <c r="E36" s="34"/>
    </row>
    <row r="37" spans="2:5" ht="15.75">
      <c r="B37" s="38"/>
      <c r="C37" s="29"/>
      <c r="D37" s="29"/>
      <c r="E37" s="34" t="s">
        <v>290</v>
      </c>
    </row>
    <row r="38" spans="2:5" ht="15.75">
      <c r="B38" s="27" t="s">
        <v>108</v>
      </c>
      <c r="C38" s="29">
        <v>13215</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167</v>
      </c>
      <c r="E40" s="46">
        <f>nhood!E8</f>
        <v>266</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46505</v>
      </c>
      <c r="D43" s="420">
        <f>SUM(D26:D38,D40:D41)</f>
        <v>53723</v>
      </c>
      <c r="E43" s="42">
        <f>SUM(E26:E38,E40:E41)</f>
        <v>61405</v>
      </c>
    </row>
    <row r="44" spans="2:5" ht="15.75">
      <c r="B44" s="27" t="s">
        <v>123</v>
      </c>
      <c r="C44" s="413">
        <f>C24-C43</f>
        <v>7343.320000000007</v>
      </c>
      <c r="D44" s="413">
        <f>D24-D43</f>
        <v>7010.320000000007</v>
      </c>
      <c r="E44" s="33" t="s">
        <v>302</v>
      </c>
    </row>
    <row r="45" spans="2:6" ht="15.75">
      <c r="B45" s="48" t="str">
        <f>CONCATENATE("",E1-2,"/",E1-1," Budget Authority Amount:")</f>
        <v>2012/2013 Budget Authority Amount:</v>
      </c>
      <c r="C45" s="143">
        <v>52115</v>
      </c>
      <c r="D45" s="172">
        <f>inputPrYr!D18</f>
        <v>53723</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61405</v>
      </c>
    </row>
    <row r="48" spans="2:5" ht="15.75">
      <c r="B48" s="436" t="str">
        <f>CONCATENATE(C75,"     ",D75)</f>
        <v>     </v>
      </c>
      <c r="C48" s="60"/>
      <c r="D48" s="52" t="s">
        <v>28</v>
      </c>
      <c r="E48" s="46">
        <f>IF(E47-E24&gt;0,E47-E24,0)</f>
        <v>48801.67999999999</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48801.67999999999</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29442</v>
      </c>
      <c r="D55" s="14"/>
      <c r="E55" s="14"/>
    </row>
    <row r="56" spans="2:5" ht="15.75">
      <c r="B56" s="83" t="s">
        <v>33</v>
      </c>
      <c r="C56" s="143"/>
      <c r="D56" s="14"/>
      <c r="E56" s="14"/>
    </row>
    <row r="57" spans="2:5" ht="15.75">
      <c r="B57" s="83" t="s">
        <v>34</v>
      </c>
      <c r="C57" s="439">
        <f>C38</f>
        <v>13215</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190</v>
      </c>
      <c r="D61" s="14"/>
      <c r="E61" s="14"/>
    </row>
    <row r="62" spans="2:5" ht="15.75">
      <c r="B62" s="87" t="s">
        <v>21</v>
      </c>
      <c r="C62" s="557"/>
      <c r="D62" s="14"/>
      <c r="E62" s="14"/>
    </row>
    <row r="63" spans="2:5" ht="15.75">
      <c r="B63" s="88" t="s">
        <v>24</v>
      </c>
      <c r="C63" s="143">
        <f>SUM(C55:C62)</f>
        <v>42847</v>
      </c>
      <c r="D63" s="14"/>
      <c r="E63" s="14"/>
    </row>
    <row r="64" spans="2:5" ht="15.75">
      <c r="B64" s="88" t="s">
        <v>26</v>
      </c>
      <c r="C64" s="557"/>
      <c r="D64" s="14"/>
      <c r="E64" s="14"/>
    </row>
    <row r="65" spans="2:5" ht="15.75">
      <c r="B65" s="88" t="s">
        <v>27</v>
      </c>
      <c r="C65" s="438">
        <f>SUM(C63-C64)</f>
        <v>42847</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B1">
      <selection activeCell="C66" sqref="C66"/>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ALLEN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t="str">
        <f>inputPrYr!B28</f>
        <v>FEMA</v>
      </c>
      <c r="C5" s="26" t="str">
        <f>gen!C5</f>
        <v>Actual 2012</v>
      </c>
      <c r="D5" s="26" t="str">
        <f>gen!D5</f>
        <v>Estimate 2013</v>
      </c>
      <c r="E5" s="26" t="str">
        <f>gen!E5</f>
        <v>Year 2014</v>
      </c>
    </row>
    <row r="6" spans="2:5" ht="15.75">
      <c r="B6" s="94" t="s">
        <v>148</v>
      </c>
      <c r="C6" s="34">
        <v>103477</v>
      </c>
      <c r="D6" s="32">
        <f>C29</f>
        <v>90809</v>
      </c>
      <c r="E6" s="32">
        <f>D29</f>
        <v>90809</v>
      </c>
    </row>
    <row r="7" spans="2:5" s="16" customFormat="1" ht="15.75">
      <c r="B7" s="95" t="s">
        <v>124</v>
      </c>
      <c r="C7" s="96"/>
      <c r="D7" s="96"/>
      <c r="E7" s="96"/>
    </row>
    <row r="8" spans="2:5" ht="15.75">
      <c r="B8" s="37" t="s">
        <v>819</v>
      </c>
      <c r="C8" s="34">
        <v>23998</v>
      </c>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23998</v>
      </c>
      <c r="D15" s="42">
        <f>SUM(D8:D13)</f>
        <v>0</v>
      </c>
      <c r="E15" s="42">
        <f>SUM(E8:E13)</f>
        <v>0</v>
      </c>
    </row>
    <row r="16" spans="2:5" ht="15.75">
      <c r="B16" s="43" t="s">
        <v>24</v>
      </c>
      <c r="C16" s="42">
        <f>C6+C15</f>
        <v>127475</v>
      </c>
      <c r="D16" s="42">
        <f>D6+D15</f>
        <v>90809</v>
      </c>
      <c r="E16" s="42">
        <f>E6+E15</f>
        <v>90809</v>
      </c>
    </row>
    <row r="17" spans="2:5" ht="15.75">
      <c r="B17" s="27" t="s">
        <v>25</v>
      </c>
      <c r="C17" s="32"/>
      <c r="D17" s="32"/>
      <c r="E17" s="32"/>
    </row>
    <row r="18" spans="2:5" ht="15.75">
      <c r="B18" s="37" t="s">
        <v>820</v>
      </c>
      <c r="C18" s="34">
        <v>36666</v>
      </c>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36666</v>
      </c>
      <c r="D28" s="42">
        <f>SUM(D18:D26)</f>
        <v>0</v>
      </c>
      <c r="E28" s="42">
        <f>SUM(E18:E26)</f>
        <v>0</v>
      </c>
    </row>
    <row r="29" spans="2:5" ht="15.75">
      <c r="B29" s="27" t="s">
        <v>123</v>
      </c>
      <c r="C29" s="46">
        <f>C16-C28</f>
        <v>90809</v>
      </c>
      <c r="D29" s="46">
        <f>D16-D28</f>
        <v>90809</v>
      </c>
      <c r="E29" s="46">
        <f>E16-E28</f>
        <v>90809</v>
      </c>
    </row>
    <row r="30" spans="2:5" ht="15.75">
      <c r="B30" s="48" t="str">
        <f>CONCATENATE("",E1-2,"/",E1-1," Budget Authority Amount:")</f>
        <v>2012/2013 Budget Authority Amount:</v>
      </c>
      <c r="C30" s="143">
        <v>36667</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ALLEN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7">
      <selection activeCell="B29" sqref="B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10250</v>
      </c>
      <c r="E16" s="200">
        <v>9127</v>
      </c>
    </row>
    <row r="17" spans="1:5" ht="15.75">
      <c r="A17" s="14"/>
      <c r="B17" s="83" t="s">
        <v>312</v>
      </c>
      <c r="C17" s="172" t="s">
        <v>157</v>
      </c>
      <c r="D17" s="200"/>
      <c r="E17" s="200"/>
    </row>
    <row r="18" spans="1:5" ht="15.75">
      <c r="A18" s="14"/>
      <c r="B18" s="83" t="s">
        <v>287</v>
      </c>
      <c r="C18" s="192" t="s">
        <v>327</v>
      </c>
      <c r="D18" s="200">
        <v>53723</v>
      </c>
      <c r="E18" s="200">
        <v>48626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57753</v>
      </c>
    </row>
    <row r="26" spans="1:5" ht="15.75">
      <c r="A26" s="19"/>
      <c r="B26" s="19"/>
      <c r="C26" s="19"/>
      <c r="D26" s="24"/>
      <c r="E26" s="151"/>
    </row>
    <row r="27" spans="1:5" ht="15.75">
      <c r="A27" s="14" t="s">
        <v>146</v>
      </c>
      <c r="B27" s="14"/>
      <c r="C27" s="14"/>
      <c r="D27" s="14"/>
      <c r="E27" s="14"/>
    </row>
    <row r="28" spans="1:5" ht="15.75">
      <c r="A28" s="14"/>
      <c r="B28" s="241" t="s">
        <v>818</v>
      </c>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63973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6.18</v>
      </c>
      <c r="E41" s="14"/>
    </row>
    <row r="42" spans="1:5" ht="15.75">
      <c r="A42" s="14"/>
      <c r="B42" s="96" t="str">
        <f t="shared" si="0"/>
        <v>Debt Service</v>
      </c>
      <c r="C42" s="14"/>
      <c r="D42" s="348"/>
      <c r="E42" s="14"/>
    </row>
    <row r="43" spans="1:5" ht="15.75">
      <c r="A43" s="14"/>
      <c r="B43" s="96" t="str">
        <f t="shared" si="0"/>
        <v>Road</v>
      </c>
      <c r="C43" s="14"/>
      <c r="D43" s="348">
        <v>30.458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36.638</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56142</v>
      </c>
    </row>
    <row r="53" spans="1:5" ht="15.75">
      <c r="A53" s="353" t="str">
        <f>CONCATENATE("Assessed Valuation (",D5-2," budget column)")</f>
        <v>Assessed Valuation (2012 budget column)</v>
      </c>
      <c r="B53" s="354"/>
      <c r="C53" s="291"/>
      <c r="D53" s="28"/>
      <c r="E53" s="200">
        <v>1532361</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A20" sqref="A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ALLEN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27, 2013 at 11:30 P.M. at Redz, Norwich, KS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Redz, Norwich,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9037</v>
      </c>
      <c r="D17" s="549">
        <f>IF(inputPrYr!D41&gt;0,inputPrYr!D41,"  ")</f>
        <v>6.18</v>
      </c>
      <c r="E17" s="32">
        <f>IF(gen!$D$50&lt;&gt;0,gen!$D$50,"  ")</f>
        <v>10250</v>
      </c>
      <c r="F17" s="253">
        <f>IF(inputOth!D17&gt;0,inputOth!D17,"  ")</f>
        <v>5.79</v>
      </c>
      <c r="G17" s="32">
        <f>IF(gen!$E$50&lt;&gt;0,gen!$E$50,"  ")</f>
        <v>10250</v>
      </c>
      <c r="H17" s="32">
        <f>IF(gen!$E$57&lt;&gt;0,gen!$E$57," ")</f>
        <v>8196.98</v>
      </c>
      <c r="I17" s="551">
        <f>IF(gen!E57&gt;0,ROUND(H17/$G$35*1000,3)," ")</f>
        <v>5.269</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46505</v>
      </c>
      <c r="D19" s="549">
        <f>IF(inputPrYr!D43&gt;0,inputPrYr!D43,"  ")</f>
        <v>30.458</v>
      </c>
      <c r="E19" s="32">
        <f>IF(road!$D$43&lt;&gt;0,road!$D$43,"  ")</f>
        <v>53723</v>
      </c>
      <c r="F19" s="253">
        <f>IF(inputOth!D19&gt;0,inputOth!D19,"  ")</f>
        <v>30.848</v>
      </c>
      <c r="G19" s="32">
        <f>IF(road!$E$43&lt;&gt;0,road!$E$43,"  ")</f>
        <v>61405</v>
      </c>
      <c r="H19" s="32">
        <f>IF(road!$E$50&lt;&gt;0,road!$E$50,"  ")</f>
        <v>48801.67999999999</v>
      </c>
      <c r="I19" s="551">
        <f>IF(road!E50&gt;0,ROUND(H19/$G$35*1000,3)," ")</f>
        <v>31.369</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FEMA</v>
      </c>
      <c r="C26" s="32">
        <f>IF(FEMApage6!$C$28&lt;&gt;0,FEMApage6!$C$28,"  ")</f>
        <v>36666</v>
      </c>
      <c r="D26" s="168"/>
      <c r="E26" s="32" t="str">
        <f>IF(FEMApage6!$D$28&lt;&gt;0,FEMApage6!$D$28,"  ")</f>
        <v>  </v>
      </c>
      <c r="F26" s="253"/>
      <c r="G26" s="32" t="str">
        <f>IF(FEMApage6!$E$28&lt;&gt;0,FEMApage6!$E$28,"  ")</f>
        <v>  </v>
      </c>
      <c r="H26" s="32"/>
      <c r="I26" s="253"/>
    </row>
    <row r="27" spans="2:9"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92208</v>
      </c>
      <c r="D30" s="529">
        <f t="shared" si="0"/>
        <v>36.638</v>
      </c>
      <c r="E30" s="552">
        <f t="shared" si="0"/>
        <v>63973</v>
      </c>
      <c r="F30" s="529">
        <f t="shared" si="0"/>
        <v>36.638</v>
      </c>
      <c r="G30" s="552">
        <f t="shared" si="0"/>
        <v>71655</v>
      </c>
      <c r="H30" s="552">
        <f t="shared" si="0"/>
        <v>56998.65999999999</v>
      </c>
      <c r="I30" s="555">
        <f t="shared" si="0"/>
        <v>36.638</v>
      </c>
    </row>
    <row r="31" spans="2:9" ht="15.75">
      <c r="B31" s="83" t="s">
        <v>44</v>
      </c>
      <c r="C31" s="32">
        <f>transfer!C29</f>
        <v>13215</v>
      </c>
      <c r="D31" s="14"/>
      <c r="E31" s="32">
        <f>transfer!D29</f>
        <v>0</v>
      </c>
      <c r="F31" s="62"/>
      <c r="G31" s="32">
        <f>transfer!E29</f>
        <v>0</v>
      </c>
      <c r="H31" s="14"/>
      <c r="I31" s="14"/>
    </row>
    <row r="32" spans="2:9" ht="16.5" thickBot="1">
      <c r="B32" s="83" t="s">
        <v>45</v>
      </c>
      <c r="C32" s="553">
        <f>C30-C31</f>
        <v>78993</v>
      </c>
      <c r="D32" s="14"/>
      <c r="E32" s="553">
        <f>E30-E31</f>
        <v>63973</v>
      </c>
      <c r="F32" s="14"/>
      <c r="G32" s="553">
        <f>G30-G31</f>
        <v>71655</v>
      </c>
      <c r="H32" s="14"/>
      <c r="I32" s="14"/>
    </row>
    <row r="33" spans="2:9" ht="16.5" thickTop="1">
      <c r="B33" s="83" t="s">
        <v>46</v>
      </c>
      <c r="C33" s="554">
        <f>inputPrYr!E52</f>
        <v>56142</v>
      </c>
      <c r="D33" s="62"/>
      <c r="E33" s="554">
        <f>inputPrYr!E25</f>
        <v>57753</v>
      </c>
      <c r="F33" s="14"/>
      <c r="G33" s="545" t="s">
        <v>302</v>
      </c>
      <c r="H33" s="14"/>
      <c r="I33" s="14"/>
    </row>
    <row r="34" spans="2:9" ht="15.75">
      <c r="B34" s="279" t="s">
        <v>47</v>
      </c>
      <c r="C34" s="55"/>
      <c r="D34" s="62"/>
      <c r="E34" s="55"/>
      <c r="F34" s="62"/>
      <c r="G34" s="14"/>
      <c r="H34" s="14"/>
      <c r="I34" s="14"/>
    </row>
    <row r="35" spans="2:9" ht="15.75">
      <c r="B35" s="563" t="s">
        <v>48</v>
      </c>
      <c r="C35" s="31">
        <f>inputPrYr!E53</f>
        <v>1532361</v>
      </c>
      <c r="D35" s="14"/>
      <c r="E35" s="32">
        <f>inputOth!E28</f>
        <v>1576315</v>
      </c>
      <c r="F35" s="14"/>
      <c r="G35" s="32">
        <f>inputOth!E7</f>
        <v>1555718</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0" sqref="A2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ALLEN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8197</v>
      </c>
      <c r="D6" s="142">
        <f aca="true" t="shared" si="0" ref="D6:D14">IF(C6&gt;0,C6/$D$20,"")</f>
        <v>5.268949771102474</v>
      </c>
      <c r="E6" s="143">
        <f aca="true" t="shared" si="1" ref="E6:E14">IF(C6&gt;0,ROUND(D6*$D$24,0),"")</f>
        <v>45</v>
      </c>
      <c r="F6" s="140"/>
    </row>
    <row r="7" spans="1:6" ht="15.75">
      <c r="A7" s="14"/>
      <c r="B7" s="83" t="str">
        <f>inputPrYr!B17</f>
        <v>Debt Service</v>
      </c>
      <c r="C7" s="141"/>
      <c r="D7" s="142">
        <f t="shared" si="0"/>
      </c>
      <c r="E7" s="143">
        <f t="shared" si="1"/>
      </c>
      <c r="F7" s="140"/>
    </row>
    <row r="8" spans="1:6" ht="15.75">
      <c r="A8" s="14"/>
      <c r="B8" s="83" t="str">
        <f>inputPrYr!B18</f>
        <v>Road</v>
      </c>
      <c r="C8" s="141">
        <v>48802</v>
      </c>
      <c r="D8" s="142">
        <f t="shared" si="0"/>
        <v>31.36943842007356</v>
      </c>
      <c r="E8" s="143">
        <f t="shared" si="1"/>
        <v>266</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56999</v>
      </c>
      <c r="D15" s="146">
        <f>SUM(D6:D14)</f>
        <v>36.638388191176034</v>
      </c>
      <c r="E15" s="145">
        <f>SUM(E6:E14)</f>
        <v>311</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1555718</v>
      </c>
      <c r="E18" s="14"/>
      <c r="F18" s="140"/>
    </row>
    <row r="19" spans="1:6" ht="15.75">
      <c r="A19" s="14"/>
      <c r="B19" s="14"/>
      <c r="C19" s="14"/>
      <c r="D19" s="14"/>
      <c r="E19" s="14"/>
      <c r="F19" s="140"/>
    </row>
    <row r="20" spans="1:6" ht="15.75">
      <c r="A20" s="14"/>
      <c r="B20" s="629" t="s">
        <v>379</v>
      </c>
      <c r="C20" s="629"/>
      <c r="D20" s="148">
        <f>IF(D18&gt;0,(D18*0.001),"")</f>
        <v>1555.718</v>
      </c>
      <c r="E20" s="14"/>
      <c r="F20" s="140"/>
    </row>
    <row r="21" spans="1:6" ht="15.75">
      <c r="A21" s="14"/>
      <c r="B21" s="48"/>
      <c r="C21" s="48"/>
      <c r="D21" s="149"/>
      <c r="E21" s="14"/>
      <c r="F21" s="140"/>
    </row>
    <row r="22" spans="1:6" ht="15.75">
      <c r="A22" s="627" t="s">
        <v>381</v>
      </c>
      <c r="B22" s="582"/>
      <c r="C22" s="582"/>
      <c r="D22" s="150">
        <f>inputOth!E13</f>
        <v>8489</v>
      </c>
      <c r="E22" s="151"/>
      <c r="F22" s="151"/>
    </row>
    <row r="23" spans="1:6" ht="15.75">
      <c r="A23" s="151"/>
      <c r="B23" s="151"/>
      <c r="C23" s="151"/>
      <c r="D23" s="152"/>
      <c r="E23" s="151"/>
      <c r="F23" s="151"/>
    </row>
    <row r="24" spans="1:6" ht="15.75">
      <c r="A24" s="151"/>
      <c r="B24" s="627" t="s">
        <v>382</v>
      </c>
      <c r="C24" s="628"/>
      <c r="D24" s="153">
        <f>IF(D22&gt;0,(D22*0.001),"")</f>
        <v>8.489</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ALLEN TOWNSHIP </v>
      </c>
      <c r="I6">
        <f>CONCATENATE(I7)</f>
      </c>
    </row>
    <row r="7" spans="1:7" ht="15.75">
      <c r="A7" s="639" t="str">
        <f>CONCATENATE("   with respect to financing the ",inputPrYr!D5," annual budget for ",(inputPrYr!D2)," , ",(inputPrYr!D3)," , Kansas.")</f>
        <v>   with respect to financing the 2014 annual budget for ALLEN TOWNSHIP , KINGMAN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2014 ALLEN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ALLEN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ALLEN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ALLEN TOWNSHIP of KINGMAN COUNTY, Kansas that is our desire to notify the public of increased property taxes to finance the 2014 ALLEN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2013 by the ALLEN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ALLEN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ALLEN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1555718</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40495</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38117</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8489</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5.79</v>
      </c>
      <c r="E17" s="312"/>
    </row>
    <row r="18" spans="1:5" ht="15.75">
      <c r="A18" s="82" t="str">
        <f>inputPrYr!B17</f>
        <v>Debt Service</v>
      </c>
      <c r="B18" s="291"/>
      <c r="C18" s="19"/>
      <c r="D18" s="315"/>
      <c r="E18" s="312"/>
    </row>
    <row r="19" spans="1:5" ht="15.75">
      <c r="A19" s="82" t="str">
        <f>inputPrYr!B18</f>
        <v>Road</v>
      </c>
      <c r="B19" s="291"/>
      <c r="C19" s="19"/>
      <c r="D19" s="315">
        <v>30.848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36.638</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1576315</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2940.74</v>
      </c>
    </row>
    <row r="32" spans="1:5" ht="15.75">
      <c r="A32" s="322" t="s">
        <v>289</v>
      </c>
      <c r="B32" s="291"/>
      <c r="C32" s="291"/>
      <c r="D32" s="31"/>
      <c r="E32" s="34">
        <v>71.89</v>
      </c>
    </row>
    <row r="33" spans="1:5" ht="15.75">
      <c r="A33" s="322" t="s">
        <v>165</v>
      </c>
      <c r="B33" s="291"/>
      <c r="C33" s="291"/>
      <c r="D33" s="31"/>
      <c r="E33" s="34">
        <v>680.79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2490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6" sqref="E16"/>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821</v>
      </c>
      <c r="C5" s="387"/>
      <c r="D5" s="384" t="s">
        <v>797</v>
      </c>
      <c r="E5" s="383"/>
      <c r="F5" s="383"/>
    </row>
    <row r="6" spans="1:6" ht="15.75">
      <c r="A6" s="384"/>
      <c r="B6" s="388"/>
      <c r="C6" s="389"/>
      <c r="D6" s="384" t="s">
        <v>796</v>
      </c>
      <c r="E6" s="383"/>
      <c r="F6" s="383"/>
    </row>
    <row r="7" spans="1:6" ht="15.75">
      <c r="A7" s="384" t="s">
        <v>387</v>
      </c>
      <c r="B7" s="386" t="s">
        <v>822</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J14" sqref="J14"/>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ALLEN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10250</v>
      </c>
      <c r="F20" s="172">
        <f>IF(gen!$E$57&lt;&gt;0,gen!$E$57,0)</f>
        <v>8196.98</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61405</v>
      </c>
      <c r="F22" s="172">
        <f>IF(road!$E$50&lt;&gt;0,road!$E$50,"  ")</f>
        <v>48801.67999999999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290</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71655</v>
      </c>
      <c r="F33" s="292">
        <f>SUM(F20:F28)</f>
        <v>56998.65999999999</v>
      </c>
      <c r="G33" s="293">
        <f>IF(SUM(G20:G28)&gt;0,SUM(G20:G28),"")</f>
      </c>
    </row>
    <row r="34" spans="2:4" s="14" customFormat="1" ht="16.5" thickTop="1">
      <c r="B34" s="27" t="s">
        <v>175</v>
      </c>
      <c r="C34" s="283"/>
      <c r="D34" s="288">
        <f>summ!D47</f>
        <v>7</v>
      </c>
    </row>
    <row r="35" spans="2:6" s="14" customFormat="1" ht="15.75">
      <c r="B35" s="27" t="s">
        <v>226</v>
      </c>
      <c r="C35" s="28"/>
      <c r="D35" s="288">
        <f>IF(nhood!C37&gt;0,nhood!C37,"")</f>
        <v>8</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20" sqref="A20"/>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ALLEN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57753</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57753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40495</v>
      </c>
      <c r="F14" s="270"/>
      <c r="G14" s="55"/>
      <c r="H14" s="55"/>
      <c r="I14" s="53"/>
      <c r="J14" s="55"/>
    </row>
    <row r="15" spans="1:10" ht="15.75">
      <c r="A15" s="269"/>
      <c r="B15" s="14" t="s">
        <v>91</v>
      </c>
      <c r="C15" s="14" t="str">
        <f>CONCATENATE("Personal Property ",J1-2,"")</f>
        <v>Personal Property 2012</v>
      </c>
      <c r="D15" s="269" t="s">
        <v>86</v>
      </c>
      <c r="E15" s="273">
        <f>inputOth!E11</f>
        <v>38117</v>
      </c>
      <c r="F15" s="270"/>
      <c r="G15" s="53"/>
      <c r="H15" s="53"/>
      <c r="I15" s="55"/>
      <c r="J15" s="55"/>
    </row>
    <row r="16" spans="1:10" ht="15.75">
      <c r="A16" s="269"/>
      <c r="B16" s="14" t="s">
        <v>92</v>
      </c>
      <c r="C16" s="14" t="s">
        <v>112</v>
      </c>
      <c r="D16" s="14"/>
      <c r="E16" s="55"/>
      <c r="F16" s="55" t="s">
        <v>15</v>
      </c>
      <c r="G16" s="271">
        <f>IF(E14&gt;E15,E14-E15,0)</f>
        <v>2378</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2378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1555718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1553340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0.001530894717190055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57841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57841</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A20" sqref="A20"/>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ALLEN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9127</v>
      </c>
      <c r="E11" s="253">
        <f>IF(inputOth!D17&gt;0,inputOth!D17,"  ")</f>
        <v>5.79</v>
      </c>
      <c r="F11" s="254"/>
      <c r="G11" s="96">
        <f>IF(inputPrYr!E16=0,0,G22-SUM(G12:G19))</f>
        <v>464.7399999999998</v>
      </c>
      <c r="H11" s="255"/>
      <c r="I11" s="96">
        <f>IF(inputPrYr!E16=0,0,I24-SUM(I12:I19))</f>
        <v>10.89</v>
      </c>
      <c r="J11" s="96">
        <v>115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48626</v>
      </c>
      <c r="E13" s="253">
        <f>IF(inputOth!D19&gt;0,inputOth!D19,"  ")</f>
        <v>30.848</v>
      </c>
      <c r="F13" s="254"/>
      <c r="G13" s="96">
        <f>IF(inputPrYr!E18=0,0,ROUND(D13*$G$30,0))</f>
        <v>2476</v>
      </c>
      <c r="H13" s="255"/>
      <c r="I13" s="96">
        <f>IF(inputPrYr!$E$18=0,0,ROUND($D$13*$I$32,0))</f>
        <v>61</v>
      </c>
      <c r="J13" s="96">
        <v>566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57753</v>
      </c>
      <c r="E20" s="259">
        <f>SUM(E11:E19)</f>
        <v>36.638</v>
      </c>
      <c r="F20" s="260"/>
      <c r="G20" s="258">
        <f>SUM(G11:G19)</f>
        <v>2940.74</v>
      </c>
      <c r="H20" s="258"/>
      <c r="I20" s="258">
        <f>SUM(I11:I19)</f>
        <v>71.89</v>
      </c>
      <c r="J20" s="258">
        <f>SUM(J11:J19)</f>
        <v>681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2940.74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71.89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680.79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0.05091925960556161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0.0012447838207539003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0.01178795906706145</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ALLEN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13215</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13215</v>
      </c>
      <c r="D27" s="245">
        <f>SUM(D10:D26)</f>
        <v>0</v>
      </c>
      <c r="E27" s="245">
        <f>SUM(E10:E26)</f>
        <v>0</v>
      </c>
      <c r="F27" s="140"/>
    </row>
    <row r="28" spans="1:6" ht="15.75">
      <c r="A28" s="140"/>
      <c r="B28" s="244" t="s">
        <v>633</v>
      </c>
      <c r="C28" s="140"/>
      <c r="D28" s="241"/>
      <c r="E28" s="241"/>
      <c r="F28" s="140"/>
    </row>
    <row r="29" spans="1:6" ht="15.75">
      <c r="A29" s="140"/>
      <c r="B29" s="192" t="s">
        <v>184</v>
      </c>
      <c r="C29" s="246">
        <f>C27</f>
        <v>13215</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2013-07-19T18:29:59Z</cp:lastPrinted>
  <dcterms:created xsi:type="dcterms:W3CDTF">1998-08-26T16:30:41Z</dcterms:created>
  <dcterms:modified xsi:type="dcterms:W3CDTF">2013-07-19T18:34:44Z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