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1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<sst xmlns="http://schemas.openxmlformats.org/spreadsheetml/2006/main" count="1578" uniqueCount="953">
  <si>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</si>
  <si>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</si>
  <si>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</si>
  <si>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</si>
  <si>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</si>
  <si>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</si>
  <si>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</si>
  <si>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</si>
  <si>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</si>
  <si>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</si>
  <si>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</si>
  <si>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</si>
  <si>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</si>
  <si>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</si>
  <si>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</si>
  <si>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</si>
  <si>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</si>
  <si>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</si>
  <si>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</si>
  <si>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</si>
  <si>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</si>
  <si>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</si>
  <si>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</si>
  <si>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</si>
  <si>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</si>
  <si>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</si>
  <si>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</si>
  <si>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</si>
  <si>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</si>
  <si>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</si>
  <si>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</si>
  <si>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</si>
  <si>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</si>
  <si>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</si>
  <si>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</si>
  <si>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</si>
  <si>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</si>
  <si>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</si>
  <si>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</si>
  <si>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</si>
  <si>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</si>
  <si>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</si>
  <si>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</si>
  <si>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</si>
  <si>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</si>
  <si>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</si>
  <si>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</si>
  <si>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</si>
  <si>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</si>
  <si>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</si>
  <si>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</si>
  <si>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</si>
  <si>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</si>
  <si>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</si>
  <si>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</si>
  <si>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</si>
  <si>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</si>
  <si>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</si>
  <si>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</si>
  <si>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</si>
  <si>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</si>
  <si>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</si>
  <si>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</si>
  <si>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</si>
  <si>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</si>
  <si>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</si>
  <si>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</si>
  <si>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</si>
  <si>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</si>
  <si>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</si>
  <si>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</si>
  <si>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</si>
  <si>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</si>
  <si>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</si>
  <si>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</si>
  <si>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</si>
  <si>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</si>
  <si>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</si>
  <si>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</si>
  <si>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</si>
  <si>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</si>
  <si>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</si>
  <si>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</si>
  <si>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</si>
  <si>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</si>
  <si>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</si>
  <si>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</si>
  <si>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</si>
  <si>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</si>
  <si>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</si>
  <si>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</si>
  <si>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</si>
  <si>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</si>
  <si>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</si>
  <si>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</si>
  <si>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</si>
  <si>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</si>
  <si>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</si>
  <si>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</si>
  <si>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</si>
  <si>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</si>
  <si>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</si>
  <si>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</si>
  <si>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</si>
  <si>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</si>
  <si>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</si>
  <si>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</si>
  <si>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</si>
  <si>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</si>
  <si>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</si>
  <si>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</si>
  <si>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</si>
  <si>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</si>
  <si>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</si>
  <si>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</si>
  <si>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</si>
  <si>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</si>
  <si>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</si>
  <si>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</si>
  <si>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</si>
  <si>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</si>
  <si>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</si>
  <si>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</si>
  <si>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</si>
  <si>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</si>
  <si>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</si>
  <si>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</si>
  <si>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</si>
  <si>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</si>
  <si>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</si>
  <si>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</si>
  <si>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</si>
  <si>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</si>
  <si>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</si>
  <si>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</si>
  <si>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</si>
  <si>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</si>
  <si>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</si>
  <si>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</si>
  <si>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</si>
  <si>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</si>
  <si>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</si>
  <si>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</si>
  <si>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</si>
  <si>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</si>
  <si>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</si>
  <si>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</si>
  <si>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</si>
  <si>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</si>
  <si>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</si>
  <si>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</si>
  <si>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</si>
  <si>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</si>
  <si>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</si>
  <si>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</si>
  <si>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</si>
  <si>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</si>
  <si>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</si>
  <si>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</si>
  <si>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</si>
  <si>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</si>
  <si>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</si>
  <si>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</si>
  <si>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</si>
  <si>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</si>
  <si>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</si>
  <si>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</si>
  <si>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</si>
  <si>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</si>
  <si>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</si>
  <si>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</si>
  <si>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</si>
  <si>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</si>
  <si>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</si>
  <si>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</si>
  <si>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</si>
  <si>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</si>
  <si>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</si>
  <si>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</si>
  <si>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</si>
  <si>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</si>
  <si>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</si>
  <si>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</si>
  <si>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</si>
  <si>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</si>
  <si>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</si>
  <si>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</si>
  <si>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</si>
  <si>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</si>
  <si>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</si>
  <si>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</si>
  <si>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</si>
  <si>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</si>
  <si>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</si>
  <si>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</si>
  <si>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</si>
  <si>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</si>
  <si>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</si>
  <si>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</si>
  <si>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</si>
  <si>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</si>
  <si>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</si>
  <si>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</si>
  <si>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</si>
  <si>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</si>
  <si>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</si>
  <si>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</si>
  <si>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</si>
  <si>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</si>
  <si>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</si>
  <si>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</si>
  <si>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</si>
  <si>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</si>
  <si>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</si>
  <si>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</si>
  <si>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</si>
  <si>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</si>
  <si>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</si>
  <si>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</si>
  <si>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</si>
  <si>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</si>
  <si>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</si>
  <si>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</si>
  <si>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</si>
  <si>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</si>
  <si>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</si>
  <si>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</si>
  <si>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</si>
  <si>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</si>
  <si>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</si>
  <si>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</si>
  <si>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</si>
  <si>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</si>
  <si>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</si>
  <si>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</si>
  <si>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</si>
  <si>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</si>
  <si>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</si>
  <si>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</si>
  <si>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</si>
  <si>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</si>
  <si>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</si>
  <si>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</si>
  <si>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</si>
  <si>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</si>
  <si>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</si>
  <si>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</si>
  <si>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</si>
  <si>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</si>
  <si>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</si>
  <si>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</si>
  <si>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</si>
  <si>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</si>
  <si>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</si>
  <si>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</si>
  <si>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</si>
  <si>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</si>
  <si>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</si>
  <si>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</si>
  <si>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</si>
  <si>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</si>
  <si>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</si>
  <si>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</si>
  <si>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</si>
  <si>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</si>
  <si>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</si>
  <si>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</si>
  <si>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</si>
  <si>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</si>
  <si>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</si>
  <si>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</si>
  <si>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</si>
  <si>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</si>
  <si>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</si>
  <si>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</si>
  <si>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</si>
  <si>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</si>
  <si>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</si>
  <si>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</si>
  <si>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</si>
  <si>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</si>
  <si>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</si>
  <si>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</si>
  <si>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</si>
  <si>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</si>
  <si>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</si>
  <si>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</si>
  <si>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</si>
  <si>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</si>
  <si>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</si>
  <si>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</si>
  <si>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</si>
  <si>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</si>
  <si>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</si>
  <si>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</si>
  <si>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</si>
  <si>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</si>
  <si>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</si>
  <si>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</si>
  <si>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</si>
  <si>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</si>
  <si>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</si>
  <si>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</si>
  <si>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</si>
  <si>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</si>
  <si>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</si>
  <si>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</si>
  <si>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</si>
  <si>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</si>
  <si>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</si>
  <si>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</si>
  <si>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</si>
  <si>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</si>
  <si>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</si>
  <si>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</si>
  <si>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</si>
  <si>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</si>
  <si>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</si>
  <si>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</si>
  <si>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</si>
  <si>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</si>
  <si>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</si>
  <si>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</si>
  <si>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</si>
  <si>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</si>
  <si>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</si>
  <si>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</si>
  <si>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</si>
  <si>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</si>
  <si>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</si>
  <si>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</si>
  <si>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</si>
  <si>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</si>
  <si>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</si>
  <si>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</si>
  <si>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</si>
  <si>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</si>
  <si>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</si>
  <si>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</si>
  <si>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</si>
  <si>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</si>
  <si>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</si>
  <si>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</si>
  <si>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</si>
  <si>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</si>
  <si>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</si>
  <si>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</si>
  <si>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</si>
  <si>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</si>
  <si>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</si>
  <si>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</si>
  <si>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</si>
  <si>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</si>
  <si>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</si>
  <si>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</si>
  <si>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</si>
  <si>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</si>
  <si>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</si>
  <si>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</si>
  <si>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</si>
  <si>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</si>
  <si>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</si>
  <si>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</si>
  <si>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</si>
  <si>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</si>
  <si>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</si>
  <si>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</si>
  <si>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</si>
  <si>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</si>
  <si>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</si>
  <si>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</si>
  <si>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</si>
  <si>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</si>
  <si>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</si>
  <si>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</si>
  <si>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</si>
  <si>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</si>
  <si>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</si>
  <si>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</si>
  <si>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</si>
  <si>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</si>
  <si>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</si>
  <si>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</si>
  <si>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</si>
  <si>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</si>
  <si>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</si>
  <si>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</si>
  <si>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</si>
  <si>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</si>
  <si>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</si>
  <si>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</si>
  <si>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</si>
  <si>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</si>
  <si>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</si>
  <si>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</si>
  <si>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</si>
  <si>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</si>
  <si>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</si>
  <si>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</si>
  <si>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</si>
  <si>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</si>
  <si>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</si>
  <si>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</si>
  <si>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</si>
  <si>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</si>
  <si>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</si>
  <si>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</si>
  <si>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</si>
  <si>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</si>
  <si>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</si>
  <si>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</si>
  <si>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</si>
  <si>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</si>
  <si>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</si>
  <si>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</si>
  <si>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</si>
  <si>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</si>
  <si>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</si>
  <si>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</si>
  <si>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</si>
  <si>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</si>
  <si>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</si>
  <si>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</si>
  <si>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</si>
  <si>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</si>
  <si>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</si>
  <si>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</si>
  <si>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</si>
  <si>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</si>
  <si>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</si>
  <si>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</si>
  <si>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</si>
  <si>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</si>
  <si>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</si>
  <si>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</si>
  <si>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</si>
  <si>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</si>
  <si>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</si>
  <si>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</si>
  <si>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</si>
  <si>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</si>
  <si>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</si>
  <si>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</si>
  <si>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</si>
  <si>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</si>
  <si>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</si>
  <si>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</si>
  <si>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</si>
  <si>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</si>
  <si>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</si>
  <si>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</si>
  <si>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</si>
  <si>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</si>
  <si>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</si>
  <si>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</si>
  <si>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</si>
  <si>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</si>
  <si>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</si>
  <si>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</si>
  <si>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</si>
  <si>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</si>
  <si>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</si>
  <si>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</si>
  <si>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</si>
  <si>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</si>
  <si>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</si>
  <si>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</si>
  <si>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</si>
  <si>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</si>
  <si>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</si>
  <si>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</si>
  <si>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</si>
  <si>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</si>
  <si>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</si>
  <si>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</si>
  <si>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</si>
  <si>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</si>
  <si>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</si>
  <si>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</si>
  <si>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</si>
  <si>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</si>
  <si>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</si>
  <si>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</si>
  <si>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</si>
  <si>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</si>
  <si>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</si>
  <si>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</si>
  <si>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</si>
  <si>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</si>
  <si>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</si>
  <si>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</si>
  <si>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</si>
  <si>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</si>
  <si>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</si>
  <si>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</si>
  <si>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</si>
  <si>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</si>
  <si>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</si>
  <si>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</si>
  <si>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</si>
  <si>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</si>
  <si>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</si>
  <si>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</si>
  <si>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</si>
  <si>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</si>
  <si>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</si>
  <si>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</si>
  <si>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</si>
  <si>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</si>
  <si>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</si>
  <si>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</si>
  <si>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</si>
  <si>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</si>
  <si>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</si>
  <si>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</si>
  <si>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</si>
  <si>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</si>
  <si>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</si>
  <si>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</si>
  <si>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</si>
  <si>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</si>
  <si>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</si>
  <si>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</si>
  <si>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</si>
  <si>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</si>
  <si>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</si>
  <si>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</si>
  <si>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</si>
  <si>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</si>
  <si>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</si>
  <si>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</si>
  <si>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</si>
  <si>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</si>
  <si>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</si>
  <si>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</si>
  <si>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</si>
  <si>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</si>
  <si>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</si>
  <si>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</si>
  <si>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</si>
  <si>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</si>
  <si>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</si>
  <si>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</si>
  <si>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</si>
  <si>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</si>
  <si>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</si>
  <si>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</si>
  <si>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</si>
  <si>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</si>
  <si>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</si>
  <si>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</si>
  <si>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</si>
  <si>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</si>
  <si>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</si>
  <si>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</si>
  <si>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</si>
  <si>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</si>
  <si>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</si>
  <si>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</si>
  <si>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</si>
  <si>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</si>
  <si>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</si>
  <si>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</si>
  <si>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</si>
  <si>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</si>
  <si>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</si>
  <si>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</si>
  <si>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</si>
  <si>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</si>
  <si>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</si>
  <si>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</si>
  <si>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</si>
  <si>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</si>
  <si>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</si>
  <si>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</si>
  <si>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</si>
  <si>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</si>
  <si>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</si>
  <si>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</si>
  <si>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</si>
  <si>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</si>
  <si>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</si>
  <si>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</si>
  <si>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</si>
  <si>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</si>
  <si>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</si>
  <si>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</si>
  <si>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</si>
  <si>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</si>
  <si>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</si>
  <si>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</si>
  <si>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</si>
  <si>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</si>
  <si>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</si>
  <si>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</si>
  <si>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</si>
  <si>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</si>
  <si>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</si>
  <si>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</si>
  <si>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</si>
  <si>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</si>
  <si>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</si>
  <si>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</si>
  <si>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</si>
  <si>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</si>
  <si>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</si>
  <si>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</si>
  <si>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</si>
  <si>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</si>
  <si>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</si>
  <si>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</si>
  <si>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</si>
  <si>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</si>
  <si>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</si>
  <si>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</si>
  <si>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</si>
  <si>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</si>
  <si>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</si>
  <si>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</si>
  <si>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</si>
  <si>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</si>
  <si>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</si>
  <si>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</si>
  <si>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</si>
  <si>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</si>
  <si>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</si>
  <si>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</si>
  <si>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</si>
  <si>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</si>
  <si>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</si>
  <si>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</si>
  <si>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</si>
  <si>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</si>
  <si>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</si>
  <si>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</si>
  <si>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</si>
  <si>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</si>
  <si>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</si>
  <si>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</si>
  <si>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</si>
  <si>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</si>
  <si>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</si>
  <si>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</si>
  <si>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</si>
  <si>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</si>
  <si>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</si>
  <si>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</si>
  <si>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</si>
  <si>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</si>
  <si>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</si>
  <si>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</si>
  <si>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</si>
  <si>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</si>
  <si>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</si>
  <si>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</si>
  <si>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</si>
  <si>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</si>
  <si>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</si>
  <si>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</si>
  <si>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</si>
  <si>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</si>
  <si>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</si>
  <si>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</si>
  <si>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</si>
  <si>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</si>
  <si>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</si>
  <si>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</si>
  <si>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</si>
  <si>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</si>
  <si>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</si>
  <si>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</si>
  <si>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</si>
  <si>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</si>
  <si>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</si>
  <si>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</si>
  <si>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</si>
  <si>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</si>
  <si>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</si>
  <si>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</si>
  <si>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</si>
  <si>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</si>
  <si>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</si>
  <si>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</si>
  <si>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</si>
  <si>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</si>
  <si>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</si>
  <si>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</si>
  <si>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</si>
  <si>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</si>
  <si>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</si>
  <si>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</si>
  <si>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</si>
  <si>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</si>
  <si>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</si>
  <si>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</si>
  <si>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</si>
  <si>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</si>
  <si>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</si>
  <si>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</si>
  <si>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</si>
  <si>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</si>
  <si>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</si>
  <si>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</si>
  <si>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</si>
  <si>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</si>
  <si>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</si>
  <si>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</si>
  <si>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</si>
  <si>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</si>
  <si>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</si>
  <si>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</si>
  <si>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</si>
  <si>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</si>
  <si>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</si>
  <si>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</si>
  <si>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</si>
  <si>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</si>
  <si>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</si>
  <si>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</si>
  <si>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</si>
  <si>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</si>
  <si>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</si>
  <si>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</si>
  <si>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</si>
  <si>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</si>
  <si>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</si>
  <si>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</si>
  <si>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</si>
  <si>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</si>
  <si>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</si>
  <si>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</si>
  <si>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</si>
  <si>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</si>
  <si>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</si>
  <si>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</si>
  <si>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</si>
  <si>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</si>
  <si>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</si>
  <si>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</si>
  <si>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</si>
  <si>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</si>
  <si>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</si>
  <si>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</si>
  <si>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</si>
  <si>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</si>
  <si>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</si>
  <si>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</si>
  <si>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</si>
  <si>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</si>
  <si>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</si>
  <si>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</si>
  <si>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</si>
  <si>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</si>
  <si>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</si>
  <si>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</si>
  <si>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</si>
  <si>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</si>
  <si>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</si>
  <si>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</si>
  <si>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</si>
  <si>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</si>
  <si>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</si>
  <si>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</si>
  <si>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</si>
  <si>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</si>
  <si>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</si>
  <si>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</si>
  <si>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</si>
  <si>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</si>
  <si>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</si>
  <si>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</si>
  <si>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</si>
  <si>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</si>
  <si>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</si>
  <si>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</si>
  <si>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</si>
  <si>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</si>
  <si>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</si>
  <si>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</si>
  <si>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</si>
  <si>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</si>
  <si>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</si>
  <si>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</si>
  <si>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</si>
  <si>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</si>
  <si>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</si>
  <si>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</si>
  <si>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</si>
  <si>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</si>
  <si>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</si>
  <si>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</si>
  <si>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</si>
  <si>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</si>
  <si>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</si>
  <si>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</si>
  <si>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</si>
  <si>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</si>
  <si>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</si>
  <si>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</si>
  <si>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</si>
  <si>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</si>
  <si>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</si>
  <si>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</si>
  <si>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</si>
  <si>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</si>
  <si>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</si>
  <si>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</si>
  <si>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</si>
  <si>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</si>
  <si>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</si>
  <si>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</si>
  <si>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</si>
  <si>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</si>
  <si>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</si>
  <si>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</si>
  <si>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</si>
  <si>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</si>
  <si>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</si>
  <si>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</si>
  <si>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</si>
  <si>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</si>
  <si>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</si>
  <si>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</si>
  <si>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</si>
  <si>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</si>
  <si>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</si>
  <si>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</si>
  <si>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</si>
  <si>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</si>
  <si>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</si>
  <si>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</si>
  <si>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</si>
  <si>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</si>
  <si>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</si>
  <si>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</si>
  <si>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</si>
  <si>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</si>
  <si>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</si>
  <si>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</si>
  <si>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</si>
  <si>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</si>
  <si>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</si>
  <si>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</si>
  <si>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</si>
  <si>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</si>
  <si>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</si>
  <si>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</si>
  <si>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</si>
  <si>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</si>
  <si>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</si>
  <si>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</si>
  <si>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</si>
  <si>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</si>
  <si>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</si>
  <si>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</si>
  <si>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</si>
  <si>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</si>
  <si>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</si>
  <si>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</si>
  <si>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</si>
  <si>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</si>
  <si>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</si>
  <si>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</si>
  <si>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</si>
  <si>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</si>
  <si>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</si>
  <si>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</si>
  <si>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</si>
  <si>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</si>
  <si>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</si>
  <si>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</si>
  <si>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</si>
  <si>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</si>
  <si>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</si>
  <si>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</si>
  <si>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</si>
  <si>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</si>
  <si>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</si>
  <si>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</si>
  <si>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</si>
  <si>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</si>
  <si>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</si>
  <si>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</si>
  <si>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</si>
  <si>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</si>
  <si>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</si>
  <si>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</si>
  <si>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</si>
  <si>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</si>
  <si>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</si>
  <si>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</si>
  <si>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</si>
  <si>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</si>
  <si>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</si>
  <si>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</si>
  <si>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</si>
  <si>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</si>
  <si>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</si>
  <si>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</si>
  <si>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</si>
  <si>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</si>
  <si>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</si>
  <si>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</si>
  <si>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</si>
  <si>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</si>
  <si>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</si>
  <si>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</si>
  <si>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</si>
  <si>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</si>
  <si>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</si>
  <si>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</si>
  <si>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</si>
  <si>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</si>
  <si>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</si>
  <si>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</si>
  <si>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</si>
  <si>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</si>
  <si>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</si>
  <si>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</si>
  <si>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</si>
  <si>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</si>
  <si>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</si>
  <si>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</si>
  <si>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</si>
  <si>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</si>
  <si>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</si>
  <si>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</si>
  <si>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</si>
  <si>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</si>
  <si>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</si>
  <si>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</si>
  <si>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</si>
  <si>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</si>
  <si>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</si>
  <si>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</si>
  <si>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</si>
  <si>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</si>
  <si>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</si>
  <si>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</si>
  <si>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</si>
  <si>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</si>
  <si>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Township Officer</t>
  </si>
  <si>
    <t>JEWELL COUNTY</t>
  </si>
  <si>
    <t>from a Township Officer</t>
  </si>
  <si>
    <t>Carla J Waugh, Jewell County Clerk</t>
  </si>
  <si>
    <t>Mowing</t>
  </si>
  <si>
    <t>Fire Protection</t>
  </si>
  <si>
    <t>General Expenses - Pubishing etc</t>
  </si>
  <si>
    <t>Washington Township</t>
  </si>
  <si>
    <t>Walter Holdren</t>
  </si>
  <si>
    <t>August 1, 2013</t>
  </si>
  <si>
    <t>8:00 p.m.</t>
  </si>
  <si>
    <t>Walt Holdren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</si>
</sst>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Washington Township</v>
      </c>
      <c r="C1" s="167"/>
      <c r="D1" s="167"/>
      <c r="E1" s="167"/>
      <c r="F1" s="167"/>
      <c r="G1" s="167"/>
      <c r="H1" s="167"/>
      <c r="I1" s="167"/>
      <c r="J1" s="14"/>
      <c r="K1" s="14"/>
      <c r="L1" s="15">
        <f>inputPrYr!D5</f>
        <v>2014</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Washington Township</v>
      </c>
      <c r="C7" s="556"/>
      <c r="D7" s="556"/>
      <c r="E7" s="556"/>
      <c r="F7" s="556"/>
      <c r="G7" s="556"/>
      <c r="H7" s="556"/>
      <c r="I7" s="556"/>
    </row>
    <row r="8" spans="2:9" ht="15.75">
      <c r="B8" s="557" t="str">
        <f>inputPrYr!D3</f>
        <v>JEWELL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816925</v>
      </c>
      <c r="F27" s="556"/>
      <c r="G27" s="561">
        <f>summ!G37</f>
        <v>875969</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75">
      <c r="B52" s="574"/>
      <c r="C52" s="574"/>
      <c r="D52" s="574"/>
      <c r="E52" s="574"/>
      <c r="F52" s="574"/>
      <c r="G52" s="574"/>
      <c r="H52" s="574"/>
      <c r="I52" s="574"/>
    </row>
    <row r="53" spans="2:9" ht="15.75">
      <c r="B53" s="575" t="s">
        <v>790</v>
      </c>
      <c r="C53" s="574"/>
      <c r="D53" s="574"/>
      <c r="E53" s="574"/>
      <c r="F53" s="574"/>
      <c r="G53" s="574"/>
      <c r="H53" s="574"/>
      <c r="I53" s="574"/>
    </row>
    <row r="54" spans="2:9" ht="15.7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7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7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7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75">
      <c r="B70" s="576"/>
      <c r="C70" s="576"/>
      <c r="D70" s="576"/>
      <c r="E70" s="576"/>
      <c r="F70" s="576"/>
      <c r="G70" s="574"/>
      <c r="H70" s="574"/>
      <c r="I70" s="574"/>
    </row>
    <row r="71" spans="2:9" ht="15.75">
      <c r="B71" s="575" t="s">
        <v>802</v>
      </c>
      <c r="C71" s="576"/>
      <c r="D71" s="576"/>
      <c r="E71" s="576"/>
      <c r="F71" s="576"/>
      <c r="G71" s="574"/>
      <c r="H71" s="574"/>
      <c r="I71" s="574"/>
    </row>
    <row r="72" spans="2:9" ht="15.7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75">
      <c r="B75" s="576"/>
      <c r="C75" s="576"/>
      <c r="D75" s="576"/>
      <c r="E75" s="576"/>
      <c r="F75" s="576"/>
      <c r="G75" s="574"/>
      <c r="H75" s="574"/>
      <c r="I75" s="574"/>
    </row>
    <row r="76" spans="2:9" ht="15.75">
      <c r="B76" s="575" t="s">
        <v>805</v>
      </c>
      <c r="C76" s="576"/>
      <c r="D76" s="576"/>
      <c r="E76" s="576"/>
      <c r="F76" s="576"/>
      <c r="G76" s="574"/>
      <c r="H76" s="574"/>
      <c r="I76" s="574"/>
    </row>
    <row r="77" spans="2:9" ht="15.7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75">
      <c r="B80" s="576"/>
      <c r="C80" s="576"/>
      <c r="D80" s="576"/>
      <c r="E80" s="576"/>
      <c r="F80" s="576"/>
      <c r="G80" s="574"/>
      <c r="H80" s="574"/>
      <c r="I80" s="574"/>
    </row>
    <row r="81" spans="2:9" ht="15.75">
      <c r="B81" s="575" t="s">
        <v>391</v>
      </c>
      <c r="C81" s="576"/>
      <c r="D81" s="576"/>
      <c r="E81" s="576"/>
      <c r="F81" s="576"/>
      <c r="G81" s="574"/>
      <c r="H81" s="574"/>
      <c r="I81" s="574"/>
    </row>
    <row r="82" spans="2:9" ht="15.7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7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7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75">
      <c r="B95" s="576"/>
      <c r="C95" s="576"/>
      <c r="D95" s="576"/>
      <c r="E95" s="576"/>
      <c r="F95" s="576"/>
      <c r="G95" s="574"/>
      <c r="H95" s="574"/>
      <c r="I95" s="574"/>
    </row>
    <row r="96" spans="2:9" ht="15.75">
      <c r="B96" s="575" t="s">
        <v>814</v>
      </c>
      <c r="C96" s="576"/>
      <c r="D96" s="576"/>
      <c r="E96" s="576"/>
      <c r="F96" s="576"/>
      <c r="G96" s="574"/>
      <c r="H96" s="574"/>
      <c r="I96" s="574"/>
    </row>
    <row r="97" spans="2:9" ht="15.7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7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7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Washington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1917</v>
      </c>
      <c r="D6" s="387">
        <f>C51</f>
        <v>2498.3999999999996</v>
      </c>
      <c r="E6" s="32">
        <f>D51</f>
        <v>2158.3999999999996</v>
      </c>
    </row>
    <row r="7" spans="2:5" ht="15">
      <c r="B7" s="27" t="s">
        <v>120</v>
      </c>
      <c r="C7" s="387"/>
      <c r="D7" s="387"/>
      <c r="E7" s="33"/>
    </row>
    <row r="8" spans="2:5" ht="15">
      <c r="B8" s="27" t="s">
        <v>16</v>
      </c>
      <c r="C8" s="29">
        <f>1696.21+77.14+521.61+96.96</f>
        <v>2391.92</v>
      </c>
      <c r="D8" s="387">
        <f>IF(inputPrYr!H15&gt;0,inputPrYr!G16,inputPrYr!E16)</f>
        <v>2400</v>
      </c>
      <c r="E8" s="33" t="s">
        <v>289</v>
      </c>
    </row>
    <row r="9" spans="2:5" ht="15">
      <c r="B9" s="27" t="s">
        <v>17</v>
      </c>
      <c r="C9" s="29">
        <v>16</v>
      </c>
      <c r="D9" s="29"/>
      <c r="E9" s="34"/>
    </row>
    <row r="10" spans="2:5" ht="15">
      <c r="B10" s="27" t="s">
        <v>18</v>
      </c>
      <c r="C10" s="29">
        <f>11.15+8.51+74.48+86.87+8.76</f>
        <v>189.76999999999998</v>
      </c>
      <c r="D10" s="29">
        <v>200</v>
      </c>
      <c r="E10" s="32">
        <f>mvalloc!G11</f>
        <v>181</v>
      </c>
    </row>
    <row r="11" spans="2:5" ht="15">
      <c r="B11" s="27" t="s">
        <v>19</v>
      </c>
      <c r="C11" s="29">
        <f>3.43+1.53</f>
        <v>4.96</v>
      </c>
      <c r="D11" s="29">
        <v>6</v>
      </c>
      <c r="E11" s="32">
        <f>mvalloc!I11</f>
        <v>5</v>
      </c>
    </row>
    <row r="12" spans="2:5" ht="15">
      <c r="B12" s="35" t="s">
        <v>69</v>
      </c>
      <c r="C12" s="29">
        <f>31.51+0.51+23.9+0.83</f>
        <v>56.75</v>
      </c>
      <c r="D12" s="29">
        <v>54</v>
      </c>
      <c r="E12" s="32">
        <f>mvalloc!J11</f>
        <v>80</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2659.4</v>
      </c>
      <c r="D26" s="389">
        <f>SUM(D8:D24)</f>
        <v>2660</v>
      </c>
      <c r="E26" s="42">
        <f>SUM(E8:E24)</f>
        <v>266</v>
      </c>
    </row>
    <row r="27" spans="2:5" ht="15">
      <c r="B27" s="43" t="s">
        <v>24</v>
      </c>
      <c r="C27" s="389">
        <f>C26+C6</f>
        <v>4576.4</v>
      </c>
      <c r="D27" s="389">
        <f>D26+D6</f>
        <v>5158.4</v>
      </c>
      <c r="E27" s="42">
        <f>E26+E6</f>
        <v>2424.3999999999996</v>
      </c>
    </row>
    <row r="28" spans="2:5" ht="15">
      <c r="B28" s="27" t="s">
        <v>25</v>
      </c>
      <c r="C28" s="387"/>
      <c r="D28" s="387"/>
      <c r="E28" s="32"/>
    </row>
    <row r="29" spans="2:5" ht="15">
      <c r="B29" s="37" t="s">
        <v>947</v>
      </c>
      <c r="C29" s="29">
        <v>78</v>
      </c>
      <c r="D29" s="29">
        <v>3000</v>
      </c>
      <c r="E29" s="34">
        <v>4824</v>
      </c>
    </row>
    <row r="30" spans="2:5" ht="15">
      <c r="B30" s="38" t="s">
        <v>101</v>
      </c>
      <c r="C30" s="29"/>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945</v>
      </c>
      <c r="C37" s="29">
        <v>2000</v>
      </c>
      <c r="D37" s="29"/>
      <c r="E37" s="34"/>
    </row>
    <row r="38" spans="2:5" ht="15">
      <c r="B38" s="37" t="s">
        <v>946</v>
      </c>
      <c r="C38" s="29"/>
      <c r="D38" s="29"/>
      <c r="E38" s="34"/>
    </row>
    <row r="39" spans="2:5" ht="15">
      <c r="B39" s="38"/>
      <c r="C39" s="29"/>
      <c r="D39" s="29"/>
      <c r="E39" s="34"/>
    </row>
    <row r="40" spans="2:5" ht="15">
      <c r="B40" s="38"/>
      <c r="C40" s="29"/>
      <c r="D40" s="29"/>
      <c r="E40" s="34"/>
    </row>
    <row r="41" spans="2:10" ht="15.7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2078</v>
      </c>
      <c r="D50" s="381">
        <f>SUM(D29:D48)</f>
        <v>3000</v>
      </c>
      <c r="E50" s="47">
        <f>SUM(E29:E43,E45,E47:E48)</f>
        <v>4824</v>
      </c>
      <c r="G50" s="484">
        <f>D51</f>
        <v>2158.3999999999996</v>
      </c>
      <c r="H50" s="485" t="str">
        <f>CONCATENATE("",E1-1," Ending Cash Balance (est.)")</f>
        <v>2013 Ending Cash Balance (est.)</v>
      </c>
      <c r="I50" s="486"/>
      <c r="J50" s="257"/>
    </row>
    <row r="51" spans="2:10" ht="15">
      <c r="B51" s="27" t="s">
        <v>119</v>
      </c>
      <c r="C51" s="382">
        <f>C27-C50</f>
        <v>2498.3999999999996</v>
      </c>
      <c r="D51" s="382">
        <f>SUM(D27-D50)</f>
        <v>2158.3999999999996</v>
      </c>
      <c r="E51" s="33" t="s">
        <v>289</v>
      </c>
      <c r="G51" s="484">
        <f>E26</f>
        <v>266</v>
      </c>
      <c r="H51" s="487" t="str">
        <f>CONCATENATE("",E1," Non-AV Receipts (est.)")</f>
        <v>2014 Non-AV Receipts (est.)</v>
      </c>
      <c r="I51" s="486"/>
      <c r="J51" s="257"/>
    </row>
    <row r="52" spans="2:11" ht="15">
      <c r="B52" s="48" t="str">
        <f>CONCATENATE("",E1-2,"/",E1-1," Budget Authority Amount:")</f>
        <v>2012/2013 Budget Authority Amount:</v>
      </c>
      <c r="C52" s="132">
        <f>inputOth!B46</f>
        <v>5800</v>
      </c>
      <c r="D52" s="161">
        <f>inputPrYr!D16</f>
        <v>6163</v>
      </c>
      <c r="E52" s="33" t="s">
        <v>289</v>
      </c>
      <c r="F52" s="50"/>
      <c r="G52" s="488">
        <f>IF(D56&gt;0,E55,E57)</f>
        <v>2399.6000000000004</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4824</v>
      </c>
      <c r="H53" s="487" t="str">
        <f>CONCATENATE("Total ",E1," Resources Available")</f>
        <v>Total 2014 Resources Available</v>
      </c>
      <c r="I53" s="486"/>
      <c r="J53" s="257"/>
    </row>
    <row r="54" spans="2:10" ht="15">
      <c r="B54" s="395" t="str">
        <f>CONCATENATE(C72,"     ",D72)</f>
        <v>     </v>
      </c>
      <c r="C54" s="803" t="s">
        <v>623</v>
      </c>
      <c r="D54" s="804"/>
      <c r="E54" s="32">
        <f>E50+E53</f>
        <v>4824</v>
      </c>
      <c r="G54" s="489"/>
      <c r="H54" s="487"/>
      <c r="I54" s="487"/>
      <c r="J54" s="257"/>
    </row>
    <row r="55" spans="2:10" ht="15">
      <c r="B55" s="395" t="str">
        <f>CONCATENATE(C73,"     ",D73)</f>
        <v>     </v>
      </c>
      <c r="C55" s="60"/>
      <c r="D55" s="52" t="s">
        <v>28</v>
      </c>
      <c r="E55" s="46">
        <f>IF(E54-E27&gt;0,E54-E27,0)</f>
        <v>2399.6000000000004</v>
      </c>
      <c r="G55" s="488">
        <f>ROUND(C50*0.05+C50,0)</f>
        <v>2182</v>
      </c>
      <c r="H55" s="487" t="str">
        <f>CONCATENATE("Less ",E1-2," Expenditures + 5%")</f>
        <v>Less 2012 Expenditures + 5%</v>
      </c>
      <c r="I55" s="486"/>
      <c r="J55" s="257"/>
    </row>
    <row r="56" spans="2:10" ht="15">
      <c r="B56" s="52"/>
      <c r="C56" s="399" t="s">
        <v>624</v>
      </c>
      <c r="D56" s="689">
        <f>inputOth!$E$40</f>
        <v>0</v>
      </c>
      <c r="E56" s="32">
        <f>ROUND(IF(D56&gt;0,(E55*D56),0),0)</f>
        <v>0</v>
      </c>
      <c r="G56" s="490">
        <f>G53-G55</f>
        <v>2642</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2399.6000000000004</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2.739</v>
      </c>
      <c r="H60" s="485" t="str">
        <f>CONCATENATE("",E1," Fund Mill Rate")</f>
        <v>2014 Fund Mill Rate</v>
      </c>
      <c r="I60" s="691"/>
      <c r="J60" s="703"/>
      <c r="K60" s="16"/>
    </row>
    <row r="61" spans="2:10" ht="15.75">
      <c r="B61" s="52" t="s">
        <v>9</v>
      </c>
      <c r="C61" s="401">
        <f>IF(inputPrYr!D18&gt;0,7,6)</f>
        <v>6</v>
      </c>
      <c r="D61" s="14"/>
      <c r="E61" s="55"/>
      <c r="G61" s="705">
        <f>summ!F18</f>
        <v>2.938</v>
      </c>
      <c r="H61" s="485" t="str">
        <f>CONCATENATE("",E1-1," Fund Mill Rate")</f>
        <v>2013 Fund Mill Rate</v>
      </c>
      <c r="I61" s="691"/>
      <c r="J61" s="703"/>
    </row>
    <row r="62" spans="7:10" ht="15.75">
      <c r="G62" s="706">
        <f>summ!I32</f>
        <v>2.739</v>
      </c>
      <c r="H62" s="485" t="str">
        <f>CONCATENATE("Total ",E1," Mill Rate")</f>
        <v>Total 2014 Mill Rate</v>
      </c>
      <c r="I62" s="691"/>
      <c r="J62" s="703"/>
    </row>
    <row r="63" spans="2:10" ht="15.75">
      <c r="B63" s="12"/>
      <c r="G63" s="705">
        <f>summ!F32</f>
        <v>2.938</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Washington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7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2.739</v>
      </c>
      <c r="H45" s="632" t="str">
        <f>CONCATENATE("Total ",E1," Mill Rate")</f>
        <v>Total 2014 Mill Rate</v>
      </c>
      <c r="I45" s="656"/>
      <c r="J45" s="657"/>
    </row>
    <row r="46" spans="2:10" ht="15.75">
      <c r="B46" s="594" t="s">
        <v>144</v>
      </c>
      <c r="C46" s="599">
        <v>0</v>
      </c>
      <c r="D46" s="596">
        <f>C74</f>
        <v>0</v>
      </c>
      <c r="E46" s="597">
        <f>D74</f>
        <v>0</v>
      </c>
      <c r="F46" s="635"/>
      <c r="G46" s="659">
        <f>summ!F32</f>
        <v>2.938</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7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2.739</v>
      </c>
      <c r="H85" s="632" t="str">
        <f>CONCATENATE("Total ",E1," Mill Rate")</f>
        <v>Total 2014 Mill Rate</v>
      </c>
      <c r="I85" s="656"/>
      <c r="J85" s="657"/>
    </row>
    <row r="86" spans="7:10" ht="15.75">
      <c r="G86" s="659">
        <f>summ!F32</f>
        <v>2.938</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Washington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2.739</v>
      </c>
      <c r="H55" s="485" t="str">
        <f>CONCATENATE("Total ",E1," Mill Rate")</f>
        <v>Total 2014 Mill Rate</v>
      </c>
      <c r="I55" s="691"/>
      <c r="J55" s="703"/>
    </row>
    <row r="56" spans="2:10" ht="15.75">
      <c r="B56" s="72" t="s">
        <v>33</v>
      </c>
      <c r="C56" s="132"/>
      <c r="D56" s="14"/>
      <c r="E56" s="14"/>
      <c r="G56" s="705">
        <f>summ!F32</f>
        <v>2.938</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0</v>
      </c>
      <c r="D63" s="14"/>
      <c r="E63" s="14"/>
    </row>
    <row r="64" spans="2:5" ht="15">
      <c r="B64" s="77" t="s">
        <v>26</v>
      </c>
      <c r="C64" s="130"/>
      <c r="D64" s="14"/>
      <c r="E64" s="14"/>
    </row>
    <row r="65" spans="2:5" ht="15">
      <c r="B65" s="77" t="s">
        <v>27</v>
      </c>
      <c r="C65" s="397">
        <f>SUM(C63-C64)</f>
        <v>0</v>
      </c>
      <c r="D65" s="14"/>
      <c r="E65" s="14"/>
    </row>
    <row r="66" spans="2:5" ht="15">
      <c r="B66" s="14"/>
      <c r="C66" s="14"/>
      <c r="D66" s="14"/>
      <c r="E66" s="14"/>
    </row>
    <row r="67" spans="2:5" ht="15">
      <c r="B67" s="52" t="s">
        <v>9</v>
      </c>
      <c r="C67" s="65"/>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Washington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2.739</v>
      </c>
      <c r="H45" s="632" t="str">
        <f>CONCATENATE("Total ",E1," Mill Rate")</f>
        <v>Total 2014 Mill Rate</v>
      </c>
      <c r="I45" s="656"/>
      <c r="J45" s="657"/>
      <c r="K45" s="582"/>
    </row>
    <row r="46" spans="2:11" ht="15.75">
      <c r="B46" s="27" t="s">
        <v>118</v>
      </c>
      <c r="C46" s="29"/>
      <c r="D46" s="387">
        <f>C74</f>
        <v>0</v>
      </c>
      <c r="E46" s="32">
        <f>D74</f>
        <v>0</v>
      </c>
      <c r="G46" s="659">
        <f>summ!F32</f>
        <v>2.938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2.739</v>
      </c>
      <c r="H85" s="632" t="str">
        <f>CONCATENATE("Total ",E1," Mill Rate")</f>
        <v>Total 2014 Mill Rate</v>
      </c>
      <c r="I85" s="656"/>
      <c r="J85" s="657"/>
      <c r="K85" s="582"/>
    </row>
    <row r="86" spans="7:11" ht="15.75">
      <c r="G86" s="659">
        <f>summ!F32</f>
        <v>2.938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Washington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2.739</v>
      </c>
      <c r="H45" s="632" t="str">
        <f>CONCATENATE("Total ",E1," Mill Rate")</f>
        <v>Total 2014 Mill Rate</v>
      </c>
      <c r="I45" s="656"/>
      <c r="J45" s="657"/>
      <c r="K45" s="582"/>
    </row>
    <row r="46" spans="2:11" ht="15.75">
      <c r="B46" s="27" t="s">
        <v>118</v>
      </c>
      <c r="C46" s="29"/>
      <c r="D46" s="387">
        <f>C74</f>
        <v>0</v>
      </c>
      <c r="E46" s="32">
        <f>D74</f>
        <v>0</v>
      </c>
      <c r="G46" s="659">
        <f>summ!F32</f>
        <v>2.938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2.739</v>
      </c>
      <c r="H85" s="632" t="str">
        <f>CONCATENATE("Total ",E1," Mill Rate")</f>
        <v>Total 2014 Mill Rate</v>
      </c>
      <c r="I85" s="656"/>
      <c r="J85" s="657"/>
      <c r="K85" s="582"/>
    </row>
    <row r="86" spans="7:11" ht="15.75">
      <c r="G86" s="659">
        <f>summ!F32</f>
        <v>2.938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Washington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2.739</v>
      </c>
      <c r="H45" s="632" t="str">
        <f>CONCATENATE("Total ",E1," Mill Rate")</f>
        <v>Total 2014 Mill Rate</v>
      </c>
      <c r="I45" s="656"/>
      <c r="J45" s="657"/>
      <c r="K45" s="582"/>
    </row>
    <row r="46" spans="2:11" ht="15.75">
      <c r="B46" s="27" t="s">
        <v>118</v>
      </c>
      <c r="C46" s="29"/>
      <c r="D46" s="387">
        <f>C74</f>
        <v>0</v>
      </c>
      <c r="E46" s="32">
        <f>D74</f>
        <v>0</v>
      </c>
      <c r="G46" s="659">
        <f>summ!F32</f>
        <v>2.938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2.739</v>
      </c>
      <c r="H85" s="632" t="str">
        <f>CONCATENATE("Total ",E1," Mill Rate")</f>
        <v>Total 2014 Mill Rate</v>
      </c>
      <c r="I85" s="656"/>
      <c r="J85" s="657"/>
      <c r="K85" s="582"/>
    </row>
    <row r="86" spans="7:11" ht="15.75">
      <c r="G86" s="659">
        <f>summ!F32</f>
        <v>2.938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Washington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Washington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948</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6163</v>
      </c>
      <c r="E16" s="187">
        <v>2400</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2400</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6163</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3.008</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3.008</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2400</v>
      </c>
    </row>
    <row r="55" spans="1:5" ht="15">
      <c r="A55" s="327" t="str">
        <f>CONCATENATE("Assessed Valuation (",D5-2," budget column)")</f>
        <v>Assessed Valuation (2012 budget column)</v>
      </c>
      <c r="B55" s="328"/>
      <c r="C55" s="267"/>
      <c r="D55" s="28"/>
      <c r="E55" s="187">
        <v>797859</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7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Washington Township</v>
      </c>
      <c r="C5" s="766"/>
      <c r="D5" s="766"/>
      <c r="E5" s="766"/>
      <c r="F5" s="766"/>
      <c r="G5" s="766"/>
      <c r="H5" s="766"/>
      <c r="I5" s="766"/>
    </row>
    <row r="6" spans="2:9" ht="15">
      <c r="B6" s="766" t="str">
        <f>inputPrYr!D3</f>
        <v>JEWELL COUNTY</v>
      </c>
      <c r="C6" s="766"/>
      <c r="D6" s="766"/>
      <c r="E6" s="766"/>
      <c r="F6" s="766"/>
      <c r="G6" s="766"/>
      <c r="H6" s="766"/>
      <c r="I6" s="766"/>
    </row>
    <row r="7" spans="2:9" ht="15">
      <c r="B7" s="764" t="str">
        <f>CONCATENATE("will meet on ",inputBudSum!B8," at ",inputBudSum!B10," at ",inputBudSum!B12," for the purpose of hearing and")</f>
        <v>will meet on August 1, 2013 at 8:00 p.m. at Walt Holdren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",inputBudSum!B15," and will be available at this hearing.")</f>
        <v>Detailed budget information is available from a Township Officer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2078</v>
      </c>
      <c r="D18" s="524">
        <f>IF(inputPrYr!D42&gt;0,inputPrYr!D42,"  ")</f>
        <v>3.008</v>
      </c>
      <c r="E18" s="32">
        <f>IF(gen!$D$50&lt;&gt;0,gen!$D$50,"  ")</f>
        <v>3000</v>
      </c>
      <c r="F18" s="235">
        <f>IF(inputOth!D17&gt;0,inputOth!D17,"  ")</f>
        <v>2.938</v>
      </c>
      <c r="G18" s="32">
        <f>IF(gen!$E$50&lt;&gt;0,gen!$E$50,"  ")</f>
        <v>4824</v>
      </c>
      <c r="H18" s="32">
        <f>IF(gen!$E$57&lt;&gt;0,gen!$E$57," ")</f>
        <v>2399.6000000000004</v>
      </c>
      <c r="I18" s="526">
        <f>IF(gen!E57&gt;0,ROUND(H18/$G$37*1000,3)," ")</f>
        <v>2.739</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876</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2.938</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174.39999999999964</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2078</v>
      </c>
      <c r="D32" s="478">
        <f t="shared" si="0"/>
        <v>3.008</v>
      </c>
      <c r="E32" s="527">
        <f t="shared" si="0"/>
        <v>3000</v>
      </c>
      <c r="F32" s="478">
        <f t="shared" si="0"/>
        <v>2.938</v>
      </c>
      <c r="G32" s="527">
        <f t="shared" si="0"/>
        <v>4824</v>
      </c>
      <c r="H32" s="527">
        <f t="shared" si="0"/>
        <v>2399.6000000000004</v>
      </c>
      <c r="I32" s="530">
        <f t="shared" si="0"/>
        <v>2.739</v>
      </c>
      <c r="K32" s="833" t="str">
        <f>CONCATENATE("Impact On Keeping The Same Mill Rate As For ",I1-1,"")</f>
        <v>Impact On Keeping The Same Mill Rate As For 2013</v>
      </c>
      <c r="L32" s="834"/>
      <c r="M32" s="834"/>
      <c r="N32" s="835"/>
    </row>
    <row r="33" spans="2:14" ht="15">
      <c r="B33" s="274" t="s">
        <v>44</v>
      </c>
      <c r="C33" s="32">
        <f>transfer!C29</f>
        <v>0</v>
      </c>
      <c r="D33" s="14"/>
      <c r="E33" s="32">
        <f>transfer!D29</f>
        <v>0</v>
      </c>
      <c r="F33" s="61"/>
      <c r="G33" s="32">
        <f>transfer!E29</f>
        <v>0</v>
      </c>
      <c r="H33" s="14"/>
      <c r="I33" s="14"/>
      <c r="K33" s="507"/>
      <c r="L33" s="501"/>
      <c r="M33" s="501"/>
      <c r="N33" s="508"/>
    </row>
    <row r="34" spans="2:14" ht="15.75" thickBot="1">
      <c r="B34" s="274" t="s">
        <v>45</v>
      </c>
      <c r="C34" s="528">
        <f>C32-C33</f>
        <v>2078</v>
      </c>
      <c r="D34" s="14"/>
      <c r="E34" s="528">
        <f>E32-E33</f>
        <v>3000</v>
      </c>
      <c r="F34" s="14"/>
      <c r="G34" s="528">
        <f>G32-G33</f>
        <v>4824</v>
      </c>
      <c r="H34" s="14"/>
      <c r="I34" s="14"/>
      <c r="K34" s="507" t="str">
        <f>CONCATENATE("",I1," Ad Valorem Tax Revenue:")</f>
        <v>2014 Ad Valorem Tax Revenue:</v>
      </c>
      <c r="L34" s="501"/>
      <c r="M34" s="501"/>
      <c r="N34" s="502">
        <f>H32</f>
        <v>2399.6000000000004</v>
      </c>
    </row>
    <row r="35" spans="2:14" ht="15.75" thickTop="1">
      <c r="B35" s="274" t="s">
        <v>46</v>
      </c>
      <c r="C35" s="529">
        <f>inputPrYr!E54</f>
        <v>2400</v>
      </c>
      <c r="D35" s="61"/>
      <c r="E35" s="529">
        <f>inputPrYr!E26</f>
        <v>2400</v>
      </c>
      <c r="F35" s="14"/>
      <c r="G35" s="520" t="s">
        <v>289</v>
      </c>
      <c r="H35" s="14"/>
      <c r="I35" s="14"/>
      <c r="K35" s="507" t="str">
        <f>CONCATENATE("",I1-1," Ad Valorem Tax Revenue:")</f>
        <v>2013 Ad Valorem Tax Revenue:</v>
      </c>
      <c r="L35" s="501"/>
      <c r="M35" s="501"/>
      <c r="N35" s="515">
        <f>ROUND(G37*N27/1000,0)</f>
        <v>2574</v>
      </c>
    </row>
    <row r="36" spans="2:14" ht="15">
      <c r="B36" s="274" t="s">
        <v>47</v>
      </c>
      <c r="C36" s="55"/>
      <c r="D36" s="61"/>
      <c r="E36" s="55"/>
      <c r="F36" s="61"/>
      <c r="G36" s="14"/>
      <c r="H36" s="14"/>
      <c r="I36" s="14"/>
      <c r="K36" s="512" t="s">
        <v>717</v>
      </c>
      <c r="L36" s="513"/>
      <c r="M36" s="513"/>
      <c r="N36" s="505">
        <f>N34-N35</f>
        <v>-174.39999999999964</v>
      </c>
    </row>
    <row r="37" spans="2:14" ht="15">
      <c r="B37" s="274" t="s">
        <v>48</v>
      </c>
      <c r="C37" s="32">
        <f>inputPrYr!E55</f>
        <v>797859</v>
      </c>
      <c r="D37" s="14"/>
      <c r="E37" s="32">
        <f>inputOth!E29</f>
        <v>816925</v>
      </c>
      <c r="F37" s="14"/>
      <c r="G37" s="32">
        <f>inputOth!E7</f>
        <v>875969</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2.739</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Walter Holdren</v>
      </c>
      <c r="C46" s="832"/>
      <c r="D46" s="14"/>
      <c r="E46" s="14"/>
      <c r="F46" s="14"/>
      <c r="G46" s="14"/>
      <c r="H46" s="14"/>
      <c r="I46" s="14"/>
    </row>
    <row r="47" spans="2:9" ht="15.75">
      <c r="B47" s="830" t="str">
        <f>inputBudSum!B6</f>
        <v>Township Officer</v>
      </c>
      <c r="C47" s="831"/>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Washington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875969</v>
      </c>
      <c r="E19" s="14"/>
      <c r="F19" s="129"/>
    </row>
    <row r="20" spans="1:6" ht="15.75">
      <c r="A20" s="14"/>
      <c r="B20" s="14"/>
      <c r="C20" s="14"/>
      <c r="D20" s="14"/>
      <c r="E20" s="14"/>
      <c r="F20" s="129"/>
    </row>
    <row r="21" spans="1:6" ht="15.75">
      <c r="A21" s="14"/>
      <c r="B21" s="842" t="s">
        <v>365</v>
      </c>
      <c r="C21" s="842"/>
      <c r="D21" s="137">
        <f>IF(D19&gt;0,(D19*0.001),"")</f>
        <v>875.969</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Washington Township </v>
      </c>
      <c r="I6">
        <f>CONCATENATE(I7)</f>
      </c>
    </row>
    <row r="7" spans="1:7" ht="15.75">
      <c r="A7" s="852" t="str">
        <f>CONCATENATE("   with respect to financing the ",inputPrYr!D5," annual budget for ",(inputPrYr!D2)," , ",(inputPrYr!D3)," , Kansas.")</f>
        <v>   with respect to financing the 2014 annual budget for Washington Township , JEWELL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Washington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Washington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Washington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Washington Township of JEWELL COUNTY, Kansas that is our desire to notify the public of increased property taxes to finance the 2014 Washington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Washington Township Board, JEWELL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Washington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Washington Township</v>
      </c>
      <c r="B1" s="90"/>
      <c r="C1" s="90"/>
      <c r="D1" s="90"/>
      <c r="E1" s="90">
        <f>inputPrYr!D5</f>
        <v>2014</v>
      </c>
    </row>
    <row r="2" spans="1:5" ht="15">
      <c r="A2" s="88" t="str">
        <f>inputPrYr!D3</f>
        <v>JEWELL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875969</v>
      </c>
    </row>
    <row r="8" spans="1:5" ht="15">
      <c r="A8" s="22" t="str">
        <f>CONCATENATE("New Improvements for ",E1-1,"")</f>
        <v>New Improvements for 2013</v>
      </c>
      <c r="B8" s="19"/>
      <c r="C8" s="19"/>
      <c r="D8" s="19"/>
      <c r="E8" s="283">
        <v>790</v>
      </c>
    </row>
    <row r="9" spans="1:5" ht="15">
      <c r="A9" s="22" t="str">
        <f>CONCATENATE("Personal Property excluding oil, gas, and mobile homes - ",E1-1,"")</f>
        <v>Personal Property excluding oil, gas, and mobile homes - 2013</v>
      </c>
      <c r="B9" s="19"/>
      <c r="C9" s="19"/>
      <c r="D9" s="19"/>
      <c r="E9" s="283">
        <v>31135</v>
      </c>
    </row>
    <row r="10" spans="1:5" ht="15">
      <c r="A10" s="22" t="str">
        <f>CONCATENATE("Property that has changed in use for ",E1-1,"")</f>
        <v>Property that has changed in use for 2013</v>
      </c>
      <c r="B10" s="19"/>
      <c r="C10" s="19"/>
      <c r="D10" s="19"/>
      <c r="E10" s="283">
        <v>434</v>
      </c>
    </row>
    <row r="11" spans="1:5" ht="15">
      <c r="A11" s="22" t="str">
        <f>CONCATENATE("Personal Property excluding oil, gas, and mobile homes- ",E1-2,"")</f>
        <v>Personal Property excluding oil, gas, and mobile homes- 2012</v>
      </c>
      <c r="B11" s="19"/>
      <c r="C11" s="19"/>
      <c r="D11" s="19"/>
      <c r="E11" s="283">
        <v>35173</v>
      </c>
    </row>
    <row r="12" spans="1:5" ht="15">
      <c r="A12" s="22" t="str">
        <f>CONCATENATE("Gross earnings (intangible) tax estimate for ",E1,"")</f>
        <v>Gross earnings (intangible) tax estimate for 2014</v>
      </c>
      <c r="B12" s="19"/>
      <c r="C12" s="19"/>
      <c r="D12" s="19"/>
      <c r="E12" s="283">
        <v>0</v>
      </c>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2.938</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2.938</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816925</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181</v>
      </c>
    </row>
    <row r="33" spans="1:5" ht="15">
      <c r="A33" s="296" t="s">
        <v>276</v>
      </c>
      <c r="B33" s="267"/>
      <c r="C33" s="267"/>
      <c r="D33" s="31"/>
      <c r="E33" s="34">
        <v>5</v>
      </c>
    </row>
    <row r="34" spans="1:5" ht="15">
      <c r="A34" s="296" t="s">
        <v>160</v>
      </c>
      <c r="B34" s="267"/>
      <c r="C34" s="267"/>
      <c r="D34" s="31"/>
      <c r="E34" s="34">
        <v>80</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5800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949</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22,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41477</v>
      </c>
    </row>
    <row r="22" spans="1:7" ht="15.75">
      <c r="A22" s="354" t="s">
        <v>373</v>
      </c>
      <c r="B22" s="354" t="s">
        <v>378</v>
      </c>
      <c r="C22" s="354"/>
      <c r="D22" s="354"/>
      <c r="E22" s="354"/>
      <c r="G22" s="714">
        <f>IF(B8="","",MONTH(G21))</f>
        <v>7</v>
      </c>
    </row>
    <row r="23" spans="1:7" ht="15.75">
      <c r="A23" s="354"/>
      <c r="B23" s="354"/>
      <c r="C23" s="354"/>
      <c r="D23" s="354"/>
      <c r="E23" s="354"/>
      <c r="G23" s="715">
        <f>IF(B8="","",DAY(G21))</f>
        <v>22</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4">
      <selection activeCell="E40" sqref="E4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75">
      <c r="B3" s="764" t="str">
        <f>CONCATENATE("To the Clerk of ",inputPrYr!D3,", State of Kansas")</f>
        <v>To the Clerk of JEWELL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Washington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4824</v>
      </c>
      <c r="F21" s="722">
        <f>IF(gen!$E$57&lt;&gt;0,gen!$E$57,0)</f>
        <v>2399.6000000000004</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4824</v>
      </c>
      <c r="F35" s="724">
        <f>SUM(F21:F30)</f>
        <v>2399.6000000000004</v>
      </c>
      <c r="G35" s="725">
        <f>IF(SUM(G21:G30)&gt;0,SUM(G21:G30),"")</f>
      </c>
    </row>
    <row r="36" spans="2:4" s="14" customFormat="1" ht="15.75" thickTop="1">
      <c r="B36" s="27" t="s">
        <v>168</v>
      </c>
      <c r="C36" s="259"/>
      <c r="D36" s="264">
        <f>summ!D49</f>
        <v>7</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
      <c r="B42" s="274" t="s">
        <v>291</v>
      </c>
      <c r="E42" s="19"/>
      <c r="G42" s="22"/>
    </row>
    <row r="43" spans="2:7" s="14" customFormat="1" ht="15">
      <c r="B43" s="275" t="s">
        <v>944</v>
      </c>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7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Washington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2400</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2400</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790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31135</v>
      </c>
      <c r="F14" s="246"/>
      <c r="G14" s="55"/>
      <c r="H14" s="55"/>
      <c r="I14" s="53"/>
      <c r="J14" s="55"/>
    </row>
    <row r="15" spans="1:10" ht="15">
      <c r="A15" s="245"/>
      <c r="B15" s="14" t="s">
        <v>87</v>
      </c>
      <c r="C15" s="14" t="str">
        <f>CONCATENATE("Personal Property ",J1-2,"")</f>
        <v>Personal Property 2012</v>
      </c>
      <c r="D15" s="245" t="s">
        <v>82</v>
      </c>
      <c r="E15" s="249">
        <f>inputOth!E11</f>
        <v>35173</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434</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1224</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875969</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874745</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0.0013992649286363454</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3</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2403</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2403</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22">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Washington Township</v>
      </c>
      <c r="C1" s="14"/>
      <c r="D1" s="14"/>
      <c r="E1" s="14"/>
      <c r="F1" s="14"/>
      <c r="G1" s="14"/>
      <c r="H1" s="14"/>
      <c r="I1" s="14"/>
      <c r="J1" s="15">
        <f>inputPrYr!D5</f>
        <v>2014</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2400</v>
      </c>
      <c r="E11" s="131">
        <f>IF(inputOth!D17&gt;0,inputOth!D17,"  ")</f>
        <v>2.938</v>
      </c>
      <c r="F11" s="717"/>
      <c r="G11" s="161">
        <f>IF(inputPrYr!E16=0,0,G23-SUM(G12:G20))</f>
        <v>181</v>
      </c>
      <c r="H11" s="718"/>
      <c r="I11" s="161">
        <f>IF(inputPrYr!E16=0,0,I25-SUM(I12:I20))</f>
        <v>5</v>
      </c>
      <c r="J11" s="161">
        <f>IF(inputPrYr!E16=0,0,J27-SUM(J12:J20))</f>
        <v>80</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2400</v>
      </c>
      <c r="E21" s="720">
        <f>SUM(E11:E20)</f>
        <v>2.938</v>
      </c>
      <c r="F21" s="721"/>
      <c r="G21" s="719">
        <f>SUM(G11:G20)</f>
        <v>181</v>
      </c>
      <c r="H21" s="719"/>
      <c r="I21" s="719">
        <f>SUM(I11:I20)</f>
        <v>5</v>
      </c>
      <c r="J21" s="719">
        <f>SUM(J11:J20)</f>
        <v>80</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181</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5</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80</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0.07541666666666667</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0.0020833333333333333</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0.03333333333333333</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Washington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0</v>
      </c>
      <c r="D27" s="228">
        <f>SUM(D10:D26)</f>
        <v>0</v>
      </c>
      <c r="E27" s="228">
        <f>SUM(E10:E26)</f>
        <v>0</v>
      </c>
      <c r="F27" s="129"/>
    </row>
    <row r="28" spans="1:6" ht="15">
      <c r="A28" s="129"/>
      <c r="B28" s="227" t="s">
        <v>609</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1.5">
      <c r="A12" s="481" t="s">
        <v>711</v>
      </c>
    </row>
    <row r="13" ht="15.75">
      <c r="A13" s="165"/>
    </row>
    <row r="14" ht="15.75">
      <c r="A14" s="165"/>
    </row>
    <row r="15" ht="61.5">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2013-06-25T18:54:48Z</cp:lastPrinted>
  <dcterms:created xsi:type="dcterms:W3CDTF">1998-08-26T16:30:41Z</dcterms:created>
  <dcterms:modified xsi:type="dcterms:W3CDTF">2013-06-25T19:09:56Z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