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<sst xmlns="http://schemas.openxmlformats.org/spreadsheetml/2006/main" count="1709" uniqueCount="968">
  <si>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</si>
  <si>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</si>
  <si>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</si>
  <si>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</si>
  <si>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</si>
  <si>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</si>
  <si>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</si>
  <si>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</si>
  <si>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</si>
  <si>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</si>
  <si>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</si>
  <si>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</si>
  <si>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</si>
  <si>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</si>
  <si>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</si>
  <si>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</si>
  <si>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</si>
  <si>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</si>
  <si>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</si>
  <si>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</si>
  <si>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</si>
  <si>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</si>
  <si>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</si>
  <si>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</si>
  <si>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</si>
  <si>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</si>
  <si>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</si>
  <si>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</si>
  <si>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</si>
  <si>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</si>
  <si>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</si>
  <si>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</si>
  <si>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</si>
  <si>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</si>
  <si>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</si>
  <si>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</si>
  <si>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</si>
  <si>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</si>
  <si>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</si>
  <si>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</si>
  <si>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</si>
  <si>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</si>
  <si>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</si>
  <si>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</si>
  <si>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</si>
  <si>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</si>
  <si>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</si>
  <si>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</si>
  <si>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</si>
  <si>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</si>
  <si>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</si>
  <si>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</si>
  <si>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</si>
  <si>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</si>
  <si>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</si>
  <si>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</si>
  <si>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</si>
  <si>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</si>
  <si>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</si>
  <si>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</si>
  <si>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</si>
  <si>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</si>
  <si>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</si>
  <si>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</si>
  <si>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</si>
  <si>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</si>
  <si>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</si>
  <si>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</si>
  <si>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</si>
  <si>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</si>
  <si>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</si>
  <si>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</si>
  <si>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</si>
  <si>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</si>
  <si>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</si>
  <si>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</si>
  <si>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</si>
  <si>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</si>
  <si>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</si>
  <si>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</si>
  <si>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</si>
  <si>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</si>
  <si>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</si>
  <si>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</si>
  <si>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</si>
  <si>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</si>
  <si>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</si>
  <si>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</si>
  <si>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</si>
  <si>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</si>
  <si>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</si>
  <si>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</si>
  <si>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</si>
  <si>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</si>
  <si>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</si>
  <si>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</si>
  <si>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</si>
  <si>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</si>
  <si>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</si>
  <si>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</si>
  <si>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</si>
  <si>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</si>
  <si>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</si>
  <si>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</si>
  <si>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</si>
  <si>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</si>
  <si>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</si>
  <si>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</si>
  <si>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</si>
  <si>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</si>
  <si>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</si>
  <si>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</si>
  <si>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</si>
  <si>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</si>
  <si>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</si>
  <si>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</si>
  <si>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</si>
  <si>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</si>
  <si>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</si>
  <si>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</si>
  <si>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</si>
  <si>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</si>
  <si>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</si>
  <si>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</si>
  <si>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</si>
  <si>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</si>
  <si>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</si>
  <si>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</si>
  <si>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</si>
  <si>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</si>
  <si>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</si>
  <si>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</si>
  <si>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</si>
  <si>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</si>
  <si>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</si>
  <si>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</si>
  <si>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</si>
  <si>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</si>
  <si>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</si>
  <si>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</si>
  <si>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</si>
  <si>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</si>
  <si>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</si>
  <si>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</si>
  <si>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</si>
  <si>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</si>
  <si>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</si>
  <si>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</si>
  <si>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</si>
  <si>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</si>
  <si>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</si>
  <si>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</si>
  <si>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</si>
  <si>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</si>
  <si>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</si>
  <si>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</si>
  <si>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</si>
  <si>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</si>
  <si>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</si>
  <si>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</si>
  <si>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</si>
  <si>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</si>
  <si>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</si>
  <si>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</si>
  <si>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</si>
  <si>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</si>
  <si>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</si>
  <si>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</si>
  <si>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</si>
  <si>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</si>
  <si>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</si>
  <si>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</si>
  <si>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</si>
  <si>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</si>
  <si>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</si>
  <si>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</si>
  <si>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</si>
  <si>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</si>
  <si>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</si>
  <si>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</si>
  <si>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</si>
  <si>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</si>
  <si>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</si>
  <si>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</si>
  <si>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</si>
  <si>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</si>
  <si>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</si>
  <si>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</si>
  <si>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</si>
  <si>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</si>
  <si>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</si>
  <si>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</si>
  <si>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</si>
  <si>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</si>
  <si>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</si>
  <si>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</si>
  <si>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</si>
  <si>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</si>
  <si>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</si>
  <si>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</si>
  <si>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</si>
  <si>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</si>
  <si>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</si>
  <si>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</si>
  <si>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</si>
  <si>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</si>
  <si>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</si>
  <si>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</si>
  <si>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</si>
  <si>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</si>
  <si>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</si>
  <si>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</si>
  <si>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</si>
  <si>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</si>
  <si>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</si>
  <si>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</si>
  <si>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</si>
  <si>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</si>
  <si>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</si>
  <si>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</si>
  <si>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</si>
  <si>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</si>
  <si>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</si>
  <si>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</si>
  <si>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</si>
  <si>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</si>
  <si>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</si>
  <si>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</si>
  <si>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</si>
  <si>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</si>
  <si>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</si>
  <si>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</si>
  <si>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</si>
  <si>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</si>
  <si>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</si>
  <si>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</si>
  <si>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</si>
  <si>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</si>
  <si>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</si>
  <si>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</si>
  <si>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</si>
  <si>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</si>
  <si>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</si>
  <si>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</si>
  <si>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</si>
  <si>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</si>
  <si>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</si>
  <si>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</si>
  <si>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</si>
  <si>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</si>
  <si>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</si>
  <si>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</si>
  <si>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</si>
  <si>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</si>
  <si>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</si>
  <si>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</si>
  <si>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</si>
  <si>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</si>
  <si>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</si>
  <si>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</si>
  <si>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</si>
  <si>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</si>
  <si>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</si>
  <si>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</si>
  <si>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</si>
  <si>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</si>
  <si>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</si>
  <si>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</si>
  <si>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</si>
  <si>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</si>
  <si>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</si>
  <si>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</si>
  <si>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</si>
  <si>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</si>
  <si>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</si>
  <si>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</si>
  <si>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</si>
  <si>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</si>
  <si>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</si>
  <si>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</si>
  <si>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</si>
  <si>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</si>
  <si>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</si>
  <si>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</si>
  <si>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</si>
  <si>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</si>
  <si>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</si>
  <si>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</si>
  <si>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</si>
  <si>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</si>
  <si>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</si>
  <si>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</si>
  <si>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</si>
  <si>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</si>
  <si>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</si>
  <si>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</si>
  <si>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</si>
  <si>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</si>
  <si>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</si>
  <si>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</si>
  <si>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</si>
  <si>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</si>
  <si>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</si>
  <si>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</si>
  <si>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</si>
  <si>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</si>
  <si>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</si>
  <si>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</si>
  <si>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</si>
  <si>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</si>
  <si>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</si>
  <si>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</si>
  <si>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</si>
  <si>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</si>
  <si>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</si>
  <si>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</si>
  <si>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</si>
  <si>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</si>
  <si>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</si>
  <si>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</si>
  <si>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</si>
  <si>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</si>
  <si>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</si>
  <si>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</si>
  <si>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</si>
  <si>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</si>
  <si>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</si>
  <si>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</si>
  <si>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</si>
  <si>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</si>
  <si>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</si>
  <si>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</si>
  <si>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</si>
  <si>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</si>
  <si>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</si>
  <si>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</si>
  <si>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</si>
  <si>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</si>
  <si>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</si>
  <si>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</si>
  <si>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</si>
  <si>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</si>
  <si>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</si>
  <si>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</si>
  <si>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</si>
  <si>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</si>
  <si>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</si>
  <si>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</si>
  <si>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</si>
  <si>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</si>
  <si>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</si>
  <si>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</si>
  <si>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</si>
  <si>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</si>
  <si>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</si>
  <si>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</si>
  <si>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</si>
  <si>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</si>
  <si>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</si>
  <si>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</si>
  <si>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</si>
  <si>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</si>
  <si>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</si>
  <si>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</si>
  <si>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</si>
  <si>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</si>
  <si>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</si>
  <si>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</si>
  <si>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</si>
  <si>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</si>
  <si>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</si>
  <si>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</si>
  <si>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</si>
  <si>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</si>
  <si>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</si>
  <si>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</si>
  <si>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</si>
  <si>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</si>
  <si>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</si>
  <si>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</si>
  <si>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</si>
  <si>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</si>
  <si>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</si>
  <si>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</si>
  <si>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</si>
  <si>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</si>
  <si>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</si>
  <si>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</si>
  <si>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</si>
  <si>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</si>
  <si>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</si>
  <si>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</si>
  <si>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</si>
  <si>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</si>
  <si>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</si>
  <si>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</si>
  <si>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</si>
  <si>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</si>
  <si>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</si>
  <si>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</si>
  <si>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</si>
  <si>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</si>
  <si>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</si>
  <si>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</si>
  <si>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</si>
  <si>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</si>
  <si>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</si>
  <si>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</si>
  <si>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</si>
  <si>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</si>
  <si>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</si>
  <si>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</si>
  <si>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</si>
  <si>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</si>
  <si>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</si>
  <si>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</si>
  <si>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</si>
  <si>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</si>
  <si>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</si>
  <si>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</si>
  <si>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</si>
  <si>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</si>
  <si>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</si>
  <si>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</si>
  <si>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</si>
  <si>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</si>
  <si>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</si>
  <si>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</si>
  <si>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</si>
  <si>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</si>
  <si>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</si>
  <si>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</si>
  <si>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</si>
  <si>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</si>
  <si>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</si>
  <si>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</si>
  <si>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</si>
  <si>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</si>
  <si>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</si>
  <si>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</si>
  <si>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</si>
  <si>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</si>
  <si>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</si>
  <si>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</si>
  <si>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</si>
  <si>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</si>
  <si>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</si>
  <si>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</si>
  <si>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</si>
  <si>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</si>
  <si>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</si>
  <si>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</si>
  <si>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</si>
  <si>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</si>
  <si>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</si>
  <si>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</si>
  <si>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</si>
  <si>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</si>
  <si>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</si>
  <si>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</si>
  <si>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</si>
  <si>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</si>
  <si>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</si>
  <si>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</si>
  <si>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</si>
  <si>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</si>
  <si>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</si>
  <si>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</si>
  <si>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</si>
  <si>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</si>
  <si>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</si>
  <si>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</si>
  <si>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</si>
  <si>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</si>
  <si>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</si>
  <si>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</si>
  <si>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</si>
  <si>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</si>
  <si>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</si>
  <si>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</si>
  <si>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</si>
  <si>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</si>
  <si>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</si>
  <si>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</si>
  <si>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</si>
  <si>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</si>
  <si>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</si>
  <si>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</si>
  <si>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</si>
  <si>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</si>
  <si>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</si>
  <si>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</si>
  <si>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</si>
  <si>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</si>
  <si>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</si>
  <si>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</si>
  <si>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</si>
  <si>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</si>
  <si>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</si>
  <si>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</si>
  <si>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</si>
  <si>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</si>
  <si>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</si>
  <si>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</si>
  <si>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</si>
  <si>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</si>
  <si>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</si>
  <si>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</si>
  <si>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</si>
  <si>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</si>
  <si>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</si>
  <si>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</si>
  <si>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</si>
  <si>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</si>
  <si>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</si>
  <si>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</si>
  <si>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</si>
  <si>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</si>
  <si>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</si>
  <si>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</si>
  <si>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</si>
  <si>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</si>
  <si>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</si>
  <si>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</si>
  <si>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</si>
  <si>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</si>
  <si>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</si>
  <si>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</si>
  <si>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</si>
  <si>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</si>
  <si>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</si>
  <si>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</si>
  <si>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</si>
  <si>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</si>
  <si>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</si>
  <si>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</si>
  <si>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</si>
  <si>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</si>
  <si>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</si>
  <si>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</si>
  <si>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</si>
  <si>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</si>
  <si>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</si>
  <si>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</si>
  <si>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</si>
  <si>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</si>
  <si>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</si>
  <si>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</si>
  <si>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</si>
  <si>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</si>
  <si>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</si>
  <si>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</si>
  <si>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</si>
  <si>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</si>
  <si>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</si>
  <si>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</si>
  <si>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</si>
  <si>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</si>
  <si>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</si>
  <si>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</si>
  <si>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</si>
  <si>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</si>
  <si>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</si>
  <si>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</si>
  <si>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</si>
  <si>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</si>
  <si>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</si>
  <si>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</si>
  <si>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</si>
  <si>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</si>
  <si>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</si>
  <si>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</si>
  <si>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</si>
  <si>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</si>
  <si>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</si>
  <si>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</si>
  <si>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</si>
  <si>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</si>
  <si>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</si>
  <si>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</si>
  <si>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</si>
  <si>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</si>
  <si>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</si>
  <si>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</si>
  <si>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</si>
  <si>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</si>
  <si>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</si>
  <si>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</si>
  <si>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</si>
  <si>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</si>
  <si>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</si>
  <si>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</si>
  <si>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</si>
  <si>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</si>
  <si>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</si>
  <si>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</si>
  <si>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</si>
  <si>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</si>
  <si>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</si>
  <si>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</si>
  <si>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</si>
  <si>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</si>
  <si>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</si>
  <si>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</si>
  <si>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</si>
  <si>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</si>
  <si>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</si>
  <si>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</si>
  <si>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</si>
  <si>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</si>
  <si>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</si>
  <si>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</si>
  <si>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</si>
  <si>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</si>
  <si>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</si>
  <si>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</si>
  <si>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</si>
  <si>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</si>
  <si>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</si>
  <si>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</si>
  <si>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</si>
  <si>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</si>
  <si>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</si>
  <si>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</si>
  <si>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</si>
  <si>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</si>
  <si>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</si>
  <si>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</si>
  <si>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</si>
  <si>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</si>
  <si>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</si>
  <si>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</si>
  <si>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</si>
  <si>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</si>
  <si>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</si>
  <si>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</si>
  <si>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</si>
  <si>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</si>
  <si>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</si>
  <si>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</si>
  <si>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</si>
  <si>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</si>
  <si>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</si>
  <si>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</si>
  <si>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</si>
  <si>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</si>
  <si>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</si>
  <si>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</si>
  <si>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</si>
  <si>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</si>
  <si>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</si>
  <si>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</si>
  <si>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</si>
  <si>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</si>
  <si>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</si>
  <si>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</si>
  <si>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</si>
  <si>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</si>
  <si>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</si>
  <si>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</si>
  <si>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</si>
  <si>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</si>
  <si>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</si>
  <si>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</si>
  <si>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</si>
  <si>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</si>
  <si>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</si>
  <si>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</si>
  <si>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</si>
  <si>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</si>
  <si>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</si>
  <si>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</si>
  <si>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</si>
  <si>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</si>
  <si>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</si>
  <si>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</si>
  <si>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</si>
  <si>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</si>
  <si>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</si>
  <si>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</si>
  <si>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</si>
  <si>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</si>
  <si>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</si>
  <si>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</si>
  <si>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</si>
  <si>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</si>
  <si>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</si>
  <si>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</si>
  <si>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</si>
  <si>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</si>
  <si>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</si>
  <si>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</si>
  <si>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</si>
  <si>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</si>
  <si>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</si>
  <si>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</si>
  <si>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</si>
  <si>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</si>
  <si>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</si>
  <si>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</si>
  <si>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</si>
  <si>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</si>
  <si>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</si>
  <si>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</si>
  <si>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</si>
  <si>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</si>
  <si>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</si>
  <si>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</si>
  <si>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</si>
  <si>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</si>
  <si>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</si>
  <si>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</si>
  <si>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</si>
  <si>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</si>
  <si>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</si>
  <si>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</si>
  <si>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</si>
  <si>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</si>
  <si>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</si>
  <si>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</si>
  <si>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</si>
  <si>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</si>
  <si>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</si>
  <si>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</si>
  <si>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</si>
  <si>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</si>
  <si>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</si>
  <si>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</si>
  <si>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</si>
  <si>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</si>
  <si>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</si>
  <si>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</si>
  <si>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</si>
  <si>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</si>
  <si>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</si>
  <si>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</si>
  <si>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</si>
  <si>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</si>
  <si>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</si>
  <si>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</si>
  <si>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</si>
  <si>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</si>
  <si>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</si>
  <si>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</si>
  <si>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</si>
  <si>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</si>
  <si>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</si>
  <si>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</si>
  <si>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</si>
  <si>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</si>
  <si>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</si>
  <si>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</si>
  <si>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</si>
  <si>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</si>
  <si>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</si>
  <si>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</si>
  <si>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</si>
  <si>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</si>
  <si>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</si>
  <si>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</si>
  <si>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</si>
  <si>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</si>
  <si>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</si>
  <si>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</si>
  <si>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</si>
  <si>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</si>
  <si>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</si>
  <si>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</si>
  <si>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</si>
  <si>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</si>
  <si>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</si>
  <si>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</si>
  <si>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</si>
  <si>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</si>
  <si>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</si>
  <si>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</si>
  <si>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</si>
  <si>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</si>
  <si>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</si>
  <si>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</si>
  <si>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</si>
  <si>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</si>
  <si>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</si>
  <si>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</si>
  <si>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</si>
  <si>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</si>
  <si>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</si>
  <si>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</si>
  <si>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</si>
  <si>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</si>
  <si>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</si>
  <si>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</si>
  <si>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</si>
  <si>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</si>
  <si>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</si>
  <si>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</si>
  <si>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</si>
  <si>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</si>
  <si>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</si>
  <si>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</si>
  <si>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</si>
  <si>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</si>
  <si>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</si>
  <si>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</si>
  <si>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</si>
  <si>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</si>
  <si>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</si>
  <si>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</si>
  <si>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</si>
  <si>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</si>
  <si>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</si>
  <si>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</si>
  <si>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</si>
  <si>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</si>
  <si>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</si>
  <si>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</si>
  <si>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</si>
  <si>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</si>
  <si>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</si>
  <si>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</si>
  <si>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</si>
  <si>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</si>
  <si>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</si>
  <si>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</si>
  <si>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</si>
  <si>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</si>
  <si>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</si>
  <si>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</si>
  <si>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</si>
  <si>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</si>
  <si>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</si>
  <si>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</si>
  <si>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</si>
  <si>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</si>
  <si>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</si>
  <si>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</si>
  <si>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</si>
  <si>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</si>
  <si>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</si>
  <si>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</si>
  <si>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</si>
  <si>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</si>
  <si>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</si>
  <si>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</si>
  <si>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</si>
  <si>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</si>
  <si>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</si>
  <si>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</si>
  <si>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</si>
  <si>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</si>
  <si>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</si>
  <si>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</si>
  <si>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</si>
  <si>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</si>
  <si>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</si>
  <si>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</si>
  <si>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</si>
  <si>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</si>
  <si>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</si>
  <si>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</si>
  <si>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</si>
  <si>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</si>
  <si>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</si>
  <si>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</si>
  <si>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</si>
  <si>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</si>
  <si>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</si>
  <si>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</si>
  <si>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</si>
  <si>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</si>
  <si>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</si>
  <si>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</si>
  <si>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</si>
  <si>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</si>
  <si>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</si>
  <si>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</si>
  <si>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</si>
  <si>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</si>
  <si>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</si>
  <si>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</si>
  <si>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</si>
  <si>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</si>
  <si>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</si>
  <si>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</si>
  <si>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</si>
  <si>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</si>
  <si>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</si>
  <si>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</si>
  <si>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</si>
  <si>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</si>
  <si>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</si>
  <si>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</si>
  <si>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</si>
  <si>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</si>
  <si>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</si>
  <si>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</si>
  <si>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</si>
  <si>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</si>
  <si>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</si>
  <si>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</si>
  <si>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</si>
  <si>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</si>
  <si>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</si>
  <si>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</si>
  <si>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</si>
  <si>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</si>
  <si>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</si>
  <si>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</si>
  <si>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</si>
  <si>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</si>
  <si>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</si>
  <si>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</si>
  <si>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</si>
  <si>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</si>
  <si>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</si>
  <si>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</si>
  <si>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</si>
  <si>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</si>
  <si>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</si>
  <si>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</si>
  <si>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</si>
  <si>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</si>
  <si>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</si>
  <si>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</si>
  <si>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</si>
  <si>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</si>
  <si>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</si>
  <si>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</si>
  <si>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</si>
  <si>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</si>
  <si>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</si>
  <si>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</si>
  <si>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</si>
  <si>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</si>
  <si>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</si>
  <si>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</si>
  <si>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</si>
  <si>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</si>
  <si>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</si>
  <si>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</si>
  <si>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</si>
  <si>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</si>
  <si>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</si>
  <si>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</si>
  <si>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</si>
  <si>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</si>
  <si>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</si>
  <si>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</si>
  <si>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</si>
  <si>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</si>
  <si>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</si>
  <si>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</si>
  <si>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</si>
  <si>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</si>
  <si>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</si>
  <si>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</si>
  <si>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</si>
  <si>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</si>
  <si>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</si>
  <si>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</si>
  <si>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General Expenses - Publishing etc</t>
  </si>
  <si>
    <t>Prairie Township</t>
  </si>
  <si>
    <t>Randall</t>
  </si>
  <si>
    <t>Steve McIntyre</t>
  </si>
  <si>
    <t>August 5, 2013</t>
  </si>
  <si>
    <t>7:30 p.m.</t>
  </si>
  <si>
    <t>Randall City Hall</t>
  </si>
  <si>
    <t>Fire Protection - City of Randall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</si>
</sst>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2" sqref="A12"/>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Prairie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Prairie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1804965</v>
      </c>
      <c r="F27" s="589"/>
      <c r="G27" s="594">
        <f>summ!F40</f>
        <v>1959734</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0.765</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Prairie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3655</v>
      </c>
      <c r="D6" s="390">
        <f>C51</f>
        <v>3883</v>
      </c>
      <c r="E6" s="261">
        <f>D51</f>
        <v>3530</v>
      </c>
    </row>
    <row r="7" spans="2:5" ht="15">
      <c r="B7" s="80" t="s">
        <v>72</v>
      </c>
      <c r="C7" s="390"/>
      <c r="D7" s="390"/>
      <c r="E7" s="315"/>
    </row>
    <row r="8" spans="2:5" ht="15">
      <c r="B8" s="80" t="s">
        <v>279</v>
      </c>
      <c r="C8" s="313">
        <v>1499</v>
      </c>
      <c r="D8" s="390">
        <f>IF(inputPrYr!H19&gt;0,inputPrYr!G20,inputPrYr!E20)</f>
        <v>1500</v>
      </c>
      <c r="E8" s="315" t="s">
        <v>258</v>
      </c>
    </row>
    <row r="9" spans="2:5" ht="15">
      <c r="B9" s="80" t="s">
        <v>280</v>
      </c>
      <c r="C9" s="313">
        <v>10</v>
      </c>
      <c r="D9" s="313"/>
      <c r="E9" s="171"/>
    </row>
    <row r="10" spans="2:5" ht="15">
      <c r="B10" s="80" t="s">
        <v>281</v>
      </c>
      <c r="C10" s="313">
        <v>143</v>
      </c>
      <c r="D10" s="313">
        <v>125</v>
      </c>
      <c r="E10" s="261">
        <f>mvalloc!G11</f>
        <v>125</v>
      </c>
    </row>
    <row r="11" spans="2:5" ht="15">
      <c r="B11" s="80" t="s">
        <v>282</v>
      </c>
      <c r="C11" s="313">
        <v>2</v>
      </c>
      <c r="D11" s="313">
        <v>2</v>
      </c>
      <c r="E11" s="261">
        <f>mvalloc!I11</f>
        <v>2</v>
      </c>
    </row>
    <row r="12" spans="2:5" ht="15">
      <c r="B12" s="316" t="s">
        <v>21</v>
      </c>
      <c r="C12" s="313">
        <v>19</v>
      </c>
      <c r="D12" s="313">
        <v>20</v>
      </c>
      <c r="E12" s="261">
        <f>mvalloc!J11</f>
        <v>22</v>
      </c>
    </row>
    <row r="13" spans="2:5" ht="15">
      <c r="B13" s="316" t="s">
        <v>113</v>
      </c>
      <c r="C13" s="313"/>
      <c r="D13" s="313"/>
      <c r="E13" s="261">
        <f>inputOth!E71</f>
        <v>0</v>
      </c>
    </row>
    <row r="14" spans="2:5" ht="15">
      <c r="B14" s="80" t="s">
        <v>283</v>
      </c>
      <c r="C14" s="313"/>
      <c r="D14" s="313"/>
      <c r="E14" s="261" t="str">
        <f>inputOth!E32</f>
        <v> </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v>6</v>
      </c>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1679</v>
      </c>
      <c r="D26" s="393">
        <f>SUM(D8:D24)</f>
        <v>1647</v>
      </c>
      <c r="E26" s="322">
        <f>SUM(E8:E24)</f>
        <v>149</v>
      </c>
    </row>
    <row r="27" spans="2:5" ht="15">
      <c r="B27" s="98" t="s">
        <v>287</v>
      </c>
      <c r="C27" s="393">
        <f>C26+C6</f>
        <v>5334</v>
      </c>
      <c r="D27" s="393">
        <f>D26+D6</f>
        <v>5530</v>
      </c>
      <c r="E27" s="322">
        <f>E26+E6</f>
        <v>3679</v>
      </c>
    </row>
    <row r="28" spans="2:5" ht="15">
      <c r="B28" s="80" t="s">
        <v>288</v>
      </c>
      <c r="C28" s="390"/>
      <c r="D28" s="390"/>
      <c r="E28" s="261"/>
    </row>
    <row r="29" spans="2:5" ht="15">
      <c r="B29" s="317" t="s">
        <v>960</v>
      </c>
      <c r="C29" s="313">
        <v>78</v>
      </c>
      <c r="D29" s="313">
        <v>500</v>
      </c>
      <c r="E29" s="171">
        <v>3679</v>
      </c>
    </row>
    <row r="30" spans="2:5" ht="15">
      <c r="B30" s="318" t="s">
        <v>53</v>
      </c>
      <c r="C30" s="313">
        <v>90</v>
      </c>
      <c r="D30" s="313"/>
      <c r="E30" s="171"/>
    </row>
    <row r="31" spans="2:5" ht="15">
      <c r="B31" s="318" t="s">
        <v>77</v>
      </c>
      <c r="C31" s="313"/>
      <c r="D31" s="313"/>
      <c r="E31" s="171"/>
    </row>
    <row r="32" spans="2:5" ht="15">
      <c r="B32" s="318" t="s">
        <v>54</v>
      </c>
      <c r="C32" s="313"/>
      <c r="D32" s="313"/>
      <c r="E32" s="171"/>
    </row>
    <row r="33" spans="2:5" ht="15">
      <c r="B33" s="318" t="s">
        <v>299</v>
      </c>
      <c r="C33" s="313"/>
      <c r="D33" s="313"/>
      <c r="E33" s="171"/>
    </row>
    <row r="34" spans="2:5" ht="15">
      <c r="B34" s="317" t="s">
        <v>55</v>
      </c>
      <c r="C34" s="313"/>
      <c r="D34" s="313"/>
      <c r="E34" s="171"/>
    </row>
    <row r="35" spans="2:5" ht="15">
      <c r="B35" s="317" t="s">
        <v>78</v>
      </c>
      <c r="C35" s="313"/>
      <c r="D35" s="313"/>
      <c r="E35" s="171"/>
    </row>
    <row r="36" spans="2:5" ht="15">
      <c r="B36" s="318" t="s">
        <v>80</v>
      </c>
      <c r="C36" s="313"/>
      <c r="D36" s="313"/>
      <c r="E36" s="171"/>
    </row>
    <row r="37" spans="2:5" ht="15">
      <c r="B37" s="318" t="s">
        <v>967</v>
      </c>
      <c r="C37" s="313">
        <v>1283</v>
      </c>
      <c r="D37" s="313">
        <v>1500</v>
      </c>
      <c r="E37" s="171">
        <v>1500</v>
      </c>
    </row>
    <row r="38" spans="2:5" ht="15">
      <c r="B38" s="318"/>
      <c r="C38" s="313"/>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1451</v>
      </c>
      <c r="D50" s="393">
        <f>SUM(D29:D43,D45,D47:D48)</f>
        <v>2000</v>
      </c>
      <c r="E50" s="322">
        <f>SUM(E29:E43,E47:E48,E45)</f>
        <v>5179</v>
      </c>
      <c r="G50" s="545">
        <f>D51</f>
        <v>3530</v>
      </c>
      <c r="H50" s="546" t="str">
        <f>CONCATENATE("",E1-1," Ending Cash Balance (est.)")</f>
        <v>2013 Ending Cash Balance (est.)</v>
      </c>
      <c r="I50" s="547"/>
      <c r="J50" s="84"/>
    </row>
    <row r="51" spans="2:10" ht="15">
      <c r="B51" s="80" t="s">
        <v>71</v>
      </c>
      <c r="C51" s="394">
        <f>C27-C50</f>
        <v>3883</v>
      </c>
      <c r="D51" s="394">
        <f>D27-D50</f>
        <v>3530</v>
      </c>
      <c r="E51" s="315" t="s">
        <v>258</v>
      </c>
      <c r="G51" s="545">
        <f>E26</f>
        <v>149</v>
      </c>
      <c r="H51" s="548" t="str">
        <f>CONCATENATE("",E1," Non-AV Receipts (est.)")</f>
        <v>2014 Non-AV Receipts (est.)</v>
      </c>
      <c r="I51" s="547"/>
      <c r="J51" s="84"/>
    </row>
    <row r="52" spans="2:11" ht="15">
      <c r="B52" s="117" t="str">
        <f>CONCATENATE("",E1-2,"/",E1-1," Budget Authority Amount:")</f>
        <v>2012/2013 Budget Authority Amount:</v>
      </c>
      <c r="C52" s="338">
        <f>inputOth!B83</f>
        <v>4925</v>
      </c>
      <c r="D52" s="68">
        <f>inputPrYr!D20</f>
        <v>4955</v>
      </c>
      <c r="E52" s="315" t="s">
        <v>258</v>
      </c>
      <c r="F52" s="324"/>
      <c r="G52" s="549">
        <f>IF(D56&gt;0,E55,E57)</f>
        <v>1500</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5179</v>
      </c>
      <c r="H53" s="548" t="str">
        <f>CONCATENATE("Total ",E1," Resources Available")</f>
        <v>Total 2014 Resources Available</v>
      </c>
      <c r="I53" s="547"/>
      <c r="J53" s="84"/>
    </row>
    <row r="54" spans="2:10" ht="15">
      <c r="B54" s="499" t="str">
        <f>CONCATENATE(C74,"      ",D74)</f>
        <v>      </v>
      </c>
      <c r="C54" s="813" t="s">
        <v>731</v>
      </c>
      <c r="D54" s="814"/>
      <c r="E54" s="261">
        <f>E50+E53</f>
        <v>5179</v>
      </c>
      <c r="G54" s="550"/>
      <c r="H54" s="548"/>
      <c r="I54" s="548"/>
      <c r="J54" s="84"/>
    </row>
    <row r="55" spans="2:10" ht="15">
      <c r="B55" s="499" t="str">
        <f>CONCATENATE(C75,"       ",D75)</f>
        <v>       </v>
      </c>
      <c r="C55" s="502"/>
      <c r="D55" s="501" t="s">
        <v>291</v>
      </c>
      <c r="E55" s="182">
        <f>IF(E54-E27&gt;0,E54-E27,0)</f>
        <v>1500</v>
      </c>
      <c r="G55" s="549">
        <f>ROUND(C50*0.05+C50,0)</f>
        <v>1524</v>
      </c>
      <c r="H55" s="548" t="str">
        <f>CONCATENATE("Less ",E1-2," Expenditures + 5%")</f>
        <v>Less 2012 Expenditures + 5%</v>
      </c>
      <c r="I55" s="547"/>
      <c r="J55" s="84"/>
    </row>
    <row r="56" spans="2:10" ht="15">
      <c r="B56" s="211"/>
      <c r="C56" s="500" t="s">
        <v>732</v>
      </c>
      <c r="D56" s="717">
        <f>inputOth!$E$77</f>
        <v>0</v>
      </c>
      <c r="E56" s="261">
        <f>ROUND(IF(D56&gt;0,(E55*D56),0),0)</f>
        <v>0</v>
      </c>
      <c r="G56" s="551">
        <f>G53-G55</f>
        <v>3655</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1500</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0.765</v>
      </c>
      <c r="H60" s="546" t="str">
        <f>CONCATENATE("",E1," Fund Mill Rate")</f>
        <v>2014 Fund Mill Rate</v>
      </c>
      <c r="I60" s="716"/>
      <c r="J60" s="726"/>
      <c r="K60" s="156"/>
    </row>
    <row r="61" spans="2:10" ht="15.75">
      <c r="B61" s="211" t="s">
        <v>272</v>
      </c>
      <c r="C61" s="153">
        <v>6</v>
      </c>
      <c r="D61" s="65"/>
      <c r="E61" s="65"/>
      <c r="G61" s="728">
        <f>summ!E18</f>
        <v>0.831</v>
      </c>
      <c r="H61" s="546" t="str">
        <f>CONCATENATE("",E1-1," Fund Mill Rate")</f>
        <v>2013 Fund Mill Rate</v>
      </c>
      <c r="I61" s="716"/>
      <c r="J61" s="726"/>
    </row>
    <row r="62" spans="7:10" ht="15.75">
      <c r="G62" s="729">
        <f>summ!H36</f>
        <v>0.765</v>
      </c>
      <c r="H62" s="546" t="str">
        <f>CONCATENATE("Total ",E1," Mill Rate")</f>
        <v>Total 2014 Mill Rate</v>
      </c>
      <c r="I62" s="716"/>
      <c r="J62" s="726"/>
    </row>
    <row r="63" spans="2:10" ht="15.75">
      <c r="B63" s="109"/>
      <c r="G63" s="728">
        <f>summ!E36</f>
        <v>0.831</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Prairie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0.765</v>
      </c>
      <c r="H45" s="665" t="str">
        <f>CONCATENATE("Total ",E1," Mill Rate")</f>
        <v>Total 2014 Mill Rate</v>
      </c>
      <c r="I45" s="689"/>
      <c r="J45" s="690"/>
    </row>
    <row r="46" spans="2:10" ht="15.75">
      <c r="B46" s="627" t="s">
        <v>96</v>
      </c>
      <c r="C46" s="632">
        <v>0</v>
      </c>
      <c r="D46" s="629">
        <f>C74</f>
        <v>0</v>
      </c>
      <c r="E46" s="630">
        <f>D74</f>
        <v>0</v>
      </c>
      <c r="F46" s="668"/>
      <c r="G46" s="692">
        <f>summ!E36</f>
        <v>0.831</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0.765</v>
      </c>
      <c r="H85" s="665" t="str">
        <f>CONCATENATE("Total ",E1," Mill Rate")</f>
        <v>Total 2014 Mill Rate</v>
      </c>
      <c r="I85" s="689"/>
      <c r="J85" s="690"/>
    </row>
    <row r="86" spans="7:10" ht="15.75">
      <c r="G86" s="692">
        <f>summ!E36</f>
        <v>0.831</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Prairie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0.765</v>
      </c>
      <c r="H55" s="546" t="str">
        <f>CONCATENATE("Total ",E1," Mill Rate")</f>
        <v>Total 2014 Mill Rate</v>
      </c>
      <c r="I55" s="716"/>
      <c r="J55" s="726"/>
    </row>
    <row r="56" spans="2:10" ht="15.75">
      <c r="B56" s="105" t="s">
        <v>296</v>
      </c>
      <c r="C56" s="338"/>
      <c r="D56" s="65"/>
      <c r="E56" s="65"/>
      <c r="G56" s="728">
        <f>summ!E36</f>
        <v>0.831</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Prairie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0.765</v>
      </c>
      <c r="H45" s="665" t="str">
        <f>CONCATENATE("Total ",E1," Mill Rate")</f>
        <v>Total 2014 Mill Rate</v>
      </c>
      <c r="I45" s="689"/>
      <c r="J45" s="690"/>
      <c r="K45" s="614"/>
    </row>
    <row r="46" spans="2:11" ht="15.75">
      <c r="B46" s="80" t="s">
        <v>70</v>
      </c>
      <c r="C46" s="313"/>
      <c r="D46" s="390">
        <f>C74</f>
        <v>0</v>
      </c>
      <c r="E46" s="261">
        <f>D74</f>
        <v>0</v>
      </c>
      <c r="G46" s="692">
        <f>summ!E36</f>
        <v>0.831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0.765</v>
      </c>
      <c r="H89" s="665" t="str">
        <f>CONCATENATE("Total ",E1," Mill Rate")</f>
        <v>Total 2014 Mill Rate</v>
      </c>
      <c r="I89" s="689"/>
      <c r="J89" s="690"/>
    </row>
    <row r="90" spans="7:10" ht="15.75">
      <c r="G90" s="692">
        <f>summ!E36</f>
        <v>0.831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Prairie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0.765</v>
      </c>
      <c r="H45" s="665" t="str">
        <f>CONCATENATE("Total ",E1," Mill Rate")</f>
        <v>Total 2014 Mill Rate</v>
      </c>
      <c r="I45" s="689"/>
      <c r="J45" s="690"/>
      <c r="K45" s="614"/>
    </row>
    <row r="46" spans="2:11" ht="15.75">
      <c r="B46" s="80" t="s">
        <v>70</v>
      </c>
      <c r="C46" s="313"/>
      <c r="D46" s="390">
        <f>C74</f>
        <v>0</v>
      </c>
      <c r="E46" s="261">
        <f>D74</f>
        <v>0</v>
      </c>
      <c r="G46" s="692">
        <f>summ!E36</f>
        <v>0.831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0.765</v>
      </c>
      <c r="H89" s="665" t="str">
        <f>CONCATENATE("Total ",E1," Mill Rate")</f>
        <v>Total 2014 Mill Rate</v>
      </c>
      <c r="I89" s="689"/>
      <c r="J89" s="690"/>
    </row>
    <row r="90" spans="7:10" ht="15.75">
      <c r="G90" s="692">
        <f>summ!E36</f>
        <v>0.831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Prairie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0.765</v>
      </c>
      <c r="H45" s="665" t="str">
        <f>CONCATENATE("Total ",E1," Mill Rate")</f>
        <v>Total 2014 Mill Rate</v>
      </c>
      <c r="I45" s="689"/>
      <c r="J45" s="690"/>
      <c r="K45" s="614"/>
    </row>
    <row r="46" spans="2:11" ht="15.75">
      <c r="B46" s="80" t="s">
        <v>70</v>
      </c>
      <c r="C46" s="313"/>
      <c r="D46" s="390">
        <f>C74</f>
        <v>0</v>
      </c>
      <c r="E46" s="261">
        <f>D74</f>
        <v>0</v>
      </c>
      <c r="G46" s="692">
        <f>summ!E36</f>
        <v>0.831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0.765</v>
      </c>
      <c r="H89" s="665" t="str">
        <f>CONCATENATE("Total ",E1," Mill Rate")</f>
        <v>Total 2014 Mill Rate</v>
      </c>
      <c r="I89" s="689"/>
      <c r="J89" s="690"/>
    </row>
    <row r="90" spans="7:10" ht="15.75">
      <c r="G90" s="692">
        <f>summ!E36</f>
        <v>0.831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Prairie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0.765</v>
      </c>
      <c r="H45" s="665" t="str">
        <f>CONCATENATE("Total ",E1," Mill Rate")</f>
        <v>Total 2014 Mill Rate</v>
      </c>
      <c r="I45" s="689"/>
      <c r="J45" s="690"/>
      <c r="K45" s="614"/>
    </row>
    <row r="46" spans="2:11" ht="15.75">
      <c r="B46" s="80" t="s">
        <v>70</v>
      </c>
      <c r="C46" s="313"/>
      <c r="D46" s="390">
        <f>C74</f>
        <v>0</v>
      </c>
      <c r="E46" s="261">
        <f>D74</f>
        <v>0</v>
      </c>
      <c r="G46" s="692">
        <f>summ!E36</f>
        <v>0.831</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0.765</v>
      </c>
      <c r="H89" s="665" t="str">
        <f>CONCATENATE("Total ",E1," Mill Rate")</f>
        <v>Total 2014 Mill Rate</v>
      </c>
      <c r="I89" s="689"/>
      <c r="J89" s="690"/>
    </row>
    <row r="90" spans="7:10" ht="15.75">
      <c r="G90" s="692">
        <f>summ!E36</f>
        <v>0.831</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Prairie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961</v>
      </c>
      <c r="E3" s="71"/>
    </row>
    <row r="4" spans="1:5" ht="15">
      <c r="A4" s="157" t="s">
        <v>227</v>
      </c>
      <c r="B4" s="65"/>
      <c r="C4" s="65"/>
      <c r="D4" s="158" t="s">
        <v>956</v>
      </c>
      <c r="E4" s="71"/>
    </row>
    <row r="5" spans="1:5" ht="15">
      <c r="A5" s="65"/>
      <c r="B5" s="65"/>
      <c r="C5" s="65"/>
      <c r="D5" s="65"/>
      <c r="E5" s="65"/>
    </row>
    <row r="6" spans="1:5" ht="15">
      <c r="A6" s="159" t="s">
        <v>149</v>
      </c>
      <c r="B6" s="65"/>
      <c r="C6" s="65"/>
      <c r="D6" s="110" t="s">
        <v>962</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4955</v>
      </c>
      <c r="E20" s="171">
        <v>1500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1500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4955</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0.901</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0.901</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1500</v>
      </c>
    </row>
    <row r="64" spans="1:5" ht="15">
      <c r="A64" s="188" t="str">
        <f>CONCATENATE("Assessed Valuation (",D9-2," budget column):")</f>
        <v>Assessed Valuation (2012 budget column):</v>
      </c>
      <c r="B64" s="164"/>
      <c r="C64" s="65"/>
      <c r="D64" s="65"/>
      <c r="E64" s="189">
        <v>1664197</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Prairie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Prairie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Prairie Township</v>
      </c>
      <c r="B5" s="795"/>
      <c r="C5" s="795"/>
      <c r="D5" s="795"/>
      <c r="E5" s="795"/>
      <c r="F5" s="795"/>
      <c r="G5" s="795"/>
      <c r="H5" s="795"/>
    </row>
    <row r="6" spans="1:8" ht="15">
      <c r="A6" s="795" t="str">
        <f>inputPrYr!D4</f>
        <v>JEWELL COUNTY</v>
      </c>
      <c r="B6" s="795"/>
      <c r="C6" s="795"/>
      <c r="D6" s="795"/>
      <c r="E6" s="795"/>
      <c r="F6" s="795"/>
      <c r="G6" s="795"/>
      <c r="H6" s="795"/>
    </row>
    <row r="7" spans="1:8" ht="15">
      <c r="A7" s="851" t="str">
        <f>CONCATENATE("will meet on ",inputBudSum!B8," at ",inputBudSum!B10," at ",inputBudSum!B12," for the purpose of hearing and")</f>
        <v>will meet on August 5, 2013 at 7:30 p.m. at Randall City Hall for the purpose of hearing and</v>
      </c>
      <c r="B7" s="851"/>
      <c r="C7" s="851"/>
      <c r="D7" s="851"/>
      <c r="E7" s="851"/>
      <c r="F7" s="851"/>
      <c r="G7" s="851"/>
      <c r="H7" s="851"/>
    </row>
    <row r="8" spans="1:8" ht="15.75">
      <c r="A8" s="792" t="s">
        <v>411</v>
      </c>
      <c r="B8" s="794"/>
      <c r="C8" s="794"/>
      <c r="D8" s="794"/>
      <c r="E8" s="794"/>
      <c r="F8" s="794"/>
      <c r="G8" s="794"/>
      <c r="H8" s="794"/>
    </row>
    <row r="9" spans="1:8" ht="15.75">
      <c r="A9" s="790" t="str">
        <f>CONCATENATE("Detailed budget information is available ",inputBudSum!B15," and will be available at this hearing.")</f>
        <v>Detailed budget information is available from a Township Officer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49"/>
      <c r="H16" s="76" t="s">
        <v>304</v>
      </c>
      <c r="I16" s="199"/>
    </row>
    <row r="17" spans="1:10" ht="15">
      <c r="A17" s="79" t="s">
        <v>254</v>
      </c>
      <c r="B17" s="79" t="s">
        <v>305</v>
      </c>
      <c r="C17" s="79" t="s">
        <v>306</v>
      </c>
      <c r="D17" s="79" t="s">
        <v>305</v>
      </c>
      <c r="E17" s="79" t="s">
        <v>306</v>
      </c>
      <c r="F17" s="494" t="s">
        <v>729</v>
      </c>
      <c r="G17" s="850"/>
      <c r="H17" s="79" t="s">
        <v>306</v>
      </c>
      <c r="I17" s="199"/>
      <c r="J17" s="524"/>
    </row>
    <row r="18" spans="1:10" ht="15">
      <c r="A18" s="90" t="str">
        <f>inputPrYr!B20</f>
        <v>General</v>
      </c>
      <c r="B18" s="90">
        <f>IF(gen!$C$50&lt;&gt;0,gen!$C$50,"  ")</f>
        <v>1451</v>
      </c>
      <c r="C18" s="93">
        <f>IF(inputPrYr!D49&gt;0,inputPrYr!D49,"  ")</f>
        <v>0.901</v>
      </c>
      <c r="D18" s="90">
        <f>IF(gen!$D$50&lt;&gt;0,gen!$D$50,"  ")</f>
        <v>2000</v>
      </c>
      <c r="E18" s="93">
        <f>IF(inputOth!D37&gt;0,inputOth!D37,"  ")</f>
        <v>0.831</v>
      </c>
      <c r="F18" s="90">
        <f>IF(gen!$E$50&lt;&gt;0,gen!$E$50,"  ")</f>
        <v>5179</v>
      </c>
      <c r="G18" s="90">
        <f>IF(gen!$E$57&lt;&gt;0,gen!$E$57,"")</f>
        <v>1500</v>
      </c>
      <c r="H18" s="93">
        <f>IF(gen!E57&gt;0,ROUND(G18/F40*1000,3)," ")</f>
        <v>0.765</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1960</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1702</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0.831</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
      <c r="A34" s="90" t="str">
        <f>IF((inputPrYr!$B41&gt;"  "),(nonbud!$A3),"  ")</f>
        <v>  </v>
      </c>
      <c r="B34" s="734" t="str">
        <f>IF((nonbud!$K$28)&lt;&gt;0,(nonbud!$K$28),"  ")</f>
        <v>  </v>
      </c>
      <c r="C34" s="338"/>
      <c r="D34" s="90"/>
      <c r="E34" s="93"/>
      <c r="F34" s="90"/>
      <c r="G34" s="90"/>
      <c r="H34" s="93"/>
      <c r="J34" s="513" t="s">
        <v>749</v>
      </c>
      <c r="K34" s="510"/>
      <c r="L34" s="510"/>
      <c r="M34" s="512">
        <f>M46*-1</f>
        <v>129</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1451</v>
      </c>
      <c r="C36" s="476">
        <f t="shared" si="0"/>
        <v>0.901</v>
      </c>
      <c r="D36" s="475">
        <f t="shared" si="0"/>
        <v>2000</v>
      </c>
      <c r="E36" s="476">
        <f t="shared" si="0"/>
        <v>0.831</v>
      </c>
      <c r="F36" s="475">
        <f t="shared" si="0"/>
        <v>5179</v>
      </c>
      <c r="G36" s="475">
        <f t="shared" si="0"/>
        <v>1500</v>
      </c>
      <c r="H36" s="476">
        <f t="shared" si="0"/>
        <v>0.765</v>
      </c>
      <c r="J36" s="841" t="str">
        <f>CONCATENATE("Impact On Keeping The Same Mill Rate As For ",H1-1,"")</f>
        <v>Impact On Keeping The Same Mill Rate As For 2013</v>
      </c>
      <c r="K36" s="844"/>
      <c r="L36" s="844"/>
      <c r="M36" s="845"/>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1451</v>
      </c>
      <c r="C38" s="65"/>
      <c r="D38" s="479">
        <f>D36-D37</f>
        <v>2000</v>
      </c>
      <c r="E38" s="65"/>
      <c r="F38" s="479">
        <f>F36-F37</f>
        <v>5179</v>
      </c>
      <c r="G38" s="65"/>
      <c r="H38" s="65"/>
      <c r="J38" s="519" t="str">
        <f>CONCATENATE("",H1," Ad Valorem Tax Rev(Township Only):")</f>
        <v>2014 Ad Valorem Tax Rev(Township Only):</v>
      </c>
      <c r="K38" s="10"/>
      <c r="L38" s="10"/>
      <c r="M38" s="522">
        <f>SUM(G21:G24)</f>
        <v>0</v>
      </c>
    </row>
    <row r="39" spans="1:13" ht="15.75" thickTop="1">
      <c r="A39" s="105" t="s">
        <v>0</v>
      </c>
      <c r="B39" s="230">
        <f>inputPrYr!E63</f>
        <v>1500</v>
      </c>
      <c r="C39" s="208"/>
      <c r="D39" s="230">
        <f>inputPrYr!E32</f>
        <v>1500</v>
      </c>
      <c r="E39" s="65"/>
      <c r="F39" s="480" t="s">
        <v>258</v>
      </c>
      <c r="G39" s="65"/>
      <c r="H39" s="65"/>
      <c r="J39" s="519" t="str">
        <f>CONCATENATE("",H1," Ad Valorem Tax Rev(Township Tot):")</f>
        <v>2014 Ad Valorem Tax Rev(Township Tot):</v>
      </c>
      <c r="K39" s="10"/>
      <c r="L39" s="10"/>
      <c r="M39" s="535">
        <f>SUM(G18,G19,G20,G25,G26,G27,G28,G29)</f>
        <v>1500</v>
      </c>
    </row>
    <row r="40" spans="1:13" ht="15">
      <c r="A40" s="105" t="s">
        <v>183</v>
      </c>
      <c r="B40" s="90">
        <f>inputPrYr!E64</f>
        <v>1664197</v>
      </c>
      <c r="C40" s="208"/>
      <c r="D40" s="90">
        <f>inputOth!E55</f>
        <v>1804965</v>
      </c>
      <c r="E40" s="208"/>
      <c r="F40" s="90">
        <f>inputOth!E11</f>
        <v>1959734</v>
      </c>
      <c r="G40" s="65"/>
      <c r="H40" s="65"/>
      <c r="J40" s="519" t="str">
        <f>CONCATENATE("Total ",H1," Ad Valorem Tax Revenue:")</f>
        <v>Total 2014 Ad Valorem Tax Revenue:</v>
      </c>
      <c r="K40" s="71"/>
      <c r="L40" s="71"/>
      <c r="M40" s="536">
        <f>M38+M39</f>
        <v>1500</v>
      </c>
    </row>
    <row r="41" spans="1:14" ht="15">
      <c r="A41" s="80" t="s">
        <v>238</v>
      </c>
      <c r="B41" s="209"/>
      <c r="C41" s="65"/>
      <c r="D41" s="178"/>
      <c r="E41" s="65"/>
      <c r="F41" s="90">
        <f>inputOth!E8</f>
        <v>1702067</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1629</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1629</v>
      </c>
      <c r="O43" s="529"/>
    </row>
    <row r="44" spans="1:13" ht="15">
      <c r="A44" s="72" t="s">
        <v>2</v>
      </c>
      <c r="B44" s="210">
        <f>H1-3</f>
        <v>2011</v>
      </c>
      <c r="C44" s="65"/>
      <c r="D44" s="210">
        <f>H1-2</f>
        <v>2012</v>
      </c>
      <c r="E44" s="65"/>
      <c r="F44" s="210">
        <f>H1-1</f>
        <v>2013</v>
      </c>
      <c r="G44" s="65"/>
      <c r="H44" s="65"/>
      <c r="J44" s="516" t="s">
        <v>739</v>
      </c>
      <c r="K44" s="515"/>
      <c r="L44" s="515"/>
      <c r="M44" s="514">
        <f>M40-M43</f>
        <v>-129</v>
      </c>
    </row>
    <row r="45" spans="1:13" ht="15">
      <c r="A45" s="72" t="s">
        <v>3</v>
      </c>
      <c r="B45" s="83">
        <f>inputPrYr!D67</f>
        <v>0</v>
      </c>
      <c r="C45" s="69"/>
      <c r="D45" s="83">
        <f>inputPrYr!E67</f>
        <v>0</v>
      </c>
      <c r="E45" s="69"/>
      <c r="F45" s="83">
        <f>debt!F11</f>
        <v>0</v>
      </c>
      <c r="G45" s="65"/>
      <c r="H45" s="65"/>
      <c r="J45" s="540" t="s">
        <v>744</v>
      </c>
      <c r="K45" s="541"/>
      <c r="L45" s="541"/>
      <c r="M45" s="536">
        <f>M38-M41</f>
        <v>0</v>
      </c>
    </row>
    <row r="46" spans="1:13" ht="15">
      <c r="A46" s="72" t="s">
        <v>284</v>
      </c>
      <c r="B46" s="83">
        <f>inputPrYr!D68</f>
        <v>0</v>
      </c>
      <c r="C46" s="69"/>
      <c r="D46" s="83">
        <f>inputPrYr!E68</f>
        <v>0</v>
      </c>
      <c r="E46" s="69"/>
      <c r="F46" s="83">
        <f>debt!F15</f>
        <v>0</v>
      </c>
      <c r="G46" s="65"/>
      <c r="H46" s="65"/>
      <c r="J46" s="513" t="s">
        <v>743</v>
      </c>
      <c r="K46" s="510"/>
      <c r="L46" s="510"/>
      <c r="M46" s="512">
        <f>M39-M42</f>
        <v>-129</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740</v>
      </c>
      <c r="K48" s="842"/>
      <c r="L48" s="842"/>
      <c r="M48" s="843"/>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8" t="str">
        <f>inputBudSum!B4</f>
        <v>Steve McIntyre</v>
      </c>
      <c r="B51" s="848"/>
      <c r="C51" s="65"/>
      <c r="D51" s="65"/>
      <c r="E51" s="65"/>
      <c r="F51" s="65"/>
      <c r="G51" s="65"/>
      <c r="H51" s="65"/>
      <c r="J51" s="519" t="str">
        <f>CONCATENATE("Current ",$H$1," Estimated Mill Rate:")</f>
        <v>Current 2014 Estimated Mill Rate:</v>
      </c>
      <c r="K51" s="10"/>
      <c r="L51" s="10"/>
      <c r="M51" s="532">
        <f>IF(M50=0,0,$H$36)</f>
        <v>0.765</v>
      </c>
    </row>
    <row r="52" spans="1:13" ht="15.75">
      <c r="A52" s="839" t="str">
        <f>inputBudSum!B6</f>
        <v>Township Officer</v>
      </c>
      <c r="B52" s="840"/>
      <c r="C52" s="65"/>
      <c r="D52" s="65"/>
      <c r="E52" s="65"/>
      <c r="F52" s="65"/>
      <c r="G52" s="65"/>
      <c r="H52" s="65"/>
      <c r="J52" s="519" t="s">
        <v>745</v>
      </c>
      <c r="K52" s="10"/>
      <c r="L52" s="10"/>
      <c r="M52" s="533">
        <f>M50-M51</f>
        <v>11.235</v>
      </c>
    </row>
    <row r="53" spans="1:13" ht="15">
      <c r="A53" s="65"/>
      <c r="B53" s="65"/>
      <c r="C53" s="65"/>
      <c r="D53" s="65"/>
      <c r="E53" s="65"/>
      <c r="F53" s="65"/>
      <c r="G53" s="65"/>
      <c r="H53" s="65"/>
      <c r="J53" s="505" t="s">
        <v>746</v>
      </c>
      <c r="K53" s="71"/>
      <c r="L53" s="71"/>
      <c r="M53" s="530">
        <f>IF(M50=0,0,ROUND(SUM(H21:H24)/M51,2))</f>
        <v>0</v>
      </c>
    </row>
    <row r="54" spans="1:13" ht="15">
      <c r="A54" s="65"/>
      <c r="B54" s="211" t="s">
        <v>272</v>
      </c>
      <c r="C54" s="212">
        <v>7</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Prairie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1959734</v>
      </c>
      <c r="E21" s="65"/>
      <c r="F21" s="192"/>
    </row>
    <row r="22" spans="1:6" ht="15.75">
      <c r="A22" s="65"/>
      <c r="B22" s="65"/>
      <c r="C22" s="65"/>
      <c r="D22" s="65"/>
      <c r="E22" s="65"/>
      <c r="F22" s="192"/>
    </row>
    <row r="23" spans="1:6" ht="15.75">
      <c r="A23" s="65"/>
      <c r="B23" s="854" t="s">
        <v>378</v>
      </c>
      <c r="C23" s="854"/>
      <c r="D23" s="348">
        <f>IF(D21&gt;0,(D21*0.001),"")</f>
        <v>1959.7340000000002</v>
      </c>
      <c r="E23" s="65"/>
      <c r="F23" s="192"/>
    </row>
    <row r="24" spans="1:6" ht="15.75">
      <c r="A24" s="65"/>
      <c r="B24" s="117"/>
      <c r="C24" s="117"/>
      <c r="D24" s="349"/>
      <c r="E24" s="65"/>
      <c r="F24" s="192"/>
    </row>
    <row r="25" spans="1:6" ht="15.75">
      <c r="A25" s="852" t="s">
        <v>379</v>
      </c>
      <c r="B25" s="779"/>
      <c r="C25" s="779"/>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Prairie Township </v>
      </c>
      <c r="I6">
        <f>CONCATENATE(I7)</f>
      </c>
    </row>
    <row r="7" spans="1:7" ht="15.75">
      <c r="A7" s="857" t="str">
        <f>CONCATENATE("   with respect to financing the ",inputPrYr!D9," annual budget for ",(inputPrYr!D3)," , ",(inputPrYr!D4)," , Kansas.")</f>
        <v>   with respect to financing the 2014 annual budget for Prairie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Prairie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Prairie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Prairie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Prairie Township of JEWELL COUNTY, Kansas that is our desire to notify the public of increased property taxes to finance the 2014 Prairie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Prairie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Prairie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Prairie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1702067</v>
      </c>
    </row>
    <row r="9" spans="1:5" ht="15">
      <c r="A9" s="15" t="str">
        <f>inputPrYr!$D$6</f>
        <v>Randall</v>
      </c>
      <c r="B9" s="16"/>
      <c r="C9" s="16"/>
      <c r="D9" s="16"/>
      <c r="E9" s="35">
        <v>257667</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1959734</v>
      </c>
    </row>
    <row r="12" spans="1:5" ht="15">
      <c r="A12" s="54" t="str">
        <f>CONCATENATE("New Improvements for ",E1-1,":")</f>
        <v>New Improvements for 2013:</v>
      </c>
      <c r="B12" s="10"/>
      <c r="C12" s="10"/>
      <c r="D12" s="10"/>
      <c r="E12" s="34"/>
    </row>
    <row r="13" spans="1:5" ht="15">
      <c r="A13" s="13" t="s">
        <v>158</v>
      </c>
      <c r="B13" s="14"/>
      <c r="C13" s="14"/>
      <c r="D13" s="14"/>
      <c r="E13" s="52">
        <v>6088</v>
      </c>
    </row>
    <row r="14" spans="1:5" ht="15">
      <c r="A14" s="15" t="str">
        <f>inputPrYr!$D$6</f>
        <v>Randall</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6088</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48727</v>
      </c>
    </row>
    <row r="19" spans="1:5" ht="15">
      <c r="A19" s="15" t="str">
        <f>inputPrYr!$D$6</f>
        <v>Randall</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48727</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2361</v>
      </c>
    </row>
    <row r="24" spans="1:5" ht="15">
      <c r="A24" s="15" t="str">
        <f>inputPrYr!$D$6</f>
        <v>Randall</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2361</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47102</v>
      </c>
    </row>
    <row r="29" spans="1:5" ht="15">
      <c r="A29" s="15" t="str">
        <f>inputPrYr!$D$6</f>
        <v>Randall</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47102</v>
      </c>
    </row>
    <row r="32" spans="1:5" ht="15">
      <c r="A32" s="15" t="str">
        <f>CONCATENATE("Gross earnings (intangible) tax estimate for ",E1,"")</f>
        <v>Gross earnings (intangible) tax estimate for 2014</v>
      </c>
      <c r="B32" s="16"/>
      <c r="C32" s="16"/>
      <c r="D32" s="16"/>
      <c r="E32" s="3" t="s">
        <v>246</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0.831</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0.831</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1539964</v>
      </c>
    </row>
    <row r="53" spans="1:5" ht="15">
      <c r="A53" s="16" t="str">
        <f>inputPrYr!D6</f>
        <v>Randall</v>
      </c>
      <c r="B53" s="16"/>
      <c r="C53" s="16"/>
      <c r="D53" s="20"/>
      <c r="E53" s="4">
        <v>265001</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1804965</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125</v>
      </c>
    </row>
    <row r="60" spans="1:5" ht="15">
      <c r="A60" s="15" t="s">
        <v>245</v>
      </c>
      <c r="B60" s="16"/>
      <c r="C60" s="16"/>
      <c r="D60" s="40"/>
      <c r="E60" s="2">
        <v>2</v>
      </c>
    </row>
    <row r="61" spans="1:5" ht="15">
      <c r="A61" s="15" t="s">
        <v>112</v>
      </c>
      <c r="B61" s="16"/>
      <c r="C61" s="16"/>
      <c r="D61" s="40"/>
      <c r="E61" s="2">
        <v>22</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4925</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660</v>
      </c>
      <c r="C6" s="883"/>
      <c r="D6" s="883"/>
      <c r="E6" s="883"/>
      <c r="F6" s="883"/>
      <c r="G6" s="883"/>
      <c r="H6" s="883"/>
      <c r="I6" s="883"/>
      <c r="J6" s="883"/>
      <c r="K6" s="883"/>
      <c r="L6" s="397"/>
    </row>
    <row r="7" spans="1:12" ht="40.5" customHeight="1">
      <c r="A7" s="395"/>
      <c r="B7" s="892" t="s">
        <v>661</v>
      </c>
      <c r="C7" s="893"/>
      <c r="D7" s="893"/>
      <c r="E7" s="893"/>
      <c r="F7" s="893"/>
      <c r="G7" s="893"/>
      <c r="H7" s="893"/>
      <c r="I7" s="893"/>
      <c r="J7" s="893"/>
      <c r="K7" s="893"/>
      <c r="L7" s="395"/>
    </row>
    <row r="8" spans="1:12" ht="13.5">
      <c r="A8" s="395"/>
      <c r="B8" s="885" t="s">
        <v>662</v>
      </c>
      <c r="C8" s="885"/>
      <c r="D8" s="885"/>
      <c r="E8" s="885"/>
      <c r="F8" s="885"/>
      <c r="G8" s="885"/>
      <c r="H8" s="885"/>
      <c r="I8" s="885"/>
      <c r="J8" s="885"/>
      <c r="K8" s="885"/>
      <c r="L8" s="395"/>
    </row>
    <row r="9" spans="1:12" ht="13.5">
      <c r="A9" s="395"/>
      <c r="L9" s="395"/>
    </row>
    <row r="10" spans="1:12" ht="13.5">
      <c r="A10" s="395"/>
      <c r="B10" s="885" t="s">
        <v>663</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664</v>
      </c>
      <c r="C12" s="873"/>
      <c r="D12" s="873"/>
      <c r="E12" s="873"/>
      <c r="F12" s="873"/>
      <c r="G12" s="873"/>
      <c r="H12" s="873"/>
      <c r="I12" s="873"/>
      <c r="J12" s="873"/>
      <c r="K12" s="87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75">
        <v>133685008</v>
      </c>
      <c r="G23" s="875"/>
      <c r="L23" s="395"/>
    </row>
    <row r="24" spans="1:12" ht="13.5">
      <c r="A24" s="395"/>
      <c r="L24" s="395"/>
    </row>
    <row r="25" spans="1:12" ht="13.5">
      <c r="A25" s="395"/>
      <c r="C25" s="886">
        <f>F23</f>
        <v>133685008</v>
      </c>
      <c r="D25" s="886"/>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80" t="s">
        <v>661</v>
      </c>
      <c r="C30" s="880"/>
      <c r="D30" s="880"/>
      <c r="E30" s="880"/>
      <c r="F30" s="880"/>
      <c r="G30" s="880"/>
      <c r="H30" s="880"/>
      <c r="I30" s="880"/>
      <c r="J30" s="880"/>
      <c r="K30" s="880"/>
      <c r="L30" s="395"/>
    </row>
    <row r="31" spans="1:12" ht="13.5">
      <c r="A31" s="395"/>
      <c r="B31" s="885" t="s">
        <v>675</v>
      </c>
      <c r="C31" s="885"/>
      <c r="D31" s="885"/>
      <c r="E31" s="885"/>
      <c r="F31" s="885"/>
      <c r="G31" s="885"/>
      <c r="H31" s="885"/>
      <c r="I31" s="885"/>
      <c r="J31" s="885"/>
      <c r="K31" s="885"/>
      <c r="L31" s="395"/>
    </row>
    <row r="32" spans="1:12" ht="13.5">
      <c r="A32" s="395"/>
      <c r="L32" s="395"/>
    </row>
    <row r="33" spans="1:12" ht="13.5">
      <c r="A33" s="395"/>
      <c r="B33" s="885" t="s">
        <v>676</v>
      </c>
      <c r="C33" s="885"/>
      <c r="D33" s="885"/>
      <c r="E33" s="885"/>
      <c r="F33" s="885"/>
      <c r="G33" s="885"/>
      <c r="H33" s="885"/>
      <c r="I33" s="885"/>
      <c r="J33" s="885"/>
      <c r="K33" s="885"/>
      <c r="L33" s="395"/>
    </row>
    <row r="34" spans="1:12" ht="13.5">
      <c r="A34" s="395"/>
      <c r="L34" s="395"/>
    </row>
    <row r="35" spans="1:12" ht="89.25" customHeight="1">
      <c r="A35" s="395"/>
      <c r="B35" s="873" t="s">
        <v>677</v>
      </c>
      <c r="C35" s="878"/>
      <c r="D35" s="878"/>
      <c r="E35" s="878"/>
      <c r="F35" s="878"/>
      <c r="G35" s="878"/>
      <c r="H35" s="878"/>
      <c r="I35" s="878"/>
      <c r="J35" s="878"/>
      <c r="K35" s="878"/>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7">
        <v>3120000</v>
      </c>
      <c r="D41" s="88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75">
        <v>133685008</v>
      </c>
      <c r="C48" s="875"/>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8" t="s">
        <v>685</v>
      </c>
      <c r="H50" s="889"/>
      <c r="I50" s="407" t="s">
        <v>671</v>
      </c>
      <c r="J50" s="417">
        <f>B50/F50</f>
        <v>52.8690023342034</v>
      </c>
      <c r="K50" s="409"/>
      <c r="L50" s="395"/>
    </row>
    <row r="51" spans="1:15" ht="14.25" thickBot="1">
      <c r="A51" s="395"/>
      <c r="B51" s="410"/>
      <c r="C51" s="411"/>
      <c r="D51" s="411"/>
      <c r="E51" s="411"/>
      <c r="F51" s="411"/>
      <c r="G51" s="411"/>
      <c r="H51" s="411"/>
      <c r="I51" s="890" t="s">
        <v>686</v>
      </c>
      <c r="J51" s="890"/>
      <c r="K51" s="891"/>
      <c r="L51" s="395"/>
      <c r="O51" s="418"/>
    </row>
    <row r="52" spans="1:12" ht="40.5" customHeight="1">
      <c r="A52" s="395"/>
      <c r="B52" s="880" t="s">
        <v>661</v>
      </c>
      <c r="C52" s="880"/>
      <c r="D52" s="880"/>
      <c r="E52" s="880"/>
      <c r="F52" s="880"/>
      <c r="G52" s="880"/>
      <c r="H52" s="880"/>
      <c r="I52" s="880"/>
      <c r="J52" s="880"/>
      <c r="K52" s="880"/>
      <c r="L52" s="395"/>
    </row>
    <row r="53" spans="1:12" ht="13.5">
      <c r="A53" s="395"/>
      <c r="B53" s="885" t="s">
        <v>687</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688</v>
      </c>
      <c r="C55" s="872"/>
      <c r="D55" s="872"/>
      <c r="E55" s="872"/>
      <c r="F55" s="872"/>
      <c r="G55" s="872"/>
      <c r="H55" s="872"/>
      <c r="I55" s="872"/>
      <c r="J55" s="872"/>
      <c r="K55" s="872"/>
      <c r="L55" s="395"/>
    </row>
    <row r="56" spans="1:12" ht="15" customHeight="1">
      <c r="A56" s="395"/>
      <c r="L56" s="395"/>
    </row>
    <row r="57" spans="1:24" ht="74.25" customHeight="1">
      <c r="A57" s="395"/>
      <c r="B57" s="873" t="s">
        <v>689</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75">
        <v>133685008</v>
      </c>
      <c r="D74" s="875"/>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75">
        <v>5000</v>
      </c>
      <c r="D77" s="875"/>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75">
        <v>100000</v>
      </c>
      <c r="D80" s="875"/>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80" t="s">
        <v>661</v>
      </c>
      <c r="C85" s="880"/>
      <c r="D85" s="880"/>
      <c r="E85" s="880"/>
      <c r="F85" s="880"/>
      <c r="G85" s="880"/>
      <c r="H85" s="880"/>
      <c r="I85" s="880"/>
      <c r="J85" s="880"/>
      <c r="K85" s="880"/>
      <c r="L85" s="395"/>
    </row>
    <row r="86" spans="1:12" ht="13.5">
      <c r="A86" s="395"/>
      <c r="B86" s="872" t="s">
        <v>709</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710</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711</v>
      </c>
      <c r="C90" s="873"/>
      <c r="D90" s="873"/>
      <c r="E90" s="873"/>
      <c r="F90" s="873"/>
      <c r="G90" s="873"/>
      <c r="H90" s="873"/>
      <c r="I90" s="873"/>
      <c r="J90" s="873"/>
      <c r="K90" s="87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5">
        <v>133685008</v>
      </c>
      <c r="D94" s="87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5">
        <v>50000</v>
      </c>
      <c r="D97" s="87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5">
        <v>2500000</v>
      </c>
      <c r="D100" s="87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661</v>
      </c>
      <c r="C105" s="881"/>
      <c r="D105" s="881"/>
      <c r="E105" s="881"/>
      <c r="F105" s="881"/>
      <c r="G105" s="881"/>
      <c r="H105" s="881"/>
      <c r="I105" s="881"/>
      <c r="J105" s="881"/>
      <c r="K105" s="881"/>
      <c r="L105" s="395"/>
    </row>
    <row r="106" spans="1:12" ht="15" customHeight="1">
      <c r="A106" s="395"/>
      <c r="B106" s="882" t="s">
        <v>713</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78"/>
      <c r="D110" s="878"/>
      <c r="E110" s="878"/>
      <c r="F110" s="878"/>
      <c r="G110" s="878"/>
      <c r="H110" s="878"/>
      <c r="I110" s="878"/>
      <c r="J110" s="878"/>
      <c r="K110" s="878"/>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75">
        <v>133685008</v>
      </c>
      <c r="D114" s="875"/>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75">
        <v>50000</v>
      </c>
      <c r="D117" s="875"/>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75">
        <v>2500000</v>
      </c>
      <c r="D120" s="875"/>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80" t="s">
        <v>661</v>
      </c>
      <c r="C125" s="880"/>
      <c r="D125" s="880"/>
      <c r="E125" s="880"/>
      <c r="F125" s="880"/>
      <c r="G125" s="880"/>
      <c r="H125" s="880"/>
      <c r="I125" s="880"/>
      <c r="J125" s="880"/>
      <c r="K125" s="880"/>
      <c r="L125" s="449"/>
    </row>
    <row r="126" spans="1:12" ht="13.5">
      <c r="A126" s="395"/>
      <c r="B126" s="872" t="s">
        <v>716</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717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718</v>
      </c>
      <c r="C130" s="873"/>
      <c r="D130" s="873"/>
      <c r="E130" s="873"/>
      <c r="F130" s="873"/>
      <c r="G130" s="873"/>
      <c r="H130" s="873"/>
      <c r="I130" s="873"/>
      <c r="J130" s="873"/>
      <c r="K130" s="87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74" t="s">
        <v>719</v>
      </c>
      <c r="D133" s="874"/>
      <c r="E133" s="406"/>
      <c r="F133" s="407" t="s">
        <v>720</v>
      </c>
      <c r="G133" s="406"/>
      <c r="H133" s="874" t="s">
        <v>705</v>
      </c>
      <c r="I133" s="874"/>
      <c r="J133" s="406"/>
      <c r="K133" s="409"/>
      <c r="L133" s="395"/>
    </row>
    <row r="134" spans="1:12" ht="13.5">
      <c r="A134" s="395"/>
      <c r="B134" s="415" t="s">
        <v>698</v>
      </c>
      <c r="C134" s="875">
        <v>100000</v>
      </c>
      <c r="D134" s="875"/>
      <c r="E134" s="407" t="s">
        <v>258</v>
      </c>
      <c r="F134" s="407">
        <v>0.115</v>
      </c>
      <c r="G134" s="407" t="s">
        <v>671</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67">
        <f>H134</f>
        <v>11500</v>
      </c>
      <c r="D137" s="867"/>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725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7" t="s">
        <v>726</v>
      </c>
      <c r="D147" s="867"/>
      <c r="E147" s="407"/>
      <c r="F147" s="467" t="s">
        <v>727</v>
      </c>
      <c r="G147" s="407"/>
      <c r="H147" s="407"/>
      <c r="I147" s="407"/>
      <c r="J147" s="868" t="s">
        <v>728</v>
      </c>
      <c r="K147" s="869"/>
      <c r="L147" s="395"/>
    </row>
    <row r="148" spans="1:12" ht="13.5">
      <c r="A148" s="395"/>
      <c r="B148" s="415"/>
      <c r="C148" s="870">
        <v>52.869</v>
      </c>
      <c r="D148" s="870"/>
      <c r="E148" s="407" t="s">
        <v>258</v>
      </c>
      <c r="F148" s="472">
        <v>133685008</v>
      </c>
      <c r="G148" s="473" t="s">
        <v>672</v>
      </c>
      <c r="H148" s="407">
        <v>1000</v>
      </c>
      <c r="I148" s="407" t="s">
        <v>671</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963</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964</v>
      </c>
      <c r="C8" s="368"/>
      <c r="D8" s="214" t="s">
        <v>793</v>
      </c>
      <c r="J8" s="568" t="s">
        <v>801</v>
      </c>
    </row>
    <row r="9" spans="1:10" ht="15.75">
      <c r="A9" s="214"/>
      <c r="B9" s="369"/>
      <c r="C9" s="370"/>
      <c r="D9" s="571" t="str">
        <f>IF(B8="","",CONCATENATE("Latest date for notice to be published in your newspaper: ",G19," ",G23,", ",G24))</f>
        <v>Latest date for notice to be published in your newspaper: July 26, 2013</v>
      </c>
      <c r="J9" s="568" t="s">
        <v>802</v>
      </c>
    </row>
    <row r="10" spans="1:10" ht="15.75">
      <c r="A10" s="214" t="s">
        <v>389</v>
      </c>
      <c r="B10" s="367" t="s">
        <v>965</v>
      </c>
      <c r="C10" s="371"/>
      <c r="D10" s="214"/>
      <c r="J10" s="568" t="s">
        <v>803</v>
      </c>
    </row>
    <row r="11" spans="1:10" ht="15.75">
      <c r="A11" s="214"/>
      <c r="B11" s="214"/>
      <c r="C11" s="214"/>
      <c r="D11" s="214"/>
      <c r="J11" s="568" t="s">
        <v>804</v>
      </c>
    </row>
    <row r="12" spans="1:10" ht="15.75">
      <c r="A12" s="214" t="s">
        <v>390</v>
      </c>
      <c r="B12" s="153" t="s">
        <v>966</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July</v>
      </c>
    </row>
    <row r="20" spans="1:7" ht="15.75">
      <c r="A20" s="214" t="s">
        <v>388</v>
      </c>
      <c r="B20" s="369" t="s">
        <v>392</v>
      </c>
      <c r="C20" s="214"/>
      <c r="D20" s="214"/>
      <c r="E20" s="214"/>
      <c r="G20" s="572" t="str">
        <f>IF(B8="","",CONCATENATE("J",G22))</f>
        <v>J7</v>
      </c>
    </row>
    <row r="21" spans="1:7" ht="15.75">
      <c r="A21" s="214"/>
      <c r="B21" s="214"/>
      <c r="C21" s="214"/>
      <c r="D21" s="214"/>
      <c r="E21" s="214"/>
      <c r="G21" s="573">
        <f>B8-10</f>
        <v>41481</v>
      </c>
    </row>
    <row r="22" spans="1:7" ht="15.75">
      <c r="A22" s="214" t="s">
        <v>389</v>
      </c>
      <c r="B22" s="214" t="s">
        <v>395</v>
      </c>
      <c r="C22" s="214"/>
      <c r="D22" s="214"/>
      <c r="E22" s="214"/>
      <c r="G22" s="574">
        <f>IF(B8="","",MONTH(G21))</f>
        <v>7</v>
      </c>
    </row>
    <row r="23" spans="1:7" ht="15.75">
      <c r="A23" s="214"/>
      <c r="B23" s="214"/>
      <c r="C23" s="214"/>
      <c r="D23" s="214"/>
      <c r="E23" s="214"/>
      <c r="G23" s="575">
        <f>IF(B8="","",DAY(G21))</f>
        <v>26</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C2" sqref="C2"/>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75">
      <c r="A3" s="792" t="str">
        <f>CONCATENATE("To the Clerk of ",inputPrYr!D4,", State of Kansas")</f>
        <v>To the Clerk of JEWELL COUNTY, State of Kansas</v>
      </c>
      <c r="B3" s="779"/>
      <c r="C3" s="779"/>
      <c r="D3" s="779"/>
      <c r="E3" s="779"/>
      <c r="F3" s="779"/>
    </row>
    <row r="4" spans="1:6" s="65" customFormat="1" ht="15.75">
      <c r="A4" s="792" t="s">
        <v>104</v>
      </c>
      <c r="B4" s="794"/>
      <c r="C4" s="794"/>
      <c r="D4" s="794"/>
      <c r="E4" s="794"/>
      <c r="F4" s="794"/>
    </row>
    <row r="5" spans="1:6" s="65" customFormat="1" ht="15.75">
      <c r="A5" s="795" t="str">
        <f>inputPrYr!D3</f>
        <v>Prairie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5179</v>
      </c>
      <c r="E21" s="577">
        <f>IF(gen!$E$57&lt;&gt;0,gen!$E$57,0)</f>
        <v>1500</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5179</v>
      </c>
      <c r="E39" s="580">
        <f>SUM(E21:E38)</f>
        <v>1500</v>
      </c>
      <c r="F39" s="581">
        <f>IF(SUM(F21:F38)&gt;0,SUM(F21:F38),"")</f>
      </c>
    </row>
    <row r="40" spans="1:3" s="65" customFormat="1" ht="15.75" thickTop="1">
      <c r="A40" s="85" t="s">
        <v>118</v>
      </c>
      <c r="B40" s="81"/>
      <c r="C40" s="96">
        <f>summ!C54</f>
        <v>7</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Prairie Township</v>
      </c>
      <c r="B44" s="774"/>
      <c r="C44" s="775"/>
      <c r="D44" s="107"/>
      <c r="F44" s="72"/>
    </row>
    <row r="45" spans="1:6" s="65" customFormat="1" ht="15.75">
      <c r="A45" s="80" t="str">
        <f>inputPrYr!D6</f>
        <v>Randall</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Prairie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1500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1500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6088</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48727</v>
      </c>
      <c r="F14" s="264"/>
      <c r="G14" s="190"/>
      <c r="H14" s="190"/>
      <c r="I14" s="268"/>
      <c r="J14" s="190"/>
    </row>
    <row r="15" spans="1:10" ht="15">
      <c r="A15" s="263"/>
      <c r="B15" s="65" t="s">
        <v>40</v>
      </c>
      <c r="C15" s="65" t="str">
        <f>CONCATENATE("Personal Property ",J1-2,"")</f>
        <v>Personal Property 2012</v>
      </c>
      <c r="D15" s="263" t="s">
        <v>35</v>
      </c>
      <c r="E15" s="267">
        <f>inputOth!E31</f>
        <v>47102</v>
      </c>
      <c r="F15" s="264"/>
      <c r="G15" s="268"/>
      <c r="H15" s="268"/>
      <c r="I15" s="190"/>
      <c r="J15" s="190"/>
    </row>
    <row r="16" spans="1:10" ht="15">
      <c r="A16" s="263"/>
      <c r="B16" s="65" t="s">
        <v>41</v>
      </c>
      <c r="C16" s="65" t="s">
        <v>60</v>
      </c>
      <c r="D16" s="65"/>
      <c r="E16" s="190"/>
      <c r="F16" s="190" t="s">
        <v>278</v>
      </c>
      <c r="G16" s="241">
        <f>IF(E14&gt;E15,E14-E15,0)</f>
        <v>1625</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2361</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10074</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1959734</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1949660</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0.005167054768523743</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8</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1508</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1508</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Prairie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79"/>
      <c r="D6" s="779"/>
      <c r="E6" s="779"/>
      <c r="F6" s="779"/>
      <c r="G6" s="779"/>
      <c r="H6" s="779"/>
      <c r="I6" s="779"/>
      <c r="J6" s="779"/>
      <c r="K6" s="779"/>
    </row>
    <row r="7" spans="1:11" ht="15.75">
      <c r="A7" s="65"/>
      <c r="B7" s="783"/>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f>IF(inputPrYr!E20&gt;0,inputPrYr!E20,"  ")</f>
        <v>1500</v>
      </c>
      <c r="E11" s="233">
        <f>IF(inputOth!D37&gt;0,inputOth!D37,"  ")</f>
        <v>0.831</v>
      </c>
      <c r="F11" s="234"/>
      <c r="G11" s="90">
        <f>IF(inputPrYr!E20=0,0,G25-SUM(G12:G22))</f>
        <v>125</v>
      </c>
      <c r="H11" s="235"/>
      <c r="I11" s="90">
        <f>IF(inputPrYr!E20=0,0,I27-SUM(I12:I22))</f>
        <v>2</v>
      </c>
      <c r="J11" s="90">
        <f>IF(inputPrYr!E20=0,0,J29-SUM(J12:J22))</f>
        <v>22</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1500</v>
      </c>
      <c r="E23" s="238">
        <f>SUM(E11:E22)</f>
        <v>0.831</v>
      </c>
      <c r="F23" s="239"/>
      <c r="G23" s="237">
        <f t="shared" si="0"/>
        <v>125</v>
      </c>
      <c r="H23" s="237"/>
      <c r="I23" s="237">
        <f t="shared" si="0"/>
        <v>2</v>
      </c>
      <c r="J23" s="237">
        <f t="shared" si="0"/>
        <v>22</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125</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2</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22</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0.08333333333333333</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0.0013333333333333333</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0.014666666666666666</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Prairie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2013-07-11T19:11:06Z</cp:lastPrinted>
  <dcterms:created xsi:type="dcterms:W3CDTF">1998-08-26T16:30:41Z</dcterms:created>
  <dcterms:modified xsi:type="dcterms:W3CDTF">2013-07-11T19:11:10Z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