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<sst xmlns="http://schemas.openxmlformats.org/spreadsheetml/2006/main" count="1580" uniqueCount="953">
  <si>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</si>
  <si>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</si>
  <si>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</si>
  <si>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</si>
  <si>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</si>
  <si>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</si>
  <si>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</si>
  <si>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</si>
  <si>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</si>
  <si>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</si>
  <si>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</si>
  <si>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</si>
  <si>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</si>
  <si>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</si>
  <si>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</si>
  <si>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</si>
  <si>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</si>
  <si>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</si>
  <si>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</si>
  <si>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</si>
  <si>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</si>
  <si>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</si>
  <si>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</si>
  <si>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</si>
  <si>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</si>
  <si>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</si>
  <si>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</si>
  <si>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</si>
  <si>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</si>
  <si>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</si>
  <si>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</si>
  <si>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</si>
  <si>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</si>
  <si>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</si>
  <si>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</si>
  <si>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</si>
  <si>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</si>
  <si>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</si>
  <si>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</si>
  <si>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</si>
  <si>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</si>
  <si>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</si>
  <si>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</si>
  <si>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</si>
  <si>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</si>
  <si>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</si>
  <si>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</si>
  <si>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</si>
  <si>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</si>
  <si>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</si>
  <si>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</si>
  <si>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</si>
  <si>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</si>
  <si>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</si>
  <si>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</si>
  <si>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</si>
  <si>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</si>
  <si>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</si>
  <si>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</si>
  <si>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</si>
  <si>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</si>
  <si>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</si>
  <si>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</si>
  <si>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</si>
  <si>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</si>
  <si>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</si>
  <si>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</si>
  <si>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</si>
  <si>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</si>
  <si>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</si>
  <si>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</si>
  <si>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</si>
  <si>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</si>
  <si>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</si>
  <si>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</si>
  <si>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</si>
  <si>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</si>
  <si>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</si>
  <si>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</si>
  <si>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</si>
  <si>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</si>
  <si>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</si>
  <si>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</si>
  <si>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</si>
  <si>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</si>
  <si>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</si>
  <si>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</si>
  <si>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</si>
  <si>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</si>
  <si>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</si>
  <si>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</si>
  <si>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</si>
  <si>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</si>
  <si>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</si>
  <si>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</si>
  <si>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</si>
  <si>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</si>
  <si>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</si>
  <si>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</si>
  <si>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</si>
  <si>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</si>
  <si>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</si>
  <si>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</si>
  <si>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</si>
  <si>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</si>
  <si>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</si>
  <si>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</si>
  <si>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</si>
  <si>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</si>
  <si>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</si>
  <si>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</si>
  <si>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</si>
  <si>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</si>
  <si>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</si>
  <si>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</si>
  <si>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</si>
  <si>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</si>
  <si>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</si>
  <si>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</si>
  <si>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</si>
  <si>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</si>
  <si>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</si>
  <si>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</si>
  <si>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</si>
  <si>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</si>
  <si>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</si>
  <si>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</si>
  <si>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</si>
  <si>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</si>
  <si>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</si>
  <si>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</si>
  <si>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</si>
  <si>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</si>
  <si>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</si>
  <si>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</si>
  <si>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</si>
  <si>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</si>
  <si>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</si>
  <si>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</si>
  <si>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</si>
  <si>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</si>
  <si>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</si>
  <si>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</si>
  <si>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</si>
  <si>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</si>
  <si>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</si>
  <si>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</si>
  <si>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</si>
  <si>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</si>
  <si>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</si>
  <si>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</si>
  <si>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</si>
  <si>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</si>
  <si>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</si>
  <si>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</si>
  <si>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</si>
  <si>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</si>
  <si>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</si>
  <si>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</si>
  <si>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</si>
  <si>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</si>
  <si>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</si>
  <si>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</si>
  <si>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</si>
  <si>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</si>
  <si>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</si>
  <si>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</si>
  <si>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</si>
  <si>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</si>
  <si>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</si>
  <si>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</si>
  <si>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</si>
  <si>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</si>
  <si>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</si>
  <si>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</si>
  <si>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</si>
  <si>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</si>
  <si>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</si>
  <si>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</si>
  <si>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</si>
  <si>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</si>
  <si>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</si>
  <si>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</si>
  <si>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</si>
  <si>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</si>
  <si>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</si>
  <si>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</si>
  <si>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</si>
  <si>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</si>
  <si>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</si>
  <si>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</si>
  <si>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</si>
  <si>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</si>
  <si>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</si>
  <si>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</si>
  <si>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</si>
  <si>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</si>
  <si>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</si>
  <si>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</si>
  <si>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</si>
  <si>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</si>
  <si>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</si>
  <si>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</si>
  <si>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</si>
  <si>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</si>
  <si>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</si>
  <si>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</si>
  <si>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</si>
  <si>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</si>
  <si>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</si>
  <si>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</si>
  <si>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</si>
  <si>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</si>
  <si>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</si>
  <si>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</si>
  <si>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</si>
  <si>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</si>
  <si>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</si>
  <si>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</si>
  <si>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</si>
  <si>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</si>
  <si>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</si>
  <si>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</si>
  <si>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</si>
  <si>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</si>
  <si>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</si>
  <si>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</si>
  <si>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</si>
  <si>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</si>
  <si>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</si>
  <si>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</si>
  <si>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</si>
  <si>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</si>
  <si>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</si>
  <si>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</si>
  <si>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</si>
  <si>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</si>
  <si>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</si>
  <si>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</si>
  <si>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</si>
  <si>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</si>
  <si>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</si>
  <si>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</si>
  <si>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</si>
  <si>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</si>
  <si>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</si>
  <si>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</si>
  <si>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</si>
  <si>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</si>
  <si>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</si>
  <si>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</si>
  <si>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</si>
  <si>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</si>
  <si>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</si>
  <si>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</si>
  <si>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</si>
  <si>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</si>
  <si>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</si>
  <si>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</si>
  <si>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</si>
  <si>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</si>
  <si>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</si>
  <si>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</si>
  <si>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</si>
  <si>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</si>
  <si>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</si>
  <si>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</si>
  <si>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</si>
  <si>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</si>
  <si>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</si>
  <si>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</si>
  <si>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</si>
  <si>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</si>
  <si>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</si>
  <si>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</si>
  <si>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</si>
  <si>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</si>
  <si>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</si>
  <si>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</si>
  <si>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</si>
  <si>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</si>
  <si>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</si>
  <si>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</si>
  <si>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</si>
  <si>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</si>
  <si>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</si>
  <si>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</si>
  <si>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</si>
  <si>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</si>
  <si>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</si>
  <si>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</si>
  <si>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</si>
  <si>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</si>
  <si>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</si>
  <si>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</si>
  <si>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</si>
  <si>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</si>
  <si>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</si>
  <si>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</si>
  <si>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</si>
  <si>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</si>
  <si>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</si>
  <si>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</si>
  <si>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</si>
  <si>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</si>
  <si>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</si>
  <si>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</si>
  <si>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</si>
  <si>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</si>
  <si>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</si>
  <si>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</si>
  <si>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</si>
  <si>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</si>
  <si>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</si>
  <si>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</si>
  <si>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</si>
  <si>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</si>
  <si>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</si>
  <si>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</si>
  <si>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</si>
  <si>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</si>
  <si>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</si>
  <si>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</si>
  <si>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</si>
  <si>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</si>
  <si>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</si>
  <si>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</si>
  <si>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</si>
  <si>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</si>
  <si>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</si>
  <si>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</si>
  <si>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</si>
  <si>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</si>
  <si>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</si>
  <si>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</si>
  <si>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</si>
  <si>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</si>
  <si>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</si>
  <si>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</si>
  <si>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</si>
  <si>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</si>
  <si>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</si>
  <si>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</si>
  <si>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</si>
  <si>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</si>
  <si>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</si>
  <si>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</si>
  <si>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</si>
  <si>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</si>
  <si>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</si>
  <si>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</si>
  <si>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</si>
  <si>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</si>
  <si>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</si>
  <si>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</si>
  <si>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</si>
  <si>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</si>
  <si>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</si>
  <si>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</si>
  <si>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</si>
  <si>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</si>
  <si>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</si>
  <si>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</si>
  <si>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</si>
  <si>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</si>
  <si>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</si>
  <si>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</si>
  <si>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</si>
  <si>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</si>
  <si>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</si>
  <si>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</si>
  <si>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</si>
  <si>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</si>
  <si>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</si>
  <si>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</si>
  <si>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</si>
  <si>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</si>
  <si>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</si>
  <si>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</si>
  <si>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</si>
  <si>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</si>
  <si>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</si>
  <si>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</si>
  <si>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</si>
  <si>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</si>
  <si>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</si>
  <si>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</si>
  <si>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</si>
  <si>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</si>
  <si>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</si>
  <si>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</si>
  <si>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</si>
  <si>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</si>
  <si>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</si>
  <si>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</si>
  <si>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</si>
  <si>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</si>
  <si>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</si>
  <si>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</si>
  <si>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</si>
  <si>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</si>
  <si>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</si>
  <si>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</si>
  <si>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</si>
  <si>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</si>
  <si>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</si>
  <si>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</si>
  <si>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</si>
  <si>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</si>
  <si>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</si>
  <si>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</si>
  <si>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</si>
  <si>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</si>
  <si>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</si>
  <si>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</si>
  <si>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</si>
  <si>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</si>
  <si>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</si>
  <si>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</si>
  <si>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</si>
  <si>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</si>
  <si>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</si>
  <si>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</si>
  <si>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</si>
  <si>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</si>
  <si>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</si>
  <si>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</si>
  <si>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</si>
  <si>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</si>
  <si>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</si>
  <si>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</si>
  <si>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</si>
  <si>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</si>
  <si>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</si>
  <si>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</si>
  <si>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</si>
  <si>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</si>
  <si>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</si>
  <si>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</si>
  <si>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</si>
  <si>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</si>
  <si>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</si>
  <si>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</si>
  <si>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</si>
  <si>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</si>
  <si>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</si>
  <si>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</si>
  <si>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</si>
  <si>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</si>
  <si>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</si>
  <si>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</si>
  <si>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</si>
  <si>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</si>
  <si>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</si>
  <si>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</si>
  <si>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</si>
  <si>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</si>
  <si>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</si>
  <si>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</si>
  <si>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</si>
  <si>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</si>
  <si>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</si>
  <si>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</si>
  <si>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</si>
  <si>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</si>
  <si>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</si>
  <si>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</si>
  <si>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</si>
  <si>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</si>
  <si>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</si>
  <si>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</si>
  <si>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</si>
  <si>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</si>
  <si>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</si>
  <si>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</si>
  <si>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</si>
  <si>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</si>
  <si>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</si>
  <si>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</si>
  <si>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</si>
  <si>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</si>
  <si>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</si>
  <si>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</si>
  <si>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</si>
  <si>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</si>
  <si>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</si>
  <si>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</si>
  <si>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</si>
  <si>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</si>
  <si>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</si>
  <si>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</si>
  <si>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</si>
  <si>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</si>
  <si>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</si>
  <si>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</si>
  <si>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</si>
  <si>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</si>
  <si>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</si>
  <si>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</si>
  <si>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</si>
  <si>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</si>
  <si>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</si>
  <si>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</si>
  <si>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</si>
  <si>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</si>
  <si>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</si>
  <si>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</si>
  <si>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</si>
  <si>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</si>
  <si>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</si>
  <si>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</si>
  <si>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</si>
  <si>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</si>
  <si>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</si>
  <si>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</si>
  <si>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</si>
  <si>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</si>
  <si>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</si>
  <si>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</si>
  <si>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</si>
  <si>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</si>
  <si>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</si>
  <si>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</si>
  <si>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</si>
  <si>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</si>
  <si>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</si>
  <si>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</si>
  <si>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</si>
  <si>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</si>
  <si>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</si>
  <si>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</si>
  <si>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</si>
  <si>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</si>
  <si>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</si>
  <si>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</si>
  <si>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</si>
  <si>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</si>
  <si>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</si>
  <si>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</si>
  <si>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</si>
  <si>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</si>
  <si>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</si>
  <si>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</si>
  <si>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</si>
  <si>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</si>
  <si>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</si>
  <si>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</si>
  <si>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</si>
  <si>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</si>
  <si>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</si>
  <si>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</si>
  <si>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</si>
  <si>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</si>
  <si>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</si>
  <si>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</si>
  <si>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</si>
  <si>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</si>
  <si>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</si>
  <si>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</si>
  <si>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</si>
  <si>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</si>
  <si>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</si>
  <si>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</si>
  <si>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</si>
  <si>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</si>
  <si>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</si>
  <si>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</si>
  <si>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</si>
  <si>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</si>
  <si>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</si>
  <si>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</si>
  <si>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</si>
  <si>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</si>
  <si>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</si>
  <si>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</si>
  <si>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</si>
  <si>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</si>
  <si>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</si>
  <si>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</si>
  <si>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</si>
  <si>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</si>
  <si>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</si>
  <si>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</si>
  <si>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</si>
  <si>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</si>
  <si>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</si>
  <si>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</si>
  <si>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</si>
  <si>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</si>
  <si>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</si>
  <si>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</si>
  <si>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</si>
  <si>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</si>
  <si>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</si>
  <si>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</si>
  <si>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</si>
  <si>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</si>
  <si>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</si>
  <si>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</si>
  <si>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</si>
  <si>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</si>
  <si>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</si>
  <si>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</si>
  <si>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</si>
  <si>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</si>
  <si>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</si>
  <si>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</si>
  <si>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</si>
  <si>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</si>
  <si>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</si>
  <si>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</si>
  <si>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</si>
  <si>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</si>
  <si>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</si>
  <si>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</si>
  <si>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</si>
  <si>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</si>
  <si>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</si>
  <si>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</si>
  <si>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</si>
  <si>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</si>
  <si>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</si>
  <si>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</si>
  <si>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</si>
  <si>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</si>
  <si>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</si>
  <si>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</si>
  <si>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</si>
  <si>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</si>
  <si>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</si>
  <si>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</si>
  <si>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</si>
  <si>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</si>
  <si>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</si>
  <si>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</si>
  <si>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</si>
  <si>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</si>
  <si>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</si>
  <si>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</si>
  <si>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</si>
  <si>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</si>
  <si>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</si>
  <si>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</si>
  <si>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</si>
  <si>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</si>
  <si>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</si>
  <si>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</si>
  <si>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</si>
  <si>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</si>
  <si>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</si>
  <si>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</si>
  <si>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</si>
  <si>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</si>
  <si>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</si>
  <si>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</si>
  <si>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</si>
  <si>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</si>
  <si>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</si>
  <si>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</si>
  <si>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</si>
  <si>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</si>
  <si>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</si>
  <si>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</si>
  <si>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</si>
  <si>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</si>
  <si>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</si>
  <si>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</si>
  <si>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</si>
  <si>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</si>
  <si>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</si>
  <si>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</si>
  <si>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</si>
  <si>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</si>
  <si>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</si>
  <si>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</si>
  <si>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</si>
  <si>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</si>
  <si>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</si>
  <si>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</si>
  <si>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</si>
  <si>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</si>
  <si>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</si>
  <si>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</si>
  <si>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</si>
  <si>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</si>
  <si>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</si>
  <si>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</si>
  <si>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</si>
  <si>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</si>
  <si>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</si>
  <si>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</si>
  <si>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</si>
  <si>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</si>
  <si>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</si>
  <si>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</si>
  <si>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</si>
  <si>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</si>
  <si>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</si>
  <si>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</si>
  <si>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</si>
  <si>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</si>
  <si>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</si>
  <si>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</si>
  <si>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</si>
  <si>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</si>
  <si>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</si>
  <si>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</si>
  <si>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</si>
  <si>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</si>
  <si>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</si>
  <si>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</si>
  <si>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</si>
  <si>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</si>
  <si>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</si>
  <si>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</si>
  <si>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</si>
  <si>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</si>
  <si>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</si>
  <si>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</si>
  <si>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</si>
  <si>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</si>
  <si>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</si>
  <si>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</si>
  <si>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</si>
  <si>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</si>
  <si>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</si>
  <si>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</si>
  <si>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</si>
  <si>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</si>
  <si>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</si>
  <si>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</si>
  <si>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</si>
  <si>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</si>
  <si>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</si>
  <si>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</si>
  <si>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</si>
  <si>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</si>
  <si>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</si>
  <si>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</si>
  <si>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</si>
  <si>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</si>
  <si>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</si>
  <si>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</si>
  <si>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</si>
  <si>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</si>
  <si>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</si>
  <si>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</si>
  <si>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</si>
  <si>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</si>
  <si>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</si>
  <si>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</si>
  <si>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</si>
  <si>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</si>
  <si>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</si>
  <si>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</si>
  <si>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</si>
  <si>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</si>
  <si>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</si>
  <si>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</si>
  <si>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</si>
  <si>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</si>
  <si>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</si>
  <si>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</si>
  <si>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</si>
  <si>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</si>
  <si>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</si>
  <si>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</si>
  <si>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</si>
  <si>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</si>
  <si>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</si>
  <si>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</si>
  <si>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</si>
  <si>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</si>
  <si>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</si>
  <si>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</si>
  <si>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</si>
  <si>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</si>
  <si>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</si>
  <si>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</si>
  <si>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</si>
  <si>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</si>
  <si>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</si>
  <si>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</si>
  <si>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</si>
  <si>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</si>
  <si>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</si>
  <si>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</si>
  <si>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</si>
  <si>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</si>
  <si>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</si>
  <si>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</si>
  <si>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</si>
  <si>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</si>
  <si>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</si>
  <si>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</si>
  <si>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</si>
  <si>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</si>
  <si>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</si>
  <si>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</si>
  <si>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</si>
  <si>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</si>
  <si>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</si>
  <si>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</si>
  <si>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</si>
  <si>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</si>
  <si>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</si>
  <si>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</si>
  <si>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</si>
  <si>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</si>
  <si>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</si>
  <si>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</si>
  <si>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</si>
  <si>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</si>
  <si>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</si>
  <si>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</si>
  <si>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</si>
  <si>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</si>
  <si>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</si>
  <si>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</si>
  <si>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</si>
  <si>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</si>
  <si>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</si>
  <si>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</si>
  <si>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</si>
  <si>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</si>
  <si>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</si>
  <si>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</si>
  <si>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</si>
  <si>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</si>
  <si>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</si>
  <si>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</si>
  <si>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</si>
  <si>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</si>
  <si>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</si>
  <si>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</si>
  <si>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</si>
  <si>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</si>
  <si>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</si>
  <si>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</si>
  <si>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</si>
  <si>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</si>
  <si>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</si>
  <si>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</si>
  <si>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</si>
  <si>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</si>
  <si>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</si>
  <si>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</si>
  <si>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</si>
  <si>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</si>
  <si>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</si>
  <si>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</si>
  <si>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</si>
  <si>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</si>
  <si>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</si>
  <si>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</si>
  <si>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</si>
  <si>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</si>
  <si>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</si>
  <si>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</si>
  <si>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</si>
  <si>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</si>
  <si>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</si>
  <si>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</si>
  <si>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</si>
  <si>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</si>
  <si>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</si>
  <si>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</si>
  <si>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</si>
  <si>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</si>
  <si>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</si>
  <si>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</si>
  <si>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</si>
  <si>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</si>
  <si>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</si>
  <si>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</si>
  <si>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</si>
  <si>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</si>
  <si>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</si>
  <si>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</si>
  <si>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</si>
  <si>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</si>
  <si>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</si>
  <si>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</si>
  <si>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</si>
  <si>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</si>
  <si>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</si>
  <si>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</si>
  <si>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</si>
  <si>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</si>
  <si>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</si>
  <si>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</si>
  <si>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</si>
  <si>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</si>
  <si>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</si>
  <si>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</si>
  <si>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</si>
  <si>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</si>
  <si>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</si>
  <si>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</si>
  <si>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</si>
  <si>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</si>
  <si>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</si>
  <si>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</si>
  <si>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</si>
  <si>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</si>
  <si>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</si>
  <si>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</si>
  <si>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</si>
  <si>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</si>
  <si>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</si>
  <si>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</si>
  <si>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</si>
  <si>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</si>
  <si>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</si>
  <si>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</si>
  <si>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</si>
  <si>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</si>
  <si>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</si>
  <si>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</si>
  <si>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</si>
  <si>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</si>
  <si>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</si>
  <si>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</si>
  <si>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</si>
  <si>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</si>
  <si>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</si>
  <si>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</si>
  <si>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</si>
  <si>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</si>
  <si>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</si>
  <si>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</si>
  <si>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</si>
  <si>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</si>
  <si>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</si>
  <si>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</si>
  <si>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</si>
  <si>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</si>
  <si>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</si>
  <si>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</si>
  <si>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</si>
  <si>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</si>
  <si>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</si>
  <si>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</si>
  <si>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</si>
  <si>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</si>
  <si>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</si>
  <si>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General Expenses - Pubishing etc</t>
  </si>
  <si>
    <t>Ionia Township</t>
  </si>
  <si>
    <t>Joe Colson</t>
  </si>
  <si>
    <t>August 14, 2013</t>
  </si>
  <si>
    <t>7:00 p.m.</t>
  </si>
  <si>
    <t>Ionia Café Building</t>
  </si>
  <si>
    <t>Fire Protection - City of Jewell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</si>
</sst>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Ionia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Ionia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1163690</v>
      </c>
      <c r="F27" s="556"/>
      <c r="G27" s="561">
        <f>summ!G37</f>
        <v>1300369</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Ionia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11292</v>
      </c>
      <c r="D6" s="387">
        <f>C51</f>
        <v>11413.119999999999</v>
      </c>
      <c r="E6" s="32">
        <f>D51</f>
        <v>6587.119999999999</v>
      </c>
    </row>
    <row r="7" spans="2:5" ht="15">
      <c r="B7" s="27" t="s">
        <v>120</v>
      </c>
      <c r="C7" s="387"/>
      <c r="D7" s="387"/>
      <c r="E7" s="33"/>
    </row>
    <row r="8" spans="2:5" ht="15">
      <c r="B8" s="27" t="s">
        <v>16</v>
      </c>
      <c r="C8" s="29">
        <v>1085</v>
      </c>
      <c r="D8" s="387">
        <f>IF(inputPrYr!H15&gt;0,inputPrYr!G16,inputPrYr!E16)</f>
        <v>1091</v>
      </c>
      <c r="E8" s="33" t="s">
        <v>289</v>
      </c>
    </row>
    <row r="9" spans="2:5" ht="15">
      <c r="B9" s="27" t="s">
        <v>17</v>
      </c>
      <c r="C9" s="29">
        <v>32</v>
      </c>
      <c r="D9" s="29"/>
      <c r="E9" s="34"/>
    </row>
    <row r="10" spans="2:5" ht="15">
      <c r="B10" s="27" t="s">
        <v>18</v>
      </c>
      <c r="C10" s="29">
        <f>22.06+11.15+22.81+26.28+13.82</f>
        <v>96.12</v>
      </c>
      <c r="D10" s="29">
        <v>43</v>
      </c>
      <c r="E10" s="32">
        <f>mvalloc!G11</f>
        <v>54</v>
      </c>
    </row>
    <row r="11" spans="2:5" ht="15">
      <c r="B11" s="27" t="s">
        <v>19</v>
      </c>
      <c r="C11" s="29"/>
      <c r="D11" s="29"/>
      <c r="E11" s="32">
        <f>mvalloc!I11</f>
        <v>0</v>
      </c>
    </row>
    <row r="12" spans="2:5" ht="15">
      <c r="B12" s="35" t="s">
        <v>69</v>
      </c>
      <c r="C12" s="29">
        <v>22</v>
      </c>
      <c r="D12" s="29">
        <v>23</v>
      </c>
      <c r="E12" s="32">
        <f>mvalloc!J11</f>
        <v>20</v>
      </c>
    </row>
    <row r="13" spans="2:5" ht="15">
      <c r="B13" s="35" t="s">
        <v>161</v>
      </c>
      <c r="C13" s="29" t="s">
        <v>277</v>
      </c>
      <c r="D13" s="29"/>
      <c r="E13" s="32">
        <f>inputOth!E35</f>
        <v>0</v>
      </c>
    </row>
    <row r="14" spans="2:5" ht="15">
      <c r="B14" s="27" t="s">
        <v>20</v>
      </c>
      <c r="C14" s="29">
        <f>107.98+26.02</f>
        <v>134</v>
      </c>
      <c r="D14" s="29">
        <v>108</v>
      </c>
      <c r="E14" s="32">
        <f>inputOth!E12</f>
        <v>107</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1369.12</v>
      </c>
      <c r="D26" s="389">
        <f>SUM(D8:D24)</f>
        <v>1265</v>
      </c>
      <c r="E26" s="42">
        <f>SUM(E8:E24)</f>
        <v>181</v>
      </c>
    </row>
    <row r="27" spans="2:5" ht="15">
      <c r="B27" s="43" t="s">
        <v>24</v>
      </c>
      <c r="C27" s="389">
        <f>C26+C6</f>
        <v>12661.119999999999</v>
      </c>
      <c r="D27" s="389">
        <f>D26+D6</f>
        <v>12678.119999999999</v>
      </c>
      <c r="E27" s="42">
        <f>E26+E6</f>
        <v>6768.119999999999</v>
      </c>
    </row>
    <row r="28" spans="2:5" ht="15">
      <c r="B28" s="27" t="s">
        <v>25</v>
      </c>
      <c r="C28" s="387"/>
      <c r="D28" s="387"/>
      <c r="E28" s="32"/>
    </row>
    <row r="29" spans="2:5" ht="15">
      <c r="B29" s="37" t="s">
        <v>946</v>
      </c>
      <c r="C29" s="29">
        <v>82</v>
      </c>
      <c r="D29" s="29">
        <v>5000</v>
      </c>
      <c r="E29" s="34">
        <v>6675</v>
      </c>
    </row>
    <row r="30" spans="2:5" ht="15">
      <c r="B30" s="38" t="s">
        <v>101</v>
      </c>
      <c r="C30" s="29">
        <v>75</v>
      </c>
      <c r="D30" s="29" t="s">
        <v>277</v>
      </c>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952</v>
      </c>
      <c r="C38" s="29">
        <v>1091</v>
      </c>
      <c r="D38" s="29">
        <v>1091</v>
      </c>
      <c r="E38" s="34">
        <v>1190</v>
      </c>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1248</v>
      </c>
      <c r="D50" s="381">
        <f>SUM(D29:D48)</f>
        <v>6091</v>
      </c>
      <c r="E50" s="47">
        <f>SUM(E29:E43,E45,E47:E48)</f>
        <v>7865</v>
      </c>
      <c r="G50" s="484">
        <f>D51</f>
        <v>6587.119999999999</v>
      </c>
      <c r="H50" s="485" t="str">
        <f>CONCATENATE("",E1-1," Ending Cash Balance (est.)")</f>
        <v>2013 Ending Cash Balance (est.)</v>
      </c>
      <c r="I50" s="486"/>
      <c r="J50" s="257"/>
    </row>
    <row r="51" spans="2:10" ht="15">
      <c r="B51" s="27" t="s">
        <v>119</v>
      </c>
      <c r="C51" s="382">
        <f>C27-C50</f>
        <v>11413.119999999999</v>
      </c>
      <c r="D51" s="382">
        <f>SUM(D27-D50)</f>
        <v>6587.119999999999</v>
      </c>
      <c r="E51" s="33" t="s">
        <v>289</v>
      </c>
      <c r="G51" s="484">
        <f>E26</f>
        <v>181</v>
      </c>
      <c r="H51" s="487" t="str">
        <f>CONCATENATE("",E1," Non-AV Receipts (est.)")</f>
        <v>2014 Non-AV Receipts (est.)</v>
      </c>
      <c r="I51" s="486"/>
      <c r="J51" s="257"/>
    </row>
    <row r="52" spans="2:11" ht="15">
      <c r="B52" s="48" t="str">
        <f>CONCATENATE("",E1-2,"/",E1-1," Budget Authority Amount:")</f>
        <v>2012/2013 Budget Authority Amount:</v>
      </c>
      <c r="C52" s="132">
        <f>inputOth!B46</f>
        <v>6612</v>
      </c>
      <c r="D52" s="161">
        <f>inputPrYr!D16</f>
        <v>6660</v>
      </c>
      <c r="E52" s="33" t="s">
        <v>289</v>
      </c>
      <c r="F52" s="50"/>
      <c r="G52" s="488">
        <f>IF(D56&gt;0,E55,E57)</f>
        <v>1096.880000000001</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7865</v>
      </c>
      <c r="H53" s="487" t="str">
        <f>CONCATENATE("Total ",E1," Resources Available")</f>
        <v>Total 2014 Resources Available</v>
      </c>
      <c r="I53" s="486"/>
      <c r="J53" s="257"/>
    </row>
    <row r="54" spans="2:10" ht="15">
      <c r="B54" s="395" t="str">
        <f>CONCATENATE(C72,"     ",D72)</f>
        <v>     </v>
      </c>
      <c r="C54" s="803" t="s">
        <v>623</v>
      </c>
      <c r="D54" s="804"/>
      <c r="E54" s="32">
        <f>E50+E53</f>
        <v>7865</v>
      </c>
      <c r="G54" s="489"/>
      <c r="H54" s="487"/>
      <c r="I54" s="487"/>
      <c r="J54" s="257"/>
    </row>
    <row r="55" spans="2:10" ht="15">
      <c r="B55" s="395" t="str">
        <f>CONCATENATE(C73,"     ",D73)</f>
        <v>     </v>
      </c>
      <c r="C55" s="60"/>
      <c r="D55" s="52" t="s">
        <v>28</v>
      </c>
      <c r="E55" s="46">
        <f>IF(E54-E27&gt;0,E54-E27,0)</f>
        <v>1096.880000000001</v>
      </c>
      <c r="G55" s="488">
        <f>ROUND(C50*0.05+C50,0)</f>
        <v>1310</v>
      </c>
      <c r="H55" s="487" t="str">
        <f>CONCATENATE("Less ",E1-2," Expenditures + 5%")</f>
        <v>Less 2012 Expenditures + 5%</v>
      </c>
      <c r="I55" s="486"/>
      <c r="J55" s="257"/>
    </row>
    <row r="56" spans="2:10" ht="15">
      <c r="B56" s="52"/>
      <c r="C56" s="399" t="s">
        <v>624</v>
      </c>
      <c r="D56" s="689">
        <f>inputOth!$E$40</f>
        <v>0</v>
      </c>
      <c r="E56" s="32">
        <f>ROUND(IF(D56&gt;0,(E55*D56),0),0)</f>
        <v>0</v>
      </c>
      <c r="G56" s="490">
        <f>G53-G55</f>
        <v>6555</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1096.880000000001</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0.844</v>
      </c>
      <c r="H60" s="485" t="str">
        <f>CONCATENATE("",E1," Fund Mill Rate")</f>
        <v>2014 Fund Mill Rate</v>
      </c>
      <c r="I60" s="691"/>
      <c r="J60" s="703"/>
      <c r="K60" s="16"/>
    </row>
    <row r="61" spans="2:10" ht="15.75">
      <c r="B61" s="52" t="s">
        <v>9</v>
      </c>
      <c r="C61" s="401">
        <f>IF(inputPrYr!D18&gt;0,7,6)</f>
        <v>6</v>
      </c>
      <c r="D61" s="14"/>
      <c r="E61" s="55"/>
      <c r="G61" s="705">
        <f>summ!F18</f>
        <v>0.938</v>
      </c>
      <c r="H61" s="485" t="str">
        <f>CONCATENATE("",E1-1," Fund Mill Rate")</f>
        <v>2013 Fund Mill Rate</v>
      </c>
      <c r="I61" s="691"/>
      <c r="J61" s="703"/>
    </row>
    <row r="62" spans="7:10" ht="15.75">
      <c r="G62" s="706">
        <f>summ!I32</f>
        <v>0.844</v>
      </c>
      <c r="H62" s="485" t="str">
        <f>CONCATENATE("Total ",E1," Mill Rate")</f>
        <v>Total 2014 Mill Rate</v>
      </c>
      <c r="I62" s="691"/>
      <c r="J62" s="703"/>
    </row>
    <row r="63" spans="2:10" ht="15.75">
      <c r="B63" s="12"/>
      <c r="G63" s="705">
        <f>summ!F32</f>
        <v>0.938</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Ionia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0.844</v>
      </c>
      <c r="H45" s="632" t="str">
        <f>CONCATENATE("Total ",E1," Mill Rate")</f>
        <v>Total 2014 Mill Rate</v>
      </c>
      <c r="I45" s="656"/>
      <c r="J45" s="657"/>
    </row>
    <row r="46" spans="2:10" ht="15.75">
      <c r="B46" s="594" t="s">
        <v>144</v>
      </c>
      <c r="C46" s="599">
        <v>0</v>
      </c>
      <c r="D46" s="596">
        <f>C74</f>
        <v>0</v>
      </c>
      <c r="E46" s="597">
        <f>D74</f>
        <v>0</v>
      </c>
      <c r="F46" s="635"/>
      <c r="G46" s="659">
        <f>summ!F32</f>
        <v>0.938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0.844</v>
      </c>
      <c r="H85" s="632" t="str">
        <f>CONCATENATE("Total ",E1," Mill Rate")</f>
        <v>Total 2014 Mill Rate</v>
      </c>
      <c r="I85" s="656"/>
      <c r="J85" s="657"/>
    </row>
    <row r="86" spans="7:10" ht="15.75">
      <c r="G86" s="659">
        <f>summ!F32</f>
        <v>0.938</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Ionia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0.844</v>
      </c>
      <c r="H55" s="485" t="str">
        <f>CONCATENATE("Total ",E1," Mill Rate")</f>
        <v>Total 2014 Mill Rate</v>
      </c>
      <c r="I55" s="691"/>
      <c r="J55" s="703"/>
    </row>
    <row r="56" spans="2:10" ht="15.75">
      <c r="B56" s="72" t="s">
        <v>33</v>
      </c>
      <c r="C56" s="132"/>
      <c r="D56" s="14"/>
      <c r="E56" s="14"/>
      <c r="G56" s="705">
        <f>summ!F32</f>
        <v>0.938</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Ionia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0.844</v>
      </c>
      <c r="H45" s="632" t="str">
        <f>CONCATENATE("Total ",E1," Mill Rate")</f>
        <v>Total 2014 Mill Rate</v>
      </c>
      <c r="I45" s="656"/>
      <c r="J45" s="657"/>
      <c r="K45" s="582"/>
    </row>
    <row r="46" spans="2:11" ht="15.75">
      <c r="B46" s="27" t="s">
        <v>118</v>
      </c>
      <c r="C46" s="29"/>
      <c r="D46" s="387">
        <f>C74</f>
        <v>0</v>
      </c>
      <c r="E46" s="32">
        <f>D74</f>
        <v>0</v>
      </c>
      <c r="G46" s="659">
        <f>summ!F32</f>
        <v>0.938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0.844</v>
      </c>
      <c r="H85" s="632" t="str">
        <f>CONCATENATE("Total ",E1," Mill Rate")</f>
        <v>Total 2014 Mill Rate</v>
      </c>
      <c r="I85" s="656"/>
      <c r="J85" s="657"/>
      <c r="K85" s="582"/>
    </row>
    <row r="86" spans="7:11" ht="15.75">
      <c r="G86" s="659">
        <f>summ!F32</f>
        <v>0.938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Ionia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0.844</v>
      </c>
      <c r="H45" s="632" t="str">
        <f>CONCATENATE("Total ",E1," Mill Rate")</f>
        <v>Total 2014 Mill Rate</v>
      </c>
      <c r="I45" s="656"/>
      <c r="J45" s="657"/>
      <c r="K45" s="582"/>
    </row>
    <row r="46" spans="2:11" ht="15.75">
      <c r="B46" s="27" t="s">
        <v>118</v>
      </c>
      <c r="C46" s="29"/>
      <c r="D46" s="387">
        <f>C74</f>
        <v>0</v>
      </c>
      <c r="E46" s="32">
        <f>D74</f>
        <v>0</v>
      </c>
      <c r="G46" s="659">
        <f>summ!F32</f>
        <v>0.938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0.844</v>
      </c>
      <c r="H85" s="632" t="str">
        <f>CONCATENATE("Total ",E1," Mill Rate")</f>
        <v>Total 2014 Mill Rate</v>
      </c>
      <c r="I85" s="656"/>
      <c r="J85" s="657"/>
      <c r="K85" s="582"/>
    </row>
    <row r="86" spans="7:11" ht="15.75">
      <c r="G86" s="659">
        <f>summ!F32</f>
        <v>0.938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Ionia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0.844</v>
      </c>
      <c r="H45" s="632" t="str">
        <f>CONCATENATE("Total ",E1," Mill Rate")</f>
        <v>Total 2014 Mill Rate</v>
      </c>
      <c r="I45" s="656"/>
      <c r="J45" s="657"/>
      <c r="K45" s="582"/>
    </row>
    <row r="46" spans="2:11" ht="15.75">
      <c r="B46" s="27" t="s">
        <v>118</v>
      </c>
      <c r="C46" s="29"/>
      <c r="D46" s="387">
        <f>C74</f>
        <v>0</v>
      </c>
      <c r="E46" s="32">
        <f>D74</f>
        <v>0</v>
      </c>
      <c r="G46" s="659">
        <f>summ!F32</f>
        <v>0.938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0.844</v>
      </c>
      <c r="H85" s="632" t="str">
        <f>CONCATENATE("Total ",E1," Mill Rate")</f>
        <v>Total 2014 Mill Rate</v>
      </c>
      <c r="I85" s="656"/>
      <c r="J85" s="657"/>
      <c r="K85" s="582"/>
    </row>
    <row r="86" spans="7:11" ht="15.75">
      <c r="G86" s="659">
        <f>summ!F32</f>
        <v>0.938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Ionia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Ionia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947</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6660</v>
      </c>
      <c r="E16" s="187">
        <v>1091</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1091</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6660</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0.983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0.983</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1091</v>
      </c>
    </row>
    <row r="55" spans="1:5" ht="15">
      <c r="A55" s="327" t="str">
        <f>CONCATENATE("Assessed Valuation (",D5-2," budget column)")</f>
        <v>Assessed Valuation (2012 budget column)</v>
      </c>
      <c r="B55" s="328"/>
      <c r="C55" s="267"/>
      <c r="D55" s="28"/>
      <c r="E55" s="187">
        <v>1109528</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34">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Ionia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August 14, 2013 at 7:00 p.m. at Ionia Café Building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1248</v>
      </c>
      <c r="D18" s="524">
        <f>IF(inputPrYr!D42&gt;0,inputPrYr!D42,"  ")</f>
        <v>0.983</v>
      </c>
      <c r="E18" s="32">
        <f>IF(gen!$D$50&lt;&gt;0,gen!$D$50,"  ")</f>
        <v>6091</v>
      </c>
      <c r="F18" s="235">
        <f>IF(inputOth!D17&gt;0,inputOth!D17,"  ")</f>
        <v>0.938</v>
      </c>
      <c r="G18" s="32">
        <f>IF(gen!$E$50&lt;&gt;0,gen!$E$50,"  ")</f>
        <v>7865</v>
      </c>
      <c r="H18" s="32">
        <f>IF(gen!$E$57&lt;&gt;0,gen!$E$57," ")</f>
        <v>1096.880000000001</v>
      </c>
      <c r="I18" s="526">
        <f>IF(gen!E57&gt;0,ROUND(H18/$G$37*1000,3)," ")</f>
        <v>0.844</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1300</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0.938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123.11999999999898</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1248</v>
      </c>
      <c r="D32" s="478">
        <f t="shared" si="0"/>
        <v>0.983</v>
      </c>
      <c r="E32" s="527">
        <f t="shared" si="0"/>
        <v>6091</v>
      </c>
      <c r="F32" s="478">
        <f t="shared" si="0"/>
        <v>0.938</v>
      </c>
      <c r="G32" s="527">
        <f t="shared" si="0"/>
        <v>7865</v>
      </c>
      <c r="H32" s="527">
        <f t="shared" si="0"/>
        <v>1096.880000000001</v>
      </c>
      <c r="I32" s="530">
        <f t="shared" si="0"/>
        <v>0.844</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1248</v>
      </c>
      <c r="D34" s="14"/>
      <c r="E34" s="528">
        <f>E32-E33</f>
        <v>6091</v>
      </c>
      <c r="F34" s="14"/>
      <c r="G34" s="528">
        <f>G32-G33</f>
        <v>7865</v>
      </c>
      <c r="H34" s="14"/>
      <c r="I34" s="14"/>
      <c r="K34" s="507" t="str">
        <f>CONCATENATE("",I1," Ad Valorem Tax Revenue:")</f>
        <v>2014 Ad Valorem Tax Revenue:</v>
      </c>
      <c r="L34" s="501"/>
      <c r="M34" s="501"/>
      <c r="N34" s="502">
        <f>H32</f>
        <v>1096.880000000001</v>
      </c>
    </row>
    <row r="35" spans="2:14" ht="15.75" thickTop="1">
      <c r="B35" s="274" t="s">
        <v>46</v>
      </c>
      <c r="C35" s="529">
        <f>inputPrYr!E54</f>
        <v>1091</v>
      </c>
      <c r="D35" s="61"/>
      <c r="E35" s="529">
        <f>inputPrYr!E26</f>
        <v>1091</v>
      </c>
      <c r="F35" s="14"/>
      <c r="G35" s="520" t="s">
        <v>289</v>
      </c>
      <c r="H35" s="14"/>
      <c r="I35" s="14"/>
      <c r="K35" s="507" t="str">
        <f>CONCATENATE("",I1-1," Ad Valorem Tax Revenue:")</f>
        <v>2013 Ad Valorem Tax Revenue:</v>
      </c>
      <c r="L35" s="501"/>
      <c r="M35" s="501"/>
      <c r="N35" s="515">
        <f>ROUND(G37*N27/1000,0)</f>
        <v>1220</v>
      </c>
    </row>
    <row r="36" spans="2:14" ht="15">
      <c r="B36" s="274" t="s">
        <v>47</v>
      </c>
      <c r="C36" s="55"/>
      <c r="D36" s="61"/>
      <c r="E36" s="55"/>
      <c r="F36" s="61"/>
      <c r="G36" s="14"/>
      <c r="H36" s="14"/>
      <c r="I36" s="14"/>
      <c r="K36" s="512" t="s">
        <v>717</v>
      </c>
      <c r="L36" s="513"/>
      <c r="M36" s="513"/>
      <c r="N36" s="505">
        <f>N34-N35</f>
        <v>-123.11999999999898</v>
      </c>
    </row>
    <row r="37" spans="2:14" ht="15">
      <c r="B37" s="274" t="s">
        <v>48</v>
      </c>
      <c r="C37" s="32">
        <f>inputPrYr!E55</f>
        <v>1109528</v>
      </c>
      <c r="D37" s="14"/>
      <c r="E37" s="32">
        <f>inputOth!E29</f>
        <v>1163690</v>
      </c>
      <c r="F37" s="14"/>
      <c r="G37" s="32">
        <f>inputOth!E7</f>
        <v>1300369</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0.844</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Joe Colson</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Ionia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1300369</v>
      </c>
      <c r="E19" s="14"/>
      <c r="F19" s="129"/>
    </row>
    <row r="20" spans="1:6" ht="15.75">
      <c r="A20" s="14"/>
      <c r="B20" s="14"/>
      <c r="C20" s="14"/>
      <c r="D20" s="14"/>
      <c r="E20" s="14"/>
      <c r="F20" s="129"/>
    </row>
    <row r="21" spans="1:6" ht="15.75">
      <c r="A21" s="14"/>
      <c r="B21" s="842" t="s">
        <v>365</v>
      </c>
      <c r="C21" s="842"/>
      <c r="D21" s="137">
        <f>IF(D19&gt;0,(D19*0.001),"")</f>
        <v>1300.369</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Ionia Township </v>
      </c>
      <c r="I6">
        <f>CONCATENATE(I7)</f>
      </c>
    </row>
    <row r="7" spans="1:7" ht="15.75">
      <c r="A7" s="852" t="str">
        <f>CONCATENATE("   with respect to financing the ",inputPrYr!D5," annual budget for ",(inputPrYr!D2)," , ",(inputPrYr!D3)," , Kansas.")</f>
        <v>   with respect to financing the 2014 annual budget for Ionia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Ionia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Ionia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Ionia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Ionia Township of JEWELL COUNTY, Kansas that is our desire to notify the public of increased property taxes to finance the 2014 Ionia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Ionia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Ionia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Ionia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1300369</v>
      </c>
    </row>
    <row r="8" spans="1:5" ht="15">
      <c r="A8" s="22" t="str">
        <f>CONCATENATE("New Improvements for ",E1-1,"")</f>
        <v>New Improvements for 2013</v>
      </c>
      <c r="B8" s="19"/>
      <c r="C8" s="19"/>
      <c r="D8" s="19"/>
      <c r="E8" s="283">
        <v>4390</v>
      </c>
    </row>
    <row r="9" spans="1:5" ht="15">
      <c r="A9" s="22" t="str">
        <f>CONCATENATE("Personal Property excluding oil, gas, and mobile homes - ",E1-1,"")</f>
        <v>Personal Property excluding oil, gas, and mobile homes - 2013</v>
      </c>
      <c r="B9" s="19"/>
      <c r="C9" s="19"/>
      <c r="D9" s="19"/>
      <c r="E9" s="283">
        <v>41304</v>
      </c>
    </row>
    <row r="10" spans="1:5" ht="15">
      <c r="A10" s="22" t="str">
        <f>CONCATENATE("Property that has changed in use for ",E1-1,"")</f>
        <v>Property that has changed in use for 2013</v>
      </c>
      <c r="B10" s="19"/>
      <c r="C10" s="19"/>
      <c r="D10" s="19"/>
      <c r="E10" s="283">
        <v>889</v>
      </c>
    </row>
    <row r="11" spans="1:5" ht="15">
      <c r="A11" s="22" t="str">
        <f>CONCATENATE("Personal Property excluding oil, gas, and mobile homes- ",E1-2,"")</f>
        <v>Personal Property excluding oil, gas, and mobile homes- 2012</v>
      </c>
      <c r="B11" s="19"/>
      <c r="C11" s="19"/>
      <c r="D11" s="19"/>
      <c r="E11" s="283">
        <v>39389</v>
      </c>
    </row>
    <row r="12" spans="1:5" ht="15">
      <c r="A12" s="22" t="str">
        <f>CONCATENATE("Gross earnings (intangible) tax estimate for ",E1,"")</f>
        <v>Gross earnings (intangible) tax estimate for 2014</v>
      </c>
      <c r="B12" s="19"/>
      <c r="C12" s="19"/>
      <c r="D12" s="19"/>
      <c r="E12" s="283">
        <v>107</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0.938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0.938</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1163690</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54</v>
      </c>
    </row>
    <row r="33" spans="1:5" ht="15">
      <c r="A33" s="296" t="s">
        <v>276</v>
      </c>
      <c r="B33" s="267"/>
      <c r="C33" s="267"/>
      <c r="D33" s="31"/>
      <c r="E33" s="34">
        <v>0</v>
      </c>
    </row>
    <row r="34" spans="1:5" ht="15">
      <c r="A34" s="296" t="s">
        <v>160</v>
      </c>
      <c r="B34" s="267"/>
      <c r="C34" s="267"/>
      <c r="D34" s="31"/>
      <c r="E34" s="34">
        <v>20</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6612</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948</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949</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4, 2013</v>
      </c>
      <c r="E9" s="353"/>
      <c r="F9" s="353"/>
      <c r="J9" s="711" t="s">
        <v>848</v>
      </c>
    </row>
    <row r="10" spans="1:10" ht="15.75">
      <c r="A10" s="354" t="s">
        <v>373</v>
      </c>
      <c r="B10" s="356" t="s">
        <v>950</v>
      </c>
      <c r="C10" s="360"/>
      <c r="D10" s="354"/>
      <c r="E10" s="353"/>
      <c r="F10" s="353"/>
      <c r="J10" s="711" t="s">
        <v>849</v>
      </c>
    </row>
    <row r="11" spans="1:10" ht="15.75">
      <c r="A11" s="354"/>
      <c r="B11" s="354"/>
      <c r="C11" s="354"/>
      <c r="D11" s="354"/>
      <c r="E11" s="353"/>
      <c r="F11" s="353"/>
      <c r="J11" s="711" t="s">
        <v>850</v>
      </c>
    </row>
    <row r="12" spans="1:10" ht="15.75">
      <c r="A12" s="354" t="s">
        <v>374</v>
      </c>
      <c r="B12" s="361" t="s">
        <v>951</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41490</v>
      </c>
    </row>
    <row r="22" spans="1:7" ht="15.75">
      <c r="A22" s="354" t="s">
        <v>373</v>
      </c>
      <c r="B22" s="354" t="s">
        <v>378</v>
      </c>
      <c r="C22" s="354"/>
      <c r="D22" s="354"/>
      <c r="E22" s="354"/>
      <c r="G22" s="714">
        <f>IF(B8="","",MONTH(G21))</f>
        <v>8</v>
      </c>
    </row>
    <row r="23" spans="1:7" ht="15.75">
      <c r="A23" s="354"/>
      <c r="B23" s="354"/>
      <c r="C23" s="354"/>
      <c r="D23" s="354"/>
      <c r="E23" s="354"/>
      <c r="G23" s="715">
        <f>IF(B8="","",DAY(G21))</f>
        <v>4</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2" sqref="C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Ionia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7865</v>
      </c>
      <c r="F21" s="722">
        <f>IF(gen!$E$57&lt;&gt;0,gen!$E$57,0)</f>
        <v>1096.880000000001</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7865</v>
      </c>
      <c r="F35" s="724">
        <f>SUM(F21:F30)</f>
        <v>1096.880000000001</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Ionia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1091</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1091</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4390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41304</v>
      </c>
      <c r="F14" s="246"/>
      <c r="G14" s="55"/>
      <c r="H14" s="55"/>
      <c r="I14" s="53"/>
      <c r="J14" s="55"/>
    </row>
    <row r="15" spans="1:10" ht="15">
      <c r="A15" s="245"/>
      <c r="B15" s="14" t="s">
        <v>87</v>
      </c>
      <c r="C15" s="14" t="str">
        <f>CONCATENATE("Personal Property ",J1-2,"")</f>
        <v>Personal Property 2012</v>
      </c>
      <c r="D15" s="245" t="s">
        <v>82</v>
      </c>
      <c r="E15" s="249">
        <f>inputOth!E11</f>
        <v>39389</v>
      </c>
      <c r="F15" s="246"/>
      <c r="G15" s="53"/>
      <c r="H15" s="53"/>
      <c r="I15" s="55"/>
      <c r="J15" s="55"/>
    </row>
    <row r="16" spans="1:10" ht="15">
      <c r="A16" s="245"/>
      <c r="B16" s="14" t="s">
        <v>88</v>
      </c>
      <c r="C16" s="14" t="s">
        <v>108</v>
      </c>
      <c r="D16" s="14"/>
      <c r="E16" s="55"/>
      <c r="F16" s="55" t="s">
        <v>15</v>
      </c>
      <c r="G16" s="247">
        <f>IF(E14&gt;E15,E14-E15,0)</f>
        <v>1915</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889</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7194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1300369</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1293175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0.005563052177779497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6</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1097</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1097</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Ionia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1091</v>
      </c>
      <c r="E11" s="131">
        <f>IF(inputOth!D17&gt;0,inputOth!D17,"  ")</f>
        <v>0.938</v>
      </c>
      <c r="F11" s="717"/>
      <c r="G11" s="161">
        <f>IF(inputPrYr!E16=0,0,G23-SUM(G12:G20))</f>
        <v>54</v>
      </c>
      <c r="H11" s="718"/>
      <c r="I11" s="161">
        <f>IF(inputPrYr!E16=0,0,I25-SUM(I12:I20))</f>
        <v>0</v>
      </c>
      <c r="J11" s="161">
        <f>IF(inputPrYr!E16=0,0,J27-SUM(J12:J20))</f>
        <v>20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1091</v>
      </c>
      <c r="E21" s="720">
        <f>SUM(E11:E20)</f>
        <v>0.938</v>
      </c>
      <c r="F21" s="721"/>
      <c r="G21" s="719">
        <f>SUM(G11:G20)</f>
        <v>54</v>
      </c>
      <c r="H21" s="719"/>
      <c r="I21" s="719">
        <f>SUM(I11:I20)</f>
        <v>0</v>
      </c>
      <c r="J21" s="719">
        <f>SUM(J11:J20)</f>
        <v>20</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54</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0.04949587534372136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0.01833180568285976</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Ionia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2013-07-16T18:05:39Z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