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<sst xmlns="http://schemas.openxmlformats.org/spreadsheetml/2006/main" count="1711" uniqueCount="969">
  <si>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</si>
  <si>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</si>
  <si>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</si>
  <si>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</si>
  <si>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</si>
  <si>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</si>
  <si>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</si>
  <si>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</si>
  <si>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</si>
  <si>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</si>
  <si>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</si>
  <si>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</si>
  <si>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</si>
  <si>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</si>
  <si>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</si>
  <si>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</si>
  <si>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</si>
  <si>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</si>
  <si>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</si>
  <si>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</si>
  <si>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</si>
  <si>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</si>
  <si>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</si>
  <si>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</si>
  <si>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</si>
  <si>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</si>
  <si>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</si>
  <si>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</si>
  <si>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</si>
  <si>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</si>
  <si>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</si>
  <si>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</si>
  <si>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</si>
  <si>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</si>
  <si>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</si>
  <si>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</si>
  <si>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</si>
  <si>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</si>
  <si>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</si>
  <si>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</si>
  <si>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</si>
  <si>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</si>
  <si>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</si>
  <si>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</si>
  <si>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</si>
  <si>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</si>
  <si>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</si>
  <si>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</si>
  <si>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</si>
  <si>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</si>
  <si>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</si>
  <si>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</si>
  <si>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</si>
  <si>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</si>
  <si>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</si>
  <si>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</si>
  <si>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</si>
  <si>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</si>
  <si>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</si>
  <si>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</si>
  <si>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</si>
  <si>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</si>
  <si>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</si>
  <si>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</si>
  <si>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</si>
  <si>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</si>
  <si>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</si>
  <si>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</si>
  <si>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</si>
  <si>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</si>
  <si>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</si>
  <si>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</si>
  <si>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</si>
  <si>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</si>
  <si>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</si>
  <si>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</si>
  <si>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</si>
  <si>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</si>
  <si>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</si>
  <si>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</si>
  <si>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</si>
  <si>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</si>
  <si>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</si>
  <si>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</si>
  <si>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</si>
  <si>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</si>
  <si>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</si>
  <si>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</si>
  <si>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</si>
  <si>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</si>
  <si>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</si>
  <si>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</si>
  <si>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</si>
  <si>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</si>
  <si>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</si>
  <si>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</si>
  <si>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</si>
  <si>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</si>
  <si>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</si>
  <si>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</si>
  <si>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</si>
  <si>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</si>
  <si>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</si>
  <si>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</si>
  <si>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</si>
  <si>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</si>
  <si>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</si>
  <si>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</si>
  <si>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</si>
  <si>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</si>
  <si>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</si>
  <si>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</si>
  <si>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</si>
  <si>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</si>
  <si>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</si>
  <si>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</si>
  <si>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</si>
  <si>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</si>
  <si>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</si>
  <si>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</si>
  <si>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</si>
  <si>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</si>
  <si>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</si>
  <si>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</si>
  <si>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</si>
  <si>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</si>
  <si>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</si>
  <si>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</si>
  <si>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</si>
  <si>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</si>
  <si>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</si>
  <si>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</si>
  <si>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</si>
  <si>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</si>
  <si>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</si>
  <si>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</si>
  <si>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</si>
  <si>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</si>
  <si>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</si>
  <si>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</si>
  <si>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</si>
  <si>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</si>
  <si>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</si>
  <si>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</si>
  <si>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</si>
  <si>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</si>
  <si>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</si>
  <si>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</si>
  <si>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</si>
  <si>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</si>
  <si>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</si>
  <si>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</si>
  <si>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</si>
  <si>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</si>
  <si>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</si>
  <si>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</si>
  <si>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</si>
  <si>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</si>
  <si>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</si>
  <si>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</si>
  <si>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</si>
  <si>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</si>
  <si>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</si>
  <si>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</si>
  <si>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</si>
  <si>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</si>
  <si>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</si>
  <si>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</si>
  <si>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</si>
  <si>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</si>
  <si>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</si>
  <si>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</si>
  <si>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</si>
  <si>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</si>
  <si>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</si>
  <si>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</si>
  <si>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</si>
  <si>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</si>
  <si>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</si>
  <si>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</si>
  <si>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</si>
  <si>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</si>
  <si>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</si>
  <si>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</si>
  <si>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</si>
  <si>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</si>
  <si>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</si>
  <si>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</si>
  <si>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</si>
  <si>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</si>
  <si>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</si>
  <si>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</si>
  <si>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</si>
  <si>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</si>
  <si>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</si>
  <si>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</si>
  <si>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</si>
  <si>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</si>
  <si>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</si>
  <si>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</si>
  <si>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</si>
  <si>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</si>
  <si>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</si>
  <si>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</si>
  <si>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</si>
  <si>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</si>
  <si>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</si>
  <si>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</si>
  <si>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</si>
  <si>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</si>
  <si>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</si>
  <si>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</si>
  <si>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</si>
  <si>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</si>
  <si>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</si>
  <si>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</si>
  <si>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</si>
  <si>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</si>
  <si>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</si>
  <si>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</si>
  <si>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</si>
  <si>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</si>
  <si>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</si>
  <si>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</si>
  <si>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</si>
  <si>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</si>
  <si>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</si>
  <si>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</si>
  <si>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</si>
  <si>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</si>
  <si>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</si>
  <si>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</si>
  <si>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</si>
  <si>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</si>
  <si>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</si>
  <si>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</si>
  <si>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</si>
  <si>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</si>
  <si>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</si>
  <si>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</si>
  <si>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</si>
  <si>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</si>
  <si>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</si>
  <si>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</si>
  <si>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</si>
  <si>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</si>
  <si>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</si>
  <si>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</si>
  <si>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</si>
  <si>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</si>
  <si>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</si>
  <si>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</si>
  <si>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</si>
  <si>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</si>
  <si>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</si>
  <si>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</si>
  <si>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</si>
  <si>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</si>
  <si>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</si>
  <si>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</si>
  <si>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</si>
  <si>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</si>
  <si>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</si>
  <si>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</si>
  <si>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</si>
  <si>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</si>
  <si>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</si>
  <si>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</si>
  <si>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</si>
  <si>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</si>
  <si>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</si>
  <si>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</si>
  <si>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</si>
  <si>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</si>
  <si>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</si>
  <si>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</si>
  <si>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</si>
  <si>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</si>
  <si>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</si>
  <si>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</si>
  <si>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</si>
  <si>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</si>
  <si>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</si>
  <si>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</si>
  <si>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</si>
  <si>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</si>
  <si>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</si>
  <si>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</si>
  <si>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</si>
  <si>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</si>
  <si>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</si>
  <si>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</si>
  <si>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</si>
  <si>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</si>
  <si>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</si>
  <si>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</si>
  <si>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</si>
  <si>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</si>
  <si>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</si>
  <si>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</si>
  <si>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</si>
  <si>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</si>
  <si>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</si>
  <si>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</si>
  <si>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</si>
  <si>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</si>
  <si>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</si>
  <si>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</si>
  <si>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</si>
  <si>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</si>
  <si>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</si>
  <si>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</si>
  <si>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</si>
  <si>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</si>
  <si>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</si>
  <si>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</si>
  <si>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</si>
  <si>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</si>
  <si>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</si>
  <si>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</si>
  <si>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</si>
  <si>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</si>
  <si>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</si>
  <si>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</si>
  <si>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</si>
  <si>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</si>
  <si>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</si>
  <si>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</si>
  <si>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</si>
  <si>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</si>
  <si>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</si>
  <si>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</si>
  <si>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</si>
  <si>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</si>
  <si>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</si>
  <si>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</si>
  <si>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</si>
  <si>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</si>
  <si>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</si>
  <si>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</si>
  <si>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</si>
  <si>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</si>
  <si>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</si>
  <si>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</si>
  <si>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</si>
  <si>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</si>
  <si>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</si>
  <si>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</si>
  <si>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</si>
  <si>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</si>
  <si>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</si>
  <si>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</si>
  <si>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</si>
  <si>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</si>
  <si>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</si>
  <si>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</si>
  <si>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</si>
  <si>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</si>
  <si>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</si>
  <si>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</si>
  <si>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</si>
  <si>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</si>
  <si>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</si>
  <si>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</si>
  <si>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</si>
  <si>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</si>
  <si>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</si>
  <si>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</si>
  <si>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</si>
  <si>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</si>
  <si>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</si>
  <si>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</si>
  <si>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</si>
  <si>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</si>
  <si>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</si>
  <si>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</si>
  <si>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</si>
  <si>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</si>
  <si>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</si>
  <si>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</si>
  <si>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</si>
  <si>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</si>
  <si>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</si>
  <si>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</si>
  <si>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</si>
  <si>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</si>
  <si>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</si>
  <si>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</si>
  <si>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</si>
  <si>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</si>
  <si>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</si>
  <si>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</si>
  <si>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</si>
  <si>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</si>
  <si>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</si>
  <si>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</si>
  <si>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</si>
  <si>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</si>
  <si>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</si>
  <si>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</si>
  <si>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</si>
  <si>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</si>
  <si>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</si>
  <si>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</si>
  <si>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</si>
  <si>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</si>
  <si>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</si>
  <si>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</si>
  <si>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</si>
  <si>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</si>
  <si>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</si>
  <si>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</si>
  <si>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</si>
  <si>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</si>
  <si>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</si>
  <si>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</si>
  <si>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</si>
  <si>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</si>
  <si>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</si>
  <si>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</si>
  <si>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</si>
  <si>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</si>
  <si>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</si>
  <si>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</si>
  <si>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</si>
  <si>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</si>
  <si>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</si>
  <si>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</si>
  <si>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</si>
  <si>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</si>
  <si>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</si>
  <si>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</si>
  <si>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</si>
  <si>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</si>
  <si>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</si>
  <si>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</si>
  <si>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</si>
  <si>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</si>
  <si>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</si>
  <si>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</si>
  <si>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</si>
  <si>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</si>
  <si>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</si>
  <si>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</si>
  <si>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</si>
  <si>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</si>
  <si>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</si>
  <si>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</si>
  <si>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</si>
  <si>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</si>
  <si>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</si>
  <si>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</si>
  <si>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</si>
  <si>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</si>
  <si>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</si>
  <si>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</si>
  <si>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</si>
  <si>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</si>
  <si>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</si>
  <si>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</si>
  <si>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</si>
  <si>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</si>
  <si>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</si>
  <si>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</si>
  <si>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</si>
  <si>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</si>
  <si>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</si>
  <si>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</si>
  <si>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</si>
  <si>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</si>
  <si>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</si>
  <si>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</si>
  <si>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</si>
  <si>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</si>
  <si>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</si>
  <si>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</si>
  <si>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</si>
  <si>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</si>
  <si>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</si>
  <si>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</si>
  <si>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</si>
  <si>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</si>
  <si>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</si>
  <si>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</si>
  <si>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</si>
  <si>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</si>
  <si>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</si>
  <si>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</si>
  <si>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</si>
  <si>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</si>
  <si>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</si>
  <si>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</si>
  <si>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</si>
  <si>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</si>
  <si>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</si>
  <si>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</si>
  <si>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</si>
  <si>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</si>
  <si>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</si>
  <si>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</si>
  <si>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</si>
  <si>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</si>
  <si>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</si>
  <si>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</si>
  <si>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</si>
  <si>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</si>
  <si>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</si>
  <si>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</si>
  <si>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</si>
  <si>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</si>
  <si>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</si>
  <si>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</si>
  <si>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</si>
  <si>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</si>
  <si>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</si>
  <si>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</si>
  <si>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</si>
  <si>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</si>
  <si>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</si>
  <si>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</si>
  <si>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</si>
  <si>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</si>
  <si>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</si>
  <si>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</si>
  <si>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</si>
  <si>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</si>
  <si>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</si>
  <si>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</si>
  <si>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</si>
  <si>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</si>
  <si>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</si>
  <si>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</si>
  <si>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</si>
  <si>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</si>
  <si>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</si>
  <si>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</si>
  <si>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</si>
  <si>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</si>
  <si>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</si>
  <si>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</si>
  <si>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</si>
  <si>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</si>
  <si>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</si>
  <si>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</si>
  <si>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</si>
  <si>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</si>
  <si>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</si>
  <si>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</si>
  <si>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</si>
  <si>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</si>
  <si>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</si>
  <si>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</si>
  <si>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</si>
  <si>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</si>
  <si>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</si>
  <si>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</si>
  <si>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</si>
  <si>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</si>
  <si>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</si>
  <si>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</si>
  <si>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</si>
  <si>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</si>
  <si>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</si>
  <si>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</si>
  <si>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</si>
  <si>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</si>
  <si>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</si>
  <si>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</si>
  <si>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</si>
  <si>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</si>
  <si>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</si>
  <si>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</si>
  <si>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</si>
  <si>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</si>
  <si>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</si>
  <si>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</si>
  <si>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</si>
  <si>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</si>
  <si>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</si>
  <si>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</si>
  <si>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</si>
  <si>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</si>
  <si>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</si>
  <si>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</si>
  <si>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</si>
  <si>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</si>
  <si>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</si>
  <si>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</si>
  <si>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</si>
  <si>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</si>
  <si>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</si>
  <si>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</si>
  <si>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</si>
  <si>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</si>
  <si>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</si>
  <si>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</si>
  <si>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</si>
  <si>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</si>
  <si>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</si>
  <si>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</si>
  <si>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</si>
  <si>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</si>
  <si>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</si>
  <si>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</si>
  <si>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</si>
  <si>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</si>
  <si>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</si>
  <si>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</si>
  <si>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</si>
  <si>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</si>
  <si>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</si>
  <si>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</si>
  <si>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</si>
  <si>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</si>
  <si>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</si>
  <si>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</si>
  <si>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</si>
  <si>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</si>
  <si>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</si>
  <si>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</si>
  <si>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</si>
  <si>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</si>
  <si>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</si>
  <si>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</si>
  <si>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</si>
  <si>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</si>
  <si>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</si>
  <si>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</si>
  <si>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</si>
  <si>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</si>
  <si>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</si>
  <si>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</si>
  <si>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</si>
  <si>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</si>
  <si>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</si>
  <si>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</si>
  <si>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</si>
  <si>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</si>
  <si>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</si>
  <si>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</si>
  <si>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</si>
  <si>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</si>
  <si>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</si>
  <si>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</si>
  <si>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</si>
  <si>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</si>
  <si>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</si>
  <si>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</si>
  <si>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</si>
  <si>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</si>
  <si>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</si>
  <si>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</si>
  <si>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</si>
  <si>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</si>
  <si>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</si>
  <si>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</si>
  <si>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</si>
  <si>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</si>
  <si>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</si>
  <si>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</si>
  <si>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</si>
  <si>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</si>
  <si>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</si>
  <si>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</si>
  <si>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</si>
  <si>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</si>
  <si>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</si>
  <si>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</si>
  <si>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</si>
  <si>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</si>
  <si>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</si>
  <si>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</si>
  <si>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</si>
  <si>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</si>
  <si>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</si>
  <si>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</si>
  <si>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</si>
  <si>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</si>
  <si>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</si>
  <si>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</si>
  <si>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</si>
  <si>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</si>
  <si>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</si>
  <si>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</si>
  <si>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</si>
  <si>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</si>
  <si>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</si>
  <si>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</si>
  <si>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</si>
  <si>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</si>
  <si>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</si>
  <si>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</si>
  <si>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</si>
  <si>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</si>
  <si>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</si>
  <si>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</si>
  <si>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</si>
  <si>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</si>
  <si>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</si>
  <si>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</si>
  <si>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</si>
  <si>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</si>
  <si>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</si>
  <si>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</si>
  <si>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</si>
  <si>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</si>
  <si>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</si>
  <si>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</si>
  <si>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</si>
  <si>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</si>
  <si>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</si>
  <si>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</si>
  <si>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</si>
  <si>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</si>
  <si>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</si>
  <si>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</si>
  <si>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</si>
  <si>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</si>
  <si>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</si>
  <si>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</si>
  <si>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</si>
  <si>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</si>
  <si>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</si>
  <si>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</si>
  <si>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</si>
  <si>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</si>
  <si>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</si>
  <si>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</si>
  <si>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</si>
  <si>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</si>
  <si>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</si>
  <si>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</si>
  <si>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</si>
  <si>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</si>
  <si>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</si>
  <si>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</si>
  <si>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</si>
  <si>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</si>
  <si>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</si>
  <si>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</si>
  <si>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</si>
  <si>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</si>
  <si>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</si>
  <si>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</si>
  <si>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</si>
  <si>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</si>
  <si>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</si>
  <si>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</si>
  <si>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</si>
  <si>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</si>
  <si>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</si>
  <si>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</si>
  <si>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</si>
  <si>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</si>
  <si>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</si>
  <si>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</si>
  <si>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</si>
  <si>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</si>
  <si>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</si>
  <si>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</si>
  <si>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</si>
  <si>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</si>
  <si>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</si>
  <si>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</si>
  <si>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</si>
  <si>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</si>
  <si>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</si>
  <si>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</si>
  <si>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</si>
  <si>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</si>
  <si>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</si>
  <si>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</si>
  <si>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</si>
  <si>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</si>
  <si>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</si>
  <si>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</si>
  <si>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</si>
  <si>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</si>
  <si>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</si>
  <si>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</si>
  <si>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</si>
  <si>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</si>
  <si>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</si>
  <si>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</si>
  <si>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</si>
  <si>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</si>
  <si>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</si>
  <si>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</si>
  <si>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</si>
  <si>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</si>
  <si>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</si>
  <si>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</si>
  <si>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</si>
  <si>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</si>
  <si>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</si>
  <si>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</si>
  <si>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</si>
  <si>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</si>
  <si>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</si>
  <si>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</si>
  <si>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</si>
  <si>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</si>
  <si>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</si>
  <si>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</si>
  <si>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</si>
  <si>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</si>
  <si>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</si>
  <si>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</si>
  <si>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</si>
  <si>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</si>
  <si>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</si>
  <si>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</si>
  <si>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</si>
  <si>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</si>
  <si>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</si>
  <si>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</si>
  <si>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</si>
  <si>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</si>
  <si>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</si>
  <si>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</si>
  <si>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</si>
  <si>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</si>
  <si>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</si>
  <si>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</si>
  <si>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</si>
  <si>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</si>
  <si>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</si>
  <si>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</si>
  <si>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</si>
  <si>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</si>
  <si>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</si>
  <si>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</si>
  <si>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</si>
  <si>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</si>
  <si>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</si>
  <si>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</si>
  <si>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</si>
  <si>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</si>
  <si>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</si>
  <si>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</si>
  <si>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</si>
  <si>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</si>
  <si>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</si>
  <si>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</si>
  <si>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</si>
  <si>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</si>
  <si>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</si>
  <si>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</si>
  <si>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</si>
  <si>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</si>
  <si>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</si>
  <si>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</si>
  <si>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</si>
  <si>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</si>
  <si>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</si>
  <si>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</si>
  <si>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</si>
  <si>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</si>
  <si>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</si>
  <si>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</si>
  <si>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</si>
  <si>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</si>
  <si>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</si>
  <si>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</si>
  <si>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</si>
  <si>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</si>
  <si>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</si>
  <si>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</si>
  <si>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</si>
  <si>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</si>
  <si>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</si>
  <si>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</si>
  <si>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</si>
  <si>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</si>
  <si>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</si>
  <si>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</si>
  <si>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</si>
  <si>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</si>
  <si>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</si>
  <si>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</si>
  <si>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</si>
  <si>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</si>
  <si>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</si>
  <si>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</si>
  <si>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</si>
  <si>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</si>
  <si>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</si>
  <si>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</si>
  <si>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</si>
  <si>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</si>
  <si>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</si>
  <si>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</si>
  <si>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</si>
  <si>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</si>
  <si>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</si>
  <si>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</si>
  <si>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</si>
  <si>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</si>
  <si>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</si>
  <si>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</si>
  <si>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</si>
  <si>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</si>
  <si>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</si>
  <si>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</si>
  <si>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</si>
  <si>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</si>
  <si>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</si>
  <si>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</si>
  <si>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</si>
  <si>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</si>
  <si>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</si>
  <si>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</si>
  <si>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</si>
  <si>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</si>
  <si>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</si>
  <si>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</si>
  <si>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</si>
  <si>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</si>
  <si>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</si>
  <si>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</si>
  <si>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</si>
  <si>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</si>
  <si>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</si>
  <si>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</si>
  <si>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</si>
  <si>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</si>
  <si>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</si>
  <si>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</si>
  <si>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</si>
  <si>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</si>
  <si>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</si>
  <si>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</si>
  <si>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</si>
  <si>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</si>
  <si>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</si>
  <si>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</si>
  <si>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</si>
  <si>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</si>
  <si>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</si>
  <si>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</si>
  <si>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</si>
  <si>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</si>
  <si>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</si>
  <si>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</si>
  <si>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</si>
  <si>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</si>
  <si>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</si>
  <si>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</si>
  <si>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</si>
  <si>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</si>
  <si>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</si>
  <si>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</si>
  <si>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</si>
  <si>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</si>
  <si>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</si>
  <si>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</si>
  <si>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JEWELL COUNTY</t>
  </si>
  <si>
    <t>Township Officer</t>
  </si>
  <si>
    <t>from a Township Officer</t>
  </si>
  <si>
    <t>Carla J. Waugh, Jewell County Clerk</t>
  </si>
  <si>
    <t>General Expenses - Publishing etc</t>
  </si>
  <si>
    <t>Esbon Township</t>
  </si>
  <si>
    <t>Esbon City</t>
  </si>
  <si>
    <t>Kenny Mizner</t>
  </si>
  <si>
    <t>August 20, 2013</t>
  </si>
  <si>
    <t xml:space="preserve">11:00 a.m. </t>
  </si>
  <si>
    <t>Village Café, Esbon</t>
  </si>
  <si>
    <t>Cemetery Plot Sales</t>
  </si>
  <si>
    <t>Mowing</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</si>
</sst>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2" sqref="A12"/>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30.7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Esbon Township</v>
      </c>
      <c r="C1" s="275"/>
      <c r="D1" s="275"/>
      <c r="E1" s="275"/>
      <c r="F1" s="275"/>
      <c r="G1" s="275"/>
      <c r="H1" s="275"/>
      <c r="I1" s="275"/>
      <c r="J1" s="65"/>
      <c r="K1" s="65"/>
      <c r="L1" s="225">
        <f>inputPrYr!D9</f>
        <v>2014</v>
      </c>
    </row>
    <row r="2" spans="1:12" ht="15">
      <c r="A2" s="299"/>
      <c r="B2" s="274" t="str">
        <f>inputPrYr!$D$4</f>
        <v>JEWELL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813</v>
      </c>
      <c r="C2" s="806"/>
      <c r="D2" s="806"/>
      <c r="E2" s="806"/>
      <c r="F2" s="806"/>
      <c r="G2" s="806"/>
      <c r="H2" s="806"/>
      <c r="I2" s="806"/>
    </row>
    <row r="3" spans="2:9" ht="15.75">
      <c r="B3" s="806" t="s">
        <v>814</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Esbon Township</v>
      </c>
      <c r="C7" s="589"/>
      <c r="D7" s="589"/>
      <c r="E7" s="589"/>
      <c r="F7" s="589"/>
      <c r="G7" s="589"/>
      <c r="H7" s="589"/>
      <c r="I7" s="589"/>
    </row>
    <row r="8" spans="2:9" ht="15.75">
      <c r="B8" s="590" t="str">
        <f>inputPrYr!D4</f>
        <v>JEWELL COUNTY</v>
      </c>
      <c r="C8" s="589"/>
      <c r="D8" s="589"/>
      <c r="E8" s="589"/>
      <c r="F8" s="589"/>
      <c r="G8" s="589"/>
      <c r="H8" s="589"/>
      <c r="I8" s="589"/>
    </row>
    <row r="9" spans="2:9" ht="15.75">
      <c r="B9" s="589"/>
      <c r="C9" s="589"/>
      <c r="D9" s="589"/>
      <c r="E9" s="589"/>
      <c r="F9" s="589"/>
      <c r="G9" s="589"/>
      <c r="H9" s="589"/>
      <c r="I9" s="589"/>
    </row>
    <row r="10" spans="2:9" ht="39" customHeight="1">
      <c r="B10" s="808" t="s">
        <v>815</v>
      </c>
      <c r="C10" s="808"/>
      <c r="D10" s="808"/>
      <c r="E10" s="808"/>
      <c r="F10" s="808"/>
      <c r="G10" s="808"/>
      <c r="H10" s="808"/>
      <c r="I10" s="808"/>
    </row>
    <row r="11" spans="2:9" ht="15.75">
      <c r="B11" s="589"/>
      <c r="C11" s="589"/>
      <c r="D11" s="589"/>
      <c r="E11" s="589"/>
      <c r="F11" s="589"/>
      <c r="G11" s="589"/>
      <c r="H11" s="589"/>
      <c r="I11" s="589"/>
    </row>
    <row r="12" spans="2:9" ht="15.75">
      <c r="B12" s="591" t="s">
        <v>816</v>
      </c>
      <c r="C12" s="589"/>
      <c r="D12" s="589"/>
      <c r="E12" s="589"/>
      <c r="F12" s="589"/>
      <c r="G12" s="589"/>
      <c r="H12" s="589"/>
      <c r="I12" s="589"/>
    </row>
    <row r="13" spans="2:9" ht="15.75">
      <c r="B13" s="589"/>
      <c r="C13" s="589"/>
      <c r="D13" s="589"/>
      <c r="E13" s="592" t="s">
        <v>275</v>
      </c>
      <c r="F13" s="589"/>
      <c r="G13" s="592" t="s">
        <v>817</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818</v>
      </c>
      <c r="C22" s="589"/>
      <c r="D22" s="589"/>
      <c r="E22" s="595">
        <f>SUM(E15:E21)</f>
        <v>0</v>
      </c>
      <c r="F22" s="589"/>
      <c r="G22" s="595">
        <f>SUM(G15:G21)</f>
        <v>0</v>
      </c>
      <c r="H22" s="589"/>
      <c r="I22" s="589"/>
    </row>
    <row r="23" spans="2:9" ht="15.75">
      <c r="B23" s="589" t="s">
        <v>819</v>
      </c>
      <c r="C23" s="589"/>
      <c r="D23" s="589"/>
      <c r="E23" s="596">
        <f>G22-E22</f>
        <v>0</v>
      </c>
      <c r="F23" s="589"/>
      <c r="G23" s="597"/>
      <c r="H23" s="589"/>
      <c r="I23" s="589"/>
    </row>
    <row r="24" spans="2:9" ht="15.75">
      <c r="B24" s="589" t="s">
        <v>820</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821</v>
      </c>
      <c r="C26" s="589"/>
      <c r="D26" s="589"/>
      <c r="E26" s="589"/>
      <c r="F26" s="589"/>
      <c r="G26" s="589"/>
      <c r="H26" s="589"/>
      <c r="I26" s="589"/>
    </row>
    <row r="27" spans="2:9" ht="15.75">
      <c r="B27" s="589" t="s">
        <v>822</v>
      </c>
      <c r="C27" s="589"/>
      <c r="D27" s="589"/>
      <c r="E27" s="594">
        <f>summ!D40</f>
        <v>1816497</v>
      </c>
      <c r="F27" s="589"/>
      <c r="G27" s="594">
        <f>summ!F40</f>
        <v>1928039</v>
      </c>
      <c r="H27" s="589"/>
      <c r="I27" s="589"/>
    </row>
    <row r="28" spans="2:9" ht="15.75">
      <c r="B28" s="589" t="s">
        <v>823</v>
      </c>
      <c r="C28" s="589"/>
      <c r="D28" s="589"/>
      <c r="E28" s="599" t="str">
        <f>IF(G27-E27&gt;=0,"No","Yes")</f>
        <v>No</v>
      </c>
      <c r="F28" s="589"/>
      <c r="G28" s="589"/>
      <c r="H28" s="589"/>
      <c r="I28" s="589"/>
    </row>
    <row r="29" spans="2:9" ht="15.75">
      <c r="B29" s="589" t="s">
        <v>824</v>
      </c>
      <c r="C29" s="589"/>
      <c r="D29" s="589"/>
      <c r="E29" s="600" t="str">
        <f>summ!E20</f>
        <v>  </v>
      </c>
      <c r="F29" s="589"/>
      <c r="G29" s="600">
        <f>summ!H36</f>
        <v>3.76</v>
      </c>
      <c r="H29" s="589"/>
      <c r="I29" s="589"/>
    </row>
    <row r="30" spans="2:9" ht="15.75">
      <c r="B30" s="589" t="s">
        <v>825</v>
      </c>
      <c r="C30" s="589"/>
      <c r="D30" s="589"/>
      <c r="E30" s="601" t="e">
        <f>G29-E29</f>
        <v>#VALUE!</v>
      </c>
      <c r="F30" s="589"/>
      <c r="G30" s="589"/>
      <c r="H30" s="589"/>
      <c r="I30" s="589"/>
    </row>
    <row r="31" spans="2:9" ht="15.75">
      <c r="B31" s="589" t="s">
        <v>820</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826</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827</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828</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829</v>
      </c>
      <c r="C43" s="810"/>
      <c r="D43" s="810"/>
      <c r="E43" s="810"/>
      <c r="F43" s="810"/>
      <c r="G43" s="810"/>
      <c r="H43" s="810"/>
      <c r="I43" s="810"/>
    </row>
    <row r="44" spans="2:9" ht="15.75">
      <c r="B44" s="589"/>
      <c r="C44" s="589"/>
      <c r="D44" s="589"/>
      <c r="E44" s="589"/>
      <c r="F44" s="589"/>
      <c r="G44" s="589"/>
      <c r="H44" s="589"/>
      <c r="I44" s="589"/>
    </row>
    <row r="45" spans="2:9" ht="15.75">
      <c r="B45" s="606" t="s">
        <v>830</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831</v>
      </c>
      <c r="C49" s="606"/>
      <c r="D49" s="607"/>
      <c r="E49" s="607"/>
      <c r="F49" s="607"/>
      <c r="G49" s="607"/>
      <c r="H49" s="607"/>
      <c r="I49" s="607"/>
    </row>
    <row r="50" spans="2:9" ht="15.75">
      <c r="B50" s="606" t="s">
        <v>832</v>
      </c>
      <c r="C50" s="606"/>
      <c r="D50" s="607"/>
      <c r="E50" s="607"/>
      <c r="F50" s="607"/>
      <c r="G50" s="607"/>
      <c r="H50" s="607"/>
      <c r="I50" s="607"/>
    </row>
    <row r="51" spans="2:9" ht="15.75">
      <c r="B51" s="606" t="s">
        <v>833</v>
      </c>
      <c r="C51" s="606"/>
      <c r="D51" s="607"/>
      <c r="E51" s="607"/>
      <c r="F51" s="607"/>
      <c r="G51" s="607"/>
      <c r="H51" s="607"/>
      <c r="I51" s="607"/>
    </row>
    <row r="52" spans="2:9" ht="15.75">
      <c r="B52" s="607"/>
      <c r="C52" s="607"/>
      <c r="D52" s="607"/>
      <c r="E52" s="607"/>
      <c r="F52" s="607"/>
      <c r="G52" s="607"/>
      <c r="H52" s="607"/>
      <c r="I52" s="607"/>
    </row>
    <row r="53" spans="2:9" ht="15.75">
      <c r="B53" s="608" t="s">
        <v>834</v>
      </c>
      <c r="C53" s="607"/>
      <c r="D53" s="607"/>
      <c r="E53" s="607"/>
      <c r="F53" s="607"/>
      <c r="G53" s="607"/>
      <c r="H53" s="607"/>
      <c r="I53" s="607"/>
    </row>
    <row r="54" spans="2:9" ht="15.75">
      <c r="B54" s="607"/>
      <c r="C54" s="607"/>
      <c r="D54" s="607"/>
      <c r="E54" s="607"/>
      <c r="F54" s="607"/>
      <c r="G54" s="607"/>
      <c r="H54" s="607"/>
      <c r="I54" s="607"/>
    </row>
    <row r="55" spans="2:9" ht="15.75">
      <c r="B55" s="606" t="s">
        <v>835</v>
      </c>
      <c r="C55" s="607"/>
      <c r="D55" s="607"/>
      <c r="E55" s="607"/>
      <c r="F55" s="607"/>
      <c r="G55" s="607"/>
      <c r="H55" s="607"/>
      <c r="I55" s="607"/>
    </row>
    <row r="56" spans="2:9" ht="15.75">
      <c r="B56" s="606" t="s">
        <v>836</v>
      </c>
      <c r="C56" s="607"/>
      <c r="D56" s="607"/>
      <c r="E56" s="607"/>
      <c r="F56" s="607"/>
      <c r="G56" s="607"/>
      <c r="H56" s="607"/>
      <c r="I56" s="607"/>
    </row>
    <row r="57" spans="2:9" ht="15.75">
      <c r="B57" s="607"/>
      <c r="C57" s="607"/>
      <c r="D57" s="607"/>
      <c r="E57" s="607"/>
      <c r="F57" s="607"/>
      <c r="G57" s="607"/>
      <c r="H57" s="607"/>
      <c r="I57" s="607"/>
    </row>
    <row r="58" spans="2:9" ht="15.75">
      <c r="B58" s="608" t="s">
        <v>837</v>
      </c>
      <c r="C58" s="606"/>
      <c r="D58" s="606"/>
      <c r="E58" s="606"/>
      <c r="F58" s="606"/>
      <c r="G58" s="607"/>
      <c r="H58" s="607"/>
      <c r="I58" s="607"/>
    </row>
    <row r="59" spans="2:9" ht="15.75">
      <c r="B59" s="606"/>
      <c r="C59" s="606"/>
      <c r="D59" s="606"/>
      <c r="E59" s="606"/>
      <c r="F59" s="606"/>
      <c r="G59" s="607"/>
      <c r="H59" s="607"/>
      <c r="I59" s="607"/>
    </row>
    <row r="60" spans="2:9" ht="15.75">
      <c r="B60" s="606" t="s">
        <v>838</v>
      </c>
      <c r="C60" s="606"/>
      <c r="D60" s="606"/>
      <c r="E60" s="606"/>
      <c r="F60" s="606"/>
      <c r="G60" s="607"/>
      <c r="H60" s="607"/>
      <c r="I60" s="607"/>
    </row>
    <row r="61" spans="2:9" ht="15.75">
      <c r="B61" s="606" t="s">
        <v>839</v>
      </c>
      <c r="C61" s="606"/>
      <c r="D61" s="606"/>
      <c r="E61" s="606"/>
      <c r="F61" s="606"/>
      <c r="G61" s="607"/>
      <c r="H61" s="607"/>
      <c r="I61" s="607"/>
    </row>
    <row r="62" spans="2:9" ht="15.75">
      <c r="B62" s="606" t="s">
        <v>840</v>
      </c>
      <c r="C62" s="606"/>
      <c r="D62" s="606"/>
      <c r="E62" s="606"/>
      <c r="F62" s="606"/>
      <c r="G62" s="607"/>
      <c r="H62" s="607"/>
      <c r="I62" s="607"/>
    </row>
    <row r="63" spans="2:9" ht="15.75">
      <c r="B63" s="606" t="s">
        <v>841</v>
      </c>
      <c r="C63" s="606"/>
      <c r="D63" s="606"/>
      <c r="E63" s="606"/>
      <c r="F63" s="606"/>
      <c r="G63" s="607"/>
      <c r="H63" s="607"/>
      <c r="I63" s="607"/>
    </row>
    <row r="64" spans="2:9" ht="15.75">
      <c r="B64" s="609"/>
      <c r="C64" s="609"/>
      <c r="D64" s="609"/>
      <c r="E64" s="609"/>
      <c r="F64" s="609"/>
      <c r="G64" s="607"/>
      <c r="H64" s="607"/>
      <c r="I64" s="607"/>
    </row>
    <row r="65" spans="2:9" ht="15.75">
      <c r="B65" s="606" t="s">
        <v>842</v>
      </c>
      <c r="C65" s="609"/>
      <c r="D65" s="609"/>
      <c r="E65" s="609"/>
      <c r="F65" s="609"/>
      <c r="G65" s="607"/>
      <c r="H65" s="607"/>
      <c r="I65" s="607"/>
    </row>
    <row r="66" spans="2:9" ht="15.75">
      <c r="B66" s="606" t="s">
        <v>843</v>
      </c>
      <c r="C66" s="609"/>
      <c r="D66" s="609"/>
      <c r="E66" s="609"/>
      <c r="F66" s="609"/>
      <c r="G66" s="607"/>
      <c r="H66" s="607"/>
      <c r="I66" s="607"/>
    </row>
    <row r="67" spans="2:9" ht="15.75">
      <c r="B67" s="609"/>
      <c r="C67" s="609"/>
      <c r="D67" s="609"/>
      <c r="E67" s="609"/>
      <c r="F67" s="609"/>
      <c r="G67" s="607"/>
      <c r="H67" s="607"/>
      <c r="I67" s="607"/>
    </row>
    <row r="68" spans="2:9" ht="15.75">
      <c r="B68" s="606" t="s">
        <v>844</v>
      </c>
      <c r="C68" s="609"/>
      <c r="D68" s="609"/>
      <c r="E68" s="609"/>
      <c r="F68" s="609"/>
      <c r="G68" s="607"/>
      <c r="H68" s="607"/>
      <c r="I68" s="607"/>
    </row>
    <row r="69" spans="2:9" ht="15.75">
      <c r="B69" s="606" t="s">
        <v>845</v>
      </c>
      <c r="C69" s="609"/>
      <c r="D69" s="609"/>
      <c r="E69" s="609"/>
      <c r="F69" s="609"/>
      <c r="G69" s="607"/>
      <c r="H69" s="607"/>
      <c r="I69" s="607"/>
    </row>
    <row r="70" spans="2:9" ht="15.75">
      <c r="B70" s="609"/>
      <c r="C70" s="609"/>
      <c r="D70" s="609"/>
      <c r="E70" s="609"/>
      <c r="F70" s="609"/>
      <c r="G70" s="607"/>
      <c r="H70" s="607"/>
      <c r="I70" s="607"/>
    </row>
    <row r="71" spans="2:9" ht="15.75">
      <c r="B71" s="608" t="s">
        <v>846</v>
      </c>
      <c r="C71" s="609"/>
      <c r="D71" s="609"/>
      <c r="E71" s="609"/>
      <c r="F71" s="609"/>
      <c r="G71" s="607"/>
      <c r="H71" s="607"/>
      <c r="I71" s="607"/>
    </row>
    <row r="72" spans="2:9" ht="15.75">
      <c r="B72" s="609"/>
      <c r="C72" s="609"/>
      <c r="D72" s="609"/>
      <c r="E72" s="609"/>
      <c r="F72" s="609"/>
      <c r="G72" s="607"/>
      <c r="H72" s="607"/>
      <c r="I72" s="607"/>
    </row>
    <row r="73" spans="2:9" ht="15.75">
      <c r="B73" s="606" t="s">
        <v>847</v>
      </c>
      <c r="C73" s="609"/>
      <c r="D73" s="609"/>
      <c r="E73" s="609"/>
      <c r="F73" s="609"/>
      <c r="G73" s="607"/>
      <c r="H73" s="607"/>
      <c r="I73" s="607"/>
    </row>
    <row r="74" spans="2:9" ht="15.75">
      <c r="B74" s="606" t="s">
        <v>848</v>
      </c>
      <c r="C74" s="609"/>
      <c r="D74" s="609"/>
      <c r="E74" s="609"/>
      <c r="F74" s="609"/>
      <c r="G74" s="607"/>
      <c r="H74" s="607"/>
      <c r="I74" s="607"/>
    </row>
    <row r="75" spans="2:9" ht="15.75">
      <c r="B75" s="609"/>
      <c r="C75" s="609"/>
      <c r="D75" s="609"/>
      <c r="E75" s="609"/>
      <c r="F75" s="609"/>
      <c r="G75" s="607"/>
      <c r="H75" s="607"/>
      <c r="I75" s="607"/>
    </row>
    <row r="76" spans="2:9" ht="15.75">
      <c r="B76" s="608" t="s">
        <v>849</v>
      </c>
      <c r="C76" s="609"/>
      <c r="D76" s="609"/>
      <c r="E76" s="609"/>
      <c r="F76" s="609"/>
      <c r="G76" s="607"/>
      <c r="H76" s="607"/>
      <c r="I76" s="607"/>
    </row>
    <row r="77" spans="2:9" ht="15.7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850</v>
      </c>
      <c r="C79" s="609"/>
      <c r="D79" s="609"/>
      <c r="E79" s="609"/>
      <c r="F79" s="609"/>
      <c r="G79" s="607"/>
      <c r="H79" s="607"/>
      <c r="I79" s="607"/>
    </row>
    <row r="80" spans="2:9" ht="15.75">
      <c r="B80" s="609"/>
      <c r="C80" s="609"/>
      <c r="D80" s="609"/>
      <c r="E80" s="609"/>
      <c r="F80" s="609"/>
      <c r="G80" s="607"/>
      <c r="H80" s="607"/>
      <c r="I80" s="607"/>
    </row>
    <row r="81" spans="2:9" ht="15.75">
      <c r="B81" s="608" t="s">
        <v>422</v>
      </c>
      <c r="C81" s="609"/>
      <c r="D81" s="609"/>
      <c r="E81" s="609"/>
      <c r="F81" s="609"/>
      <c r="G81" s="607"/>
      <c r="H81" s="607"/>
      <c r="I81" s="607"/>
    </row>
    <row r="82" spans="2:9" ht="15.75">
      <c r="B82" s="609"/>
      <c r="C82" s="609"/>
      <c r="D82" s="609"/>
      <c r="E82" s="609"/>
      <c r="F82" s="609"/>
      <c r="G82" s="607"/>
      <c r="H82" s="607"/>
      <c r="I82" s="607"/>
    </row>
    <row r="83" spans="2:9" ht="15.75">
      <c r="B83" s="606" t="s">
        <v>851</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75">
      <c r="B85" s="609"/>
      <c r="C85" s="609"/>
      <c r="D85" s="609"/>
      <c r="E85" s="609"/>
      <c r="F85" s="609"/>
      <c r="G85" s="607"/>
      <c r="H85" s="607"/>
      <c r="I85" s="607"/>
    </row>
    <row r="86" spans="2:9" ht="15.75">
      <c r="B86" s="606" t="s">
        <v>852</v>
      </c>
      <c r="C86" s="609"/>
      <c r="D86" s="609"/>
      <c r="E86" s="609"/>
      <c r="F86" s="609"/>
      <c r="G86" s="607"/>
      <c r="H86" s="607"/>
      <c r="I86" s="607"/>
    </row>
    <row r="87" spans="2:9" ht="15.75">
      <c r="B87" s="606" t="s">
        <v>853</v>
      </c>
      <c r="C87" s="609"/>
      <c r="D87" s="609"/>
      <c r="E87" s="609"/>
      <c r="F87" s="609"/>
      <c r="G87" s="607"/>
      <c r="H87" s="607"/>
      <c r="I87" s="607"/>
    </row>
    <row r="88" spans="2:9" ht="15.75">
      <c r="B88" s="606" t="s">
        <v>854</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7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855</v>
      </c>
      <c r="C92" s="609"/>
      <c r="D92" s="609"/>
      <c r="E92" s="609"/>
      <c r="F92" s="609"/>
      <c r="G92" s="607"/>
      <c r="H92" s="607"/>
      <c r="I92" s="607"/>
    </row>
    <row r="93" spans="2:9" ht="15.75">
      <c r="B93" s="606" t="s">
        <v>856</v>
      </c>
      <c r="C93" s="609"/>
      <c r="D93" s="609"/>
      <c r="E93" s="609"/>
      <c r="F93" s="609"/>
      <c r="G93" s="607"/>
      <c r="H93" s="607"/>
      <c r="I93" s="607"/>
    </row>
    <row r="94" spans="2:9" ht="15.75">
      <c r="B94" s="606" t="s">
        <v>857</v>
      </c>
      <c r="C94" s="609"/>
      <c r="D94" s="609"/>
      <c r="E94" s="609"/>
      <c r="F94" s="609"/>
      <c r="G94" s="607"/>
      <c r="H94" s="607"/>
      <c r="I94" s="607"/>
    </row>
    <row r="95" spans="2:9" ht="15.75">
      <c r="B95" s="609"/>
      <c r="C95" s="609"/>
      <c r="D95" s="609"/>
      <c r="E95" s="609"/>
      <c r="F95" s="609"/>
      <c r="G95" s="607"/>
      <c r="H95" s="607"/>
      <c r="I95" s="607"/>
    </row>
    <row r="96" spans="2:9" ht="15.75">
      <c r="B96" s="608" t="s">
        <v>858</v>
      </c>
      <c r="C96" s="609"/>
      <c r="D96" s="609"/>
      <c r="E96" s="609"/>
      <c r="F96" s="609"/>
      <c r="G96" s="607"/>
      <c r="H96" s="607"/>
      <c r="I96" s="607"/>
    </row>
    <row r="97" spans="2:9" ht="15.75">
      <c r="B97" s="609"/>
      <c r="C97" s="609"/>
      <c r="D97" s="609"/>
      <c r="E97" s="609"/>
      <c r="F97" s="609"/>
      <c r="G97" s="607"/>
      <c r="H97" s="607"/>
      <c r="I97" s="607"/>
    </row>
    <row r="98" spans="2:9" ht="15.75">
      <c r="B98" s="606" t="s">
        <v>859</v>
      </c>
      <c r="C98" s="609"/>
      <c r="D98" s="609"/>
      <c r="E98" s="609"/>
      <c r="F98" s="609"/>
      <c r="G98" s="607"/>
      <c r="H98" s="607"/>
      <c r="I98" s="607"/>
    </row>
    <row r="99" spans="2:9" ht="15.75">
      <c r="B99" s="606" t="s">
        <v>860</v>
      </c>
      <c r="C99" s="609"/>
      <c r="D99" s="609"/>
      <c r="E99" s="609"/>
      <c r="F99" s="609"/>
      <c r="G99" s="607"/>
      <c r="H99" s="607"/>
      <c r="I99" s="607"/>
    </row>
    <row r="100" spans="2:9" ht="15.75">
      <c r="B100" s="609"/>
      <c r="C100" s="609"/>
      <c r="D100" s="609"/>
      <c r="E100" s="609"/>
      <c r="F100" s="609"/>
      <c r="G100" s="607"/>
      <c r="H100" s="607"/>
      <c r="I100" s="607"/>
    </row>
    <row r="101" spans="2:9" ht="15.75">
      <c r="B101" s="606" t="s">
        <v>861</v>
      </c>
      <c r="C101" s="609"/>
      <c r="D101" s="609"/>
      <c r="E101" s="609"/>
      <c r="F101" s="609"/>
      <c r="G101" s="607"/>
      <c r="H101" s="607"/>
      <c r="I101" s="607"/>
    </row>
    <row r="102" spans="2:9" ht="15.75">
      <c r="B102" s="606" t="s">
        <v>862</v>
      </c>
      <c r="C102" s="609"/>
      <c r="D102" s="609"/>
      <c r="E102" s="609"/>
      <c r="F102" s="609"/>
      <c r="G102" s="607"/>
      <c r="H102" s="607"/>
      <c r="I102" s="607"/>
    </row>
    <row r="103" spans="2:9" ht="15.75">
      <c r="B103" s="606" t="s">
        <v>863</v>
      </c>
      <c r="C103" s="609"/>
      <c r="D103" s="609"/>
      <c r="E103" s="609"/>
      <c r="F103" s="609"/>
      <c r="G103" s="607"/>
      <c r="H103" s="607"/>
      <c r="I103" s="607"/>
    </row>
    <row r="104" spans="2:9" ht="15.75">
      <c r="B104" s="606" t="s">
        <v>864</v>
      </c>
      <c r="C104" s="609"/>
      <c r="D104" s="609"/>
      <c r="E104" s="609"/>
      <c r="F104" s="609"/>
      <c r="G104" s="607"/>
      <c r="H104" s="607"/>
      <c r="I104" s="607"/>
    </row>
    <row r="105" spans="2:9" ht="15.75">
      <c r="B105" s="740" t="s">
        <v>944</v>
      </c>
      <c r="C105" s="741"/>
      <c r="D105" s="741"/>
      <c r="E105" s="741"/>
      <c r="F105" s="741"/>
      <c r="G105" s="607"/>
      <c r="H105" s="607"/>
      <c r="I105" s="607"/>
    </row>
    <row r="108" ht="15.7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Esbon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17052</v>
      </c>
      <c r="D6" s="390">
        <f>C51</f>
        <v>20289.65</v>
      </c>
      <c r="E6" s="261">
        <f>D51</f>
        <v>15544.650000000001</v>
      </c>
    </row>
    <row r="7" spans="2:5" ht="15">
      <c r="B7" s="80" t="s">
        <v>72</v>
      </c>
      <c r="C7" s="390"/>
      <c r="D7" s="390"/>
      <c r="E7" s="315"/>
    </row>
    <row r="8" spans="2:5" ht="15">
      <c r="B8" s="80" t="s">
        <v>279</v>
      </c>
      <c r="C8" s="313">
        <f>4229.37+1235.48+59.76+1010.45+221.93+336.18+58.64</f>
        <v>7151.810000000001</v>
      </c>
      <c r="D8" s="390">
        <f>IF(inputPrYr!H19&gt;0,inputPrYr!G20,inputPrYr!E20)</f>
        <v>7250</v>
      </c>
      <c r="E8" s="315" t="s">
        <v>258</v>
      </c>
    </row>
    <row r="9" spans="2:5" ht="15">
      <c r="B9" s="80" t="s">
        <v>280</v>
      </c>
      <c r="C9" s="313">
        <v>207</v>
      </c>
      <c r="D9" s="313"/>
      <c r="E9" s="171"/>
    </row>
    <row r="10" spans="2:5" ht="15">
      <c r="B10" s="80" t="s">
        <v>281</v>
      </c>
      <c r="C10" s="313">
        <f>23.77+58.19+37.72+41.66+47.86+107+74.45+280.51+56.02+45.74</f>
        <v>772.92</v>
      </c>
      <c r="D10" s="313">
        <v>279</v>
      </c>
      <c r="E10" s="261">
        <f>mvalloc!G11</f>
        <v>806</v>
      </c>
    </row>
    <row r="11" spans="2:5" ht="15">
      <c r="B11" s="80" t="s">
        <v>282</v>
      </c>
      <c r="C11" s="313">
        <f>0.88+2.39+1.28+2.29+5.79+6.54</f>
        <v>19.169999999999998</v>
      </c>
      <c r="D11" s="313">
        <v>5</v>
      </c>
      <c r="E11" s="261">
        <f>mvalloc!I11</f>
        <v>19</v>
      </c>
    </row>
    <row r="12" spans="2:5" ht="15">
      <c r="B12" s="316" t="s">
        <v>21</v>
      </c>
      <c r="C12" s="313">
        <f>37.7+64.99+25.7+12.81+6.55</f>
        <v>147.75</v>
      </c>
      <c r="D12" s="313">
        <v>47</v>
      </c>
      <c r="E12" s="261">
        <f>mvalloc!J11</f>
        <v>139</v>
      </c>
    </row>
    <row r="13" spans="2:5" ht="15">
      <c r="B13" s="316" t="s">
        <v>113</v>
      </c>
      <c r="C13" s="313"/>
      <c r="D13" s="313">
        <v>0</v>
      </c>
      <c r="E13" s="261">
        <f>inputOth!E71</f>
        <v>0</v>
      </c>
    </row>
    <row r="14" spans="2:5" ht="15">
      <c r="B14" s="80" t="s">
        <v>283</v>
      </c>
      <c r="C14" s="313">
        <f>868.95+730.21+8.84</f>
        <v>1608</v>
      </c>
      <c r="D14" s="313">
        <v>1674</v>
      </c>
      <c r="E14" s="261">
        <f>inputOth!E32</f>
        <v>1073</v>
      </c>
    </row>
    <row r="15" spans="2:5" ht="15">
      <c r="B15" s="318" t="s">
        <v>967</v>
      </c>
      <c r="C15" s="313">
        <v>50</v>
      </c>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v>75</v>
      </c>
      <c r="D23" s="313"/>
      <c r="E23" s="171"/>
    </row>
    <row r="24" spans="2:5" ht="15">
      <c r="B24" s="319" t="s">
        <v>231</v>
      </c>
      <c r="C24" s="313">
        <v>39</v>
      </c>
      <c r="D24" s="313"/>
      <c r="E24" s="171"/>
    </row>
    <row r="25" spans="2:5" ht="15">
      <c r="B25" s="319" t="s">
        <v>232</v>
      </c>
      <c r="C25" s="392">
        <f>IF(C26*0.1&lt;C24,"Exceed 10% Rule","")</f>
      </c>
      <c r="D25" s="392">
        <f>IF(D26*0.1&lt;D24,"Exceed 10% Rule","")</f>
      </c>
      <c r="E25" s="323">
        <f>IF(E26*0.1+E57&lt;E24,"Exceed 10% Rule","")</f>
      </c>
    </row>
    <row r="26" spans="2:5" ht="15">
      <c r="B26" s="321" t="s">
        <v>286</v>
      </c>
      <c r="C26" s="393">
        <f>SUM(C8:C24)</f>
        <v>10070.650000000001</v>
      </c>
      <c r="D26" s="393">
        <f>SUM(D8:D24)</f>
        <v>9255</v>
      </c>
      <c r="E26" s="322">
        <f>SUM(E8:E24)</f>
        <v>2037</v>
      </c>
    </row>
    <row r="27" spans="2:5" ht="15">
      <c r="B27" s="98" t="s">
        <v>287</v>
      </c>
      <c r="C27" s="393">
        <f>C26+C6</f>
        <v>27122.65</v>
      </c>
      <c r="D27" s="393">
        <f>D26+D6</f>
        <v>29544.65</v>
      </c>
      <c r="E27" s="322">
        <f>E26+E6</f>
        <v>17581.65</v>
      </c>
    </row>
    <row r="28" spans="2:5" ht="15">
      <c r="B28" s="80" t="s">
        <v>288</v>
      </c>
      <c r="C28" s="390"/>
      <c r="D28" s="390"/>
      <c r="E28" s="261"/>
    </row>
    <row r="29" spans="2:5" ht="15">
      <c r="B29" s="317" t="s">
        <v>960</v>
      </c>
      <c r="C29" s="313">
        <v>351</v>
      </c>
      <c r="D29" s="313">
        <v>14000</v>
      </c>
      <c r="E29" s="171">
        <v>24832</v>
      </c>
    </row>
    <row r="30" spans="2:5" ht="15">
      <c r="B30" s="318" t="s">
        <v>53</v>
      </c>
      <c r="C30" s="313">
        <v>225</v>
      </c>
      <c r="D30" s="313"/>
      <c r="E30" s="171"/>
    </row>
    <row r="31" spans="2:5" ht="15">
      <c r="B31" s="318" t="s">
        <v>77</v>
      </c>
      <c r="C31" s="313"/>
      <c r="D31" s="313"/>
      <c r="E31" s="171"/>
    </row>
    <row r="32" spans="2:5" ht="15">
      <c r="B32" s="318" t="s">
        <v>54</v>
      </c>
      <c r="C32" s="313"/>
      <c r="D32" s="313"/>
      <c r="E32" s="171"/>
    </row>
    <row r="33" spans="2:5" ht="15">
      <c r="B33" s="318" t="s">
        <v>299</v>
      </c>
      <c r="C33" s="313"/>
      <c r="D33" s="313"/>
      <c r="E33" s="171"/>
    </row>
    <row r="34" spans="2:5" ht="15">
      <c r="B34" s="317" t="s">
        <v>55</v>
      </c>
      <c r="C34" s="313">
        <v>2300</v>
      </c>
      <c r="D34" s="313"/>
      <c r="E34" s="171"/>
    </row>
    <row r="35" spans="2:5" ht="15">
      <c r="B35" s="317" t="s">
        <v>78</v>
      </c>
      <c r="C35" s="313"/>
      <c r="D35" s="313"/>
      <c r="E35" s="171"/>
    </row>
    <row r="36" spans="2:5" ht="15">
      <c r="B36" s="318" t="s">
        <v>80</v>
      </c>
      <c r="C36" s="313"/>
      <c r="D36" s="313"/>
      <c r="E36" s="171"/>
    </row>
    <row r="37" spans="2:5" ht="15">
      <c r="B37" s="318" t="s">
        <v>968</v>
      </c>
      <c r="C37" s="313">
        <v>3957</v>
      </c>
      <c r="D37" s="313"/>
      <c r="E37" s="171"/>
    </row>
    <row r="38" spans="2:5" ht="15">
      <c r="B38" s="318" t="s">
        <v>246</v>
      </c>
      <c r="C38" s="313" t="s">
        <v>246</v>
      </c>
      <c r="D38" s="313"/>
      <c r="E38" s="171"/>
    </row>
    <row r="39" spans="2:5" ht="15">
      <c r="B39" s="318"/>
      <c r="C39" s="313"/>
      <c r="D39" s="313"/>
      <c r="E39" s="171"/>
    </row>
    <row r="40" spans="2:5" ht="15">
      <c r="B40" s="318"/>
      <c r="C40" s="313"/>
      <c r="D40" s="313"/>
      <c r="E40" s="171"/>
    </row>
    <row r="41" spans="2:10" ht="15.75">
      <c r="B41" s="317"/>
      <c r="C41" s="313"/>
      <c r="D41" s="313"/>
      <c r="E41" s="171"/>
      <c r="G41" s="817" t="str">
        <f>CONCATENATE("Desired Carryover Into ",E1+1,"")</f>
        <v>Desired Carryover Into 2015</v>
      </c>
      <c r="H41" s="818"/>
      <c r="I41" s="818"/>
      <c r="J41" s="819"/>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75">
      <c r="B48" s="316" t="s">
        <v>231</v>
      </c>
      <c r="C48" s="313"/>
      <c r="D48" s="313"/>
      <c r="E48" s="171"/>
      <c r="G48" s="817" t="str">
        <f>CONCATENATE("Projected Carryover Into ",E1+1,"")</f>
        <v>Projected Carryover Into 2015</v>
      </c>
      <c r="H48" s="818"/>
      <c r="I48" s="818"/>
      <c r="J48" s="819"/>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6833</v>
      </c>
      <c r="D50" s="393">
        <f>SUM(D29:D43,D45,D47:D48)</f>
        <v>14000</v>
      </c>
      <c r="E50" s="322">
        <f>SUM(E29:E43,E47:E48,E45)</f>
        <v>24832</v>
      </c>
      <c r="G50" s="545">
        <f>D51</f>
        <v>15544.650000000001</v>
      </c>
      <c r="H50" s="546" t="str">
        <f>CONCATENATE("",E1-1," Ending Cash Balance (est.)")</f>
        <v>2013 Ending Cash Balance (est.)</v>
      </c>
      <c r="I50" s="547"/>
      <c r="J50" s="84"/>
    </row>
    <row r="51" spans="2:10" ht="15">
      <c r="B51" s="80" t="s">
        <v>71</v>
      </c>
      <c r="C51" s="394">
        <f>C27-C50</f>
        <v>20289.65</v>
      </c>
      <c r="D51" s="394">
        <f>D27-D50</f>
        <v>15544.650000000001</v>
      </c>
      <c r="E51" s="315" t="s">
        <v>258</v>
      </c>
      <c r="G51" s="545">
        <f>E26</f>
        <v>2037</v>
      </c>
      <c r="H51" s="548" t="str">
        <f>CONCATENATE("",E1," Non-AV Receipts (est.)")</f>
        <v>2014 Non-AV Receipts (est.)</v>
      </c>
      <c r="I51" s="547"/>
      <c r="J51" s="84"/>
    </row>
    <row r="52" spans="2:11" ht="15">
      <c r="B52" s="117" t="str">
        <f>CONCATENATE("",E1-2,"/",E1-1," Budget Authority Amount:")</f>
        <v>2012/2013 Budget Authority Amount:</v>
      </c>
      <c r="C52" s="338">
        <f>inputOth!B83</f>
        <v>21408</v>
      </c>
      <c r="D52" s="68">
        <f>inputPrYr!D20</f>
        <v>24157</v>
      </c>
      <c r="E52" s="315" t="s">
        <v>258</v>
      </c>
      <c r="F52" s="324"/>
      <c r="G52" s="549">
        <f>IF(D56&gt;0,E55,E57)</f>
        <v>7250.3499999999985</v>
      </c>
      <c r="H52" s="548" t="str">
        <f>CONCATENATE("",E1," Ad Valorem Tax (est.)")</f>
        <v>2014 Ad Valorem Tax (est.)</v>
      </c>
      <c r="I52" s="547"/>
      <c r="J52" s="84"/>
      <c r="K52" s="724">
        <f>IF(G52=E57,"","Note: Does not include Delinquent Taxes")</f>
      </c>
    </row>
    <row r="53" spans="2:10" ht="15.75">
      <c r="B53" s="117"/>
      <c r="C53" s="811" t="s">
        <v>730</v>
      </c>
      <c r="D53" s="812"/>
      <c r="E53" s="171"/>
      <c r="F53" s="324">
        <f>IF(E50/0.95-E50&lt;E53,"Exceeds 5%","")</f>
      </c>
      <c r="G53" s="545">
        <f>SUM(G50:G52)</f>
        <v>24832</v>
      </c>
      <c r="H53" s="548" t="str">
        <f>CONCATENATE("Total ",E1," Resources Available")</f>
        <v>Total 2014 Resources Available</v>
      </c>
      <c r="I53" s="547"/>
      <c r="J53" s="84"/>
    </row>
    <row r="54" spans="2:10" ht="15">
      <c r="B54" s="499" t="str">
        <f>CONCATENATE(C74,"      ",D74)</f>
        <v>      </v>
      </c>
      <c r="C54" s="813" t="s">
        <v>731</v>
      </c>
      <c r="D54" s="814"/>
      <c r="E54" s="261">
        <f>E50+E53</f>
        <v>24832</v>
      </c>
      <c r="G54" s="550"/>
      <c r="H54" s="548"/>
      <c r="I54" s="548"/>
      <c r="J54" s="84"/>
    </row>
    <row r="55" spans="2:10" ht="15">
      <c r="B55" s="499" t="str">
        <f>CONCATENATE(C75,"       ",D75)</f>
        <v>       </v>
      </c>
      <c r="C55" s="502"/>
      <c r="D55" s="501" t="s">
        <v>291</v>
      </c>
      <c r="E55" s="182">
        <f>IF(E54-E27&gt;0,E54-E27,0)</f>
        <v>7250.3499999999985</v>
      </c>
      <c r="G55" s="549">
        <f>ROUND(C50*0.05+C50,0)</f>
        <v>7175</v>
      </c>
      <c r="H55" s="548" t="str">
        <f>CONCATENATE("Less ",E1-2," Expenditures + 5%")</f>
        <v>Less 2012 Expenditures + 5%</v>
      </c>
      <c r="I55" s="547"/>
      <c r="J55" s="84"/>
    </row>
    <row r="56" spans="2:10" ht="15">
      <c r="B56" s="211"/>
      <c r="C56" s="500" t="s">
        <v>732</v>
      </c>
      <c r="D56" s="717">
        <f>inputOth!$E$77</f>
        <v>0</v>
      </c>
      <c r="E56" s="261">
        <f>ROUND(IF(D56&gt;0,(E55*D56),0),0)</f>
        <v>0</v>
      </c>
      <c r="G56" s="551">
        <f>G53-G55</f>
        <v>17657</v>
      </c>
      <c r="H56" s="552" t="str">
        <f>CONCATENATE("Projected ",E1+1," Carryover (est.)")</f>
        <v>Projected 2015 Carryover (est.)</v>
      </c>
      <c r="I56" s="553"/>
      <c r="J56" s="554"/>
    </row>
    <row r="57" spans="2:5" ht="15">
      <c r="B57" s="65"/>
      <c r="C57" s="815" t="str">
        <f>CONCATENATE("Amount of  ",$E$1-1," Ad Valorem Tax")</f>
        <v>Amount of  2013 Ad Valorem Tax</v>
      </c>
      <c r="D57" s="816"/>
      <c r="E57" s="182">
        <f>E55+E56</f>
        <v>7250.3499999999985</v>
      </c>
    </row>
    <row r="58" spans="2:10" ht="15.75">
      <c r="B58" s="65"/>
      <c r="C58" s="65"/>
      <c r="D58" s="65"/>
      <c r="E58" s="65"/>
      <c r="G58" s="820" t="s">
        <v>870</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3.76</v>
      </c>
      <c r="H60" s="546" t="str">
        <f>CONCATENATE("",E1," Fund Mill Rate")</f>
        <v>2014 Fund Mill Rate</v>
      </c>
      <c r="I60" s="716"/>
      <c r="J60" s="726"/>
      <c r="K60" s="156"/>
    </row>
    <row r="61" spans="2:10" ht="15.75">
      <c r="B61" s="211" t="s">
        <v>272</v>
      </c>
      <c r="C61" s="153">
        <v>6</v>
      </c>
      <c r="D61" s="65"/>
      <c r="E61" s="65"/>
      <c r="G61" s="728">
        <f>summ!E18</f>
        <v>3.991</v>
      </c>
      <c r="H61" s="546" t="str">
        <f>CONCATENATE("",E1-1," Fund Mill Rate")</f>
        <v>2013 Fund Mill Rate</v>
      </c>
      <c r="I61" s="716"/>
      <c r="J61" s="726"/>
    </row>
    <row r="62" spans="7:10" ht="15.75">
      <c r="G62" s="729">
        <f>summ!H36</f>
        <v>3.76</v>
      </c>
      <c r="H62" s="546" t="str">
        <f>CONCATENATE("Total ",E1," Mill Rate")</f>
        <v>Total 2014 Mill Rate</v>
      </c>
      <c r="I62" s="716"/>
      <c r="J62" s="726"/>
    </row>
    <row r="63" spans="2:10" ht="15.75">
      <c r="B63" s="109"/>
      <c r="G63" s="728">
        <f>summ!E36</f>
        <v>3.991</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Esbon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75">
      <c r="B24" s="637"/>
      <c r="C24" s="632"/>
      <c r="D24" s="634"/>
      <c r="E24" s="635"/>
      <c r="G24" s="823" t="str">
        <f>CONCATENATE("Desired Carryover Into ",E1+1,"")</f>
        <v>Desired Carryover Into 2015</v>
      </c>
      <c r="H24" s="824"/>
      <c r="I24" s="824"/>
      <c r="J24" s="82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75">
      <c r="B31" s="660" t="s">
        <v>231</v>
      </c>
      <c r="C31" s="640"/>
      <c r="D31" s="634"/>
      <c r="E31" s="635"/>
      <c r="G31" s="823" t="str">
        <f>CONCATENATE("Projected Carryover Into ",E1+1,"")</f>
        <v>Projected Carryover Into 2015</v>
      </c>
      <c r="H31" s="833"/>
      <c r="I31" s="833"/>
      <c r="J31" s="82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75">
      <c r="B36" s="669"/>
      <c r="C36" s="811" t="s">
        <v>730</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731</v>
      </c>
      <c r="D37" s="814"/>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7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870</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273</v>
      </c>
      <c r="C44" s="620" t="s">
        <v>865</v>
      </c>
      <c r="D44" s="621" t="s">
        <v>866</v>
      </c>
      <c r="E44" s="622" t="s">
        <v>867</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3.76</v>
      </c>
      <c r="H45" s="665" t="str">
        <f>CONCATENATE("Total ",E1," Mill Rate")</f>
        <v>Total 2014 Mill Rate</v>
      </c>
      <c r="I45" s="689"/>
      <c r="J45" s="690"/>
    </row>
    <row r="46" spans="2:10" ht="15.75">
      <c r="B46" s="627" t="s">
        <v>96</v>
      </c>
      <c r="C46" s="632">
        <v>0</v>
      </c>
      <c r="D46" s="629">
        <f>C74</f>
        <v>0</v>
      </c>
      <c r="E46" s="630">
        <f>D74</f>
        <v>0</v>
      </c>
      <c r="F46" s="668"/>
      <c r="G46" s="692">
        <f>summ!E36</f>
        <v>3.991</v>
      </c>
      <c r="H46" s="695" t="str">
        <f>CONCATENATE("Total ",E1-1," Mill Rate")</f>
        <v>Total 2013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947</v>
      </c>
      <c r="H48" s="744"/>
      <c r="I48" s="743" t="str">
        <f>cert!E41</f>
        <v>No</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75">
      <c r="B64" s="637"/>
      <c r="C64" s="632"/>
      <c r="D64" s="634"/>
      <c r="E64" s="635"/>
      <c r="G64" s="823" t="str">
        <f>CONCATENATE("Desired Carryover Into ",E1+1,"")</f>
        <v>Desired Carryover Into 2015</v>
      </c>
      <c r="H64" s="824"/>
      <c r="I64" s="824"/>
      <c r="J64" s="82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3" t="str">
        <f>CONCATENATE("Projected Carryover Into ",E1+1,"")</f>
        <v>Projected Carryover Into 2015</v>
      </c>
      <c r="H71" s="826"/>
      <c r="I71" s="826"/>
      <c r="J71" s="827"/>
    </row>
    <row r="72" spans="2:10" ht="15.75">
      <c r="B72" s="636" t="s">
        <v>733</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75">
      <c r="B76" s="669"/>
      <c r="C76" s="811" t="s">
        <v>730</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731</v>
      </c>
      <c r="D77" s="814"/>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7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870</v>
      </c>
      <c r="H81" s="831"/>
      <c r="I81" s="831"/>
      <c r="J81" s="832"/>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3.76</v>
      </c>
      <c r="H85" s="665" t="str">
        <f>CONCATENATE("Total ",E1," Mill Rate")</f>
        <v>Total 2014 Mill Rate</v>
      </c>
      <c r="I85" s="689"/>
      <c r="J85" s="690"/>
    </row>
    <row r="86" spans="7:10" ht="15.75">
      <c r="G86" s="692">
        <f>summ!E36</f>
        <v>3.991</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Esbon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c r="D6" s="390">
        <f>C44</f>
        <v>0</v>
      </c>
      <c r="E6" s="261">
        <f>D44</f>
        <v>0</v>
      </c>
    </row>
    <row r="7" spans="2:5" ht="15">
      <c r="B7" s="80" t="s">
        <v>72</v>
      </c>
      <c r="C7" s="390"/>
      <c r="D7" s="390"/>
      <c r="E7" s="315"/>
    </row>
    <row r="8" spans="2:5" ht="15">
      <c r="B8" s="80" t="s">
        <v>279</v>
      </c>
      <c r="C8" s="313"/>
      <c r="D8" s="390">
        <f>IF(inputPrYr!H19&gt;0,inputPrYr!G23,inputPrYr!E23)</f>
        <v>0</v>
      </c>
      <c r="E8" s="315" t="s">
        <v>258</v>
      </c>
    </row>
    <row r="9" spans="2:5" ht="15">
      <c r="B9" s="80" t="s">
        <v>280</v>
      </c>
      <c r="C9" s="313"/>
      <c r="D9" s="313"/>
      <c r="E9" s="171"/>
    </row>
    <row r="10" spans="2:5" ht="15">
      <c r="B10" s="80" t="s">
        <v>281</v>
      </c>
      <c r="C10" s="313"/>
      <c r="D10" s="313"/>
      <c r="E10" s="261">
        <f>mvalloc!G14</f>
        <v>0</v>
      </c>
    </row>
    <row r="11" spans="2:5" ht="15">
      <c r="B11" s="80" t="s">
        <v>282</v>
      </c>
      <c r="C11" s="313"/>
      <c r="D11" s="313"/>
      <c r="E11" s="261">
        <f>mvalloc!I14</f>
        <v>0</v>
      </c>
    </row>
    <row r="12" spans="2:5" ht="15">
      <c r="B12" s="80" t="s">
        <v>51</v>
      </c>
      <c r="C12" s="313"/>
      <c r="D12" s="313"/>
      <c r="E12" s="261">
        <f>mvalloc!J14</f>
        <v>0</v>
      </c>
    </row>
    <row r="13" spans="2:5" ht="15">
      <c r="B13" s="80" t="s">
        <v>52</v>
      </c>
      <c r="C13" s="313"/>
      <c r="D13" s="313"/>
      <c r="E13" s="261">
        <f>inputOth!E72</f>
        <v>0</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c r="E20" s="171"/>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0</v>
      </c>
      <c r="D23" s="393">
        <f>SUM(D8:D21)</f>
        <v>0</v>
      </c>
      <c r="E23" s="322">
        <f>SUM(E8:E21)</f>
        <v>0</v>
      </c>
    </row>
    <row r="24" spans="2:5" ht="15">
      <c r="B24" s="98" t="s">
        <v>287</v>
      </c>
      <c r="C24" s="393">
        <f>C23+C6</f>
        <v>0</v>
      </c>
      <c r="D24" s="393">
        <f>D23+D6</f>
        <v>0</v>
      </c>
      <c r="E24" s="322">
        <f>E23+E6</f>
        <v>0</v>
      </c>
    </row>
    <row r="25" spans="2:5" ht="15">
      <c r="B25" s="80" t="s">
        <v>288</v>
      </c>
      <c r="C25" s="390"/>
      <c r="D25" s="390"/>
      <c r="E25" s="261"/>
    </row>
    <row r="26" spans="2:5" ht="15">
      <c r="B26" s="318"/>
      <c r="C26" s="313"/>
      <c r="D26" s="313"/>
      <c r="E26" s="171"/>
    </row>
    <row r="27" spans="2:5" ht="15">
      <c r="B27" s="318" t="s">
        <v>53</v>
      </c>
      <c r="C27" s="313"/>
      <c r="D27" s="313"/>
      <c r="E27" s="171"/>
    </row>
    <row r="28" spans="2:5" ht="15">
      <c r="B28" s="318" t="s">
        <v>77</v>
      </c>
      <c r="C28" s="313"/>
      <c r="D28" s="313"/>
      <c r="E28" s="171"/>
    </row>
    <row r="29" spans="2:5" ht="15">
      <c r="B29" s="317" t="s">
        <v>54</v>
      </c>
      <c r="C29" s="313"/>
      <c r="D29" s="313"/>
      <c r="E29" s="171"/>
    </row>
    <row r="30" spans="2:5" ht="15">
      <c r="B30" s="318" t="s">
        <v>79</v>
      </c>
      <c r="C30" s="313"/>
      <c r="D30" s="313"/>
      <c r="E30" s="171"/>
    </row>
    <row r="31" spans="2:5" ht="15">
      <c r="B31" s="318" t="s">
        <v>57</v>
      </c>
      <c r="C31" s="313"/>
      <c r="D31" s="313"/>
      <c r="E31" s="171"/>
    </row>
    <row r="32" spans="2:5" ht="15">
      <c r="B32" s="318" t="s">
        <v>55</v>
      </c>
      <c r="C32" s="313"/>
      <c r="D32" s="313"/>
      <c r="E32" s="171"/>
    </row>
    <row r="33" spans="2:5" ht="15">
      <c r="B33" s="318"/>
      <c r="C33" s="313"/>
      <c r="D33" s="313"/>
      <c r="E33" s="171"/>
    </row>
    <row r="34" spans="2:10" ht="15.75">
      <c r="B34" s="318"/>
      <c r="C34" s="313"/>
      <c r="D34" s="313"/>
      <c r="E34" s="171"/>
      <c r="G34" s="817" t="str">
        <f>CONCATENATE("Desired Carryover Into ",E1+1,"")</f>
        <v>Desired Carryover Into 2015</v>
      </c>
      <c r="H34" s="818"/>
      <c r="I34" s="818"/>
      <c r="J34" s="819"/>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75">
      <c r="B41" s="316" t="s">
        <v>231</v>
      </c>
      <c r="C41" s="313"/>
      <c r="D41" s="313"/>
      <c r="E41" s="171"/>
      <c r="G41" s="817" t="str">
        <f>CONCATENATE("Projected Carryover Into ",E1+1,"")</f>
        <v>Projected Carryover Into 2015</v>
      </c>
      <c r="H41" s="818"/>
      <c r="I41" s="818"/>
      <c r="J41" s="819"/>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0</v>
      </c>
      <c r="D43" s="393">
        <f>SUM(D26:D41)</f>
        <v>0</v>
      </c>
      <c r="E43" s="322">
        <f>SUM(E26:E38,E41)</f>
        <v>0</v>
      </c>
      <c r="G43" s="545">
        <f>D44</f>
        <v>0</v>
      </c>
      <c r="H43" s="546" t="str">
        <f>CONCATENATE("",E1-1," Ending Cash Balance (est.)")</f>
        <v>2013 Ending Cash Balance (est.)</v>
      </c>
      <c r="I43" s="547"/>
      <c r="J43" s="84"/>
    </row>
    <row r="44" spans="2:10" ht="15">
      <c r="B44" s="80" t="s">
        <v>71</v>
      </c>
      <c r="C44" s="394">
        <f>C24-C43</f>
        <v>0</v>
      </c>
      <c r="D44" s="394">
        <f>D24-D43</f>
        <v>0</v>
      </c>
      <c r="E44" s="315" t="s">
        <v>258</v>
      </c>
      <c r="G44" s="545">
        <f>E23</f>
        <v>0</v>
      </c>
      <c r="H44" s="548" t="str">
        <f>CONCATENATE("",E1," Non-AV Receipts (est.)")</f>
        <v>2014 Non-AV Receipts (est.)</v>
      </c>
      <c r="I44" s="547"/>
      <c r="J44" s="84"/>
    </row>
    <row r="45" spans="2:11" ht="15">
      <c r="B45" s="117" t="str">
        <f>CONCATENATE("",$E$1-2,"/",$E$1-1," Budget Authority Amount:")</f>
        <v>2012/2013 Budget Authority Amount:</v>
      </c>
      <c r="C45" s="338">
        <f>inputOth!B86</f>
        <v>0</v>
      </c>
      <c r="D45" s="83">
        <f>inputPrYr!D23</f>
        <v>0</v>
      </c>
      <c r="E45" s="315" t="s">
        <v>258</v>
      </c>
      <c r="F45" s="324"/>
      <c r="G45" s="549">
        <f>IF(D49&gt;0,E48,E50)</f>
        <v>0</v>
      </c>
      <c r="H45" s="548" t="str">
        <f>CONCATENATE("",E1," Ad Valorem Tax (est.)")</f>
        <v>2014 Ad Valorem Tax (est.)</v>
      </c>
      <c r="I45" s="547"/>
      <c r="J45" s="84"/>
      <c r="K45" s="724">
        <f>IF(G45=E50,"","Note: Does not include Delinquent Taxes")</f>
      </c>
    </row>
    <row r="46" spans="2:10" ht="15.75">
      <c r="B46" s="117"/>
      <c r="C46" s="811" t="s">
        <v>730</v>
      </c>
      <c r="D46" s="812"/>
      <c r="E46" s="171"/>
      <c r="F46" s="733">
        <f>IF(E43/0.95-E43&lt;E46,"Exceeds 5%","")</f>
      </c>
      <c r="G46" s="545">
        <f>SUM(G43:G45)</f>
        <v>0</v>
      </c>
      <c r="H46" s="548" t="str">
        <f>CONCATENATE("Total ",E1," Resources Available")</f>
        <v>Total 2014 Resources Available</v>
      </c>
      <c r="I46" s="547"/>
      <c r="J46" s="84"/>
    </row>
    <row r="47" spans="2:10" ht="15">
      <c r="B47" s="499" t="str">
        <f>CONCATENATE(C72,"     ",D72)</f>
        <v>     </v>
      </c>
      <c r="C47" s="813" t="s">
        <v>731</v>
      </c>
      <c r="D47" s="814"/>
      <c r="E47" s="261">
        <f>E43+E46</f>
        <v>0</v>
      </c>
      <c r="G47" s="550"/>
      <c r="H47" s="548"/>
      <c r="I47" s="548"/>
      <c r="J47" s="84"/>
    </row>
    <row r="48" spans="2:10" ht="15">
      <c r="B48" s="499" t="str">
        <f>CONCATENATE(C73,"     ",D73)</f>
        <v>     </v>
      </c>
      <c r="C48" s="502"/>
      <c r="D48" s="501" t="s">
        <v>291</v>
      </c>
      <c r="E48" s="182">
        <f>IF(E47-E24&gt;0,E47-E24,0)</f>
        <v>0</v>
      </c>
      <c r="G48" s="549">
        <f>ROUND(C43*0.05+C43,0)</f>
        <v>0</v>
      </c>
      <c r="H48" s="548" t="str">
        <f>CONCATENATE("Less ",E1-2," Expenditures + 5%")</f>
        <v>Less 2012 Expenditures + 5%</v>
      </c>
      <c r="I48" s="547"/>
      <c r="J48" s="84"/>
    </row>
    <row r="49" spans="2:10" ht="15">
      <c r="B49" s="211"/>
      <c r="C49" s="500" t="s">
        <v>732</v>
      </c>
      <c r="D49" s="717">
        <f>inputOth!$E$77</f>
        <v>0</v>
      </c>
      <c r="E49" s="261">
        <f>ROUND(IF(D49&gt;0,(E48*D49),0),0)</f>
        <v>0</v>
      </c>
      <c r="G49" s="551">
        <f>G46-G48</f>
        <v>0</v>
      </c>
      <c r="H49" s="552" t="str">
        <f>CONCATENATE("Projected ",E1+1," Carryover (est.)")</f>
        <v>Projected 2015 Carryover (est.)</v>
      </c>
      <c r="I49" s="553"/>
      <c r="J49" s="554"/>
    </row>
    <row r="50" spans="2:5" ht="15">
      <c r="B50" s="65"/>
      <c r="C50" s="815" t="str">
        <f>CONCATENATE("Amount of  ",$E$1-1," Ad Valorem Tax")</f>
        <v>Amount of  2013 Ad Valorem Tax</v>
      </c>
      <c r="D50" s="816"/>
      <c r="E50" s="182">
        <f>E48+E49</f>
        <v>0</v>
      </c>
    </row>
    <row r="51" spans="2:10" ht="15.75">
      <c r="B51" s="65"/>
      <c r="C51" s="65"/>
      <c r="D51" s="65"/>
      <c r="E51" s="65"/>
      <c r="G51" s="820" t="s">
        <v>870</v>
      </c>
      <c r="H51" s="821"/>
      <c r="I51" s="821"/>
      <c r="J51" s="822"/>
    </row>
    <row r="52" spans="2:10" ht="15.75">
      <c r="B52" s="65"/>
      <c r="C52" s="65"/>
      <c r="D52" s="65"/>
      <c r="E52" s="65"/>
      <c r="G52" s="725"/>
      <c r="H52" s="546"/>
      <c r="I52" s="716"/>
      <c r="J52" s="726"/>
    </row>
    <row r="53" spans="2:10" ht="15.75">
      <c r="B53" s="157" t="s">
        <v>293</v>
      </c>
      <c r="C53" s="205">
        <f>E1-2</f>
        <v>2012</v>
      </c>
      <c r="D53" s="65"/>
      <c r="E53" s="65"/>
      <c r="G53" s="727" t="str">
        <f>summ!H21</f>
        <v> </v>
      </c>
      <c r="H53" s="546" t="str">
        <f>CONCATENATE("",E1," Fund Mill Rate")</f>
        <v>2014 Fund Mill Rate</v>
      </c>
      <c r="I53" s="716"/>
      <c r="J53" s="726"/>
    </row>
    <row r="54" spans="2:10" ht="15.75">
      <c r="B54" s="77" t="s">
        <v>294</v>
      </c>
      <c r="C54" s="79" t="s">
        <v>295</v>
      </c>
      <c r="D54" s="65"/>
      <c r="E54" s="65"/>
      <c r="G54" s="728" t="str">
        <f>summ!E21</f>
        <v>  </v>
      </c>
      <c r="H54" s="546" t="str">
        <f>CONCATENATE("",E1-1," Fund Mill Rate")</f>
        <v>2013 Fund Mill Rate</v>
      </c>
      <c r="I54" s="716"/>
      <c r="J54" s="726"/>
    </row>
    <row r="55" spans="2:10" ht="15.75">
      <c r="B55" s="105" t="s">
        <v>277</v>
      </c>
      <c r="C55" s="498"/>
      <c r="D55" s="65"/>
      <c r="E55" s="65"/>
      <c r="G55" s="729">
        <f>summ!H36</f>
        <v>3.76</v>
      </c>
      <c r="H55" s="546" t="str">
        <f>CONCATENATE("Total ",E1," Mill Rate")</f>
        <v>Total 2014 Mill Rate</v>
      </c>
      <c r="I55" s="716"/>
      <c r="J55" s="726"/>
    </row>
    <row r="56" spans="2:10" ht="15.75">
      <c r="B56" s="105" t="s">
        <v>296</v>
      </c>
      <c r="C56" s="338"/>
      <c r="D56" s="65"/>
      <c r="E56" s="65"/>
      <c r="G56" s="728">
        <f>summ!E36</f>
        <v>3.991</v>
      </c>
      <c r="H56" s="730" t="str">
        <f>CONCATENATE("Total ",E1-1," Mill Rate")</f>
        <v>Total 2013 Mill Rate</v>
      </c>
      <c r="I56" s="731"/>
      <c r="J56" s="732"/>
    </row>
    <row r="57" spans="2:5" ht="15">
      <c r="B57" s="105" t="s">
        <v>297</v>
      </c>
      <c r="C57" s="493">
        <f>IF(C38&gt;0,C38,0)</f>
        <v>0</v>
      </c>
      <c r="D57" s="329">
        <f>IF(C38&gt;(C24*0.25),"Exceeds 25% of Resources Available","")</f>
      </c>
      <c r="E57" s="65"/>
    </row>
    <row r="58" spans="2:9" ht="15">
      <c r="B58" s="105" t="s">
        <v>195</v>
      </c>
      <c r="C58" s="492">
        <f>IF(gen!C43&gt;0,gen!C43,0)</f>
        <v>0</v>
      </c>
      <c r="D58" s="834">
        <f>IF(AND(gen!C43&gt;0,gen!C45&gt;0),"Not Auth. Two General Transfers - Only One","")</f>
      </c>
      <c r="E58" s="65"/>
      <c r="G58" s="745" t="s">
        <v>947</v>
      </c>
      <c r="H58" s="744"/>
      <c r="I58" s="743" t="str">
        <f>cert!E41</f>
        <v>No</v>
      </c>
    </row>
    <row r="59" spans="2:5" ht="15">
      <c r="B59" s="105" t="s">
        <v>196</v>
      </c>
      <c r="C59" s="493">
        <f>IF(gen!C45&gt;0,gen!C45,0)</f>
        <v>0</v>
      </c>
      <c r="D59" s="835"/>
      <c r="E59" s="65"/>
    </row>
    <row r="60" spans="2:5" ht="15">
      <c r="B60" s="173"/>
      <c r="C60" s="498"/>
      <c r="D60" s="65"/>
      <c r="E60" s="65"/>
    </row>
    <row r="61" spans="2:5" ht="15">
      <c r="B61" s="173" t="s">
        <v>285</v>
      </c>
      <c r="C61" s="498"/>
      <c r="D61" s="65"/>
      <c r="E61" s="65"/>
    </row>
    <row r="62" spans="2:5" ht="15">
      <c r="B62" s="173" t="s">
        <v>284</v>
      </c>
      <c r="C62" s="498"/>
      <c r="D62" s="65"/>
      <c r="E62" s="65"/>
    </row>
    <row r="63" spans="2:5" ht="15">
      <c r="B63" s="330" t="s">
        <v>287</v>
      </c>
      <c r="C63" s="491">
        <f>SUM(C55,C57:C62)</f>
        <v>0</v>
      </c>
      <c r="D63" s="65"/>
      <c r="E63" s="65"/>
    </row>
    <row r="64" spans="2:5" ht="15">
      <c r="B64" s="330" t="s">
        <v>289</v>
      </c>
      <c r="C64" s="498"/>
      <c r="D64" s="65"/>
      <c r="E64" s="65"/>
    </row>
    <row r="65" spans="2:5" ht="15">
      <c r="B65" s="330" t="s">
        <v>290</v>
      </c>
      <c r="C65" s="491">
        <f>C63-C64</f>
        <v>0</v>
      </c>
      <c r="D65" s="65"/>
      <c r="E65" s="65"/>
    </row>
    <row r="66" spans="2:5" ht="15">
      <c r="B66" s="65"/>
      <c r="C66" s="65"/>
      <c r="D66" s="65"/>
      <c r="E66" s="65"/>
    </row>
    <row r="67" spans="2:5" ht="15">
      <c r="B67" s="211" t="s">
        <v>272</v>
      </c>
      <c r="C67" s="332"/>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Esbon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2014 Fund Mill Rate</v>
      </c>
      <c r="I43" s="689"/>
      <c r="J43" s="690"/>
      <c r="K43" s="614"/>
    </row>
    <row r="44" spans="2:11" ht="15.75">
      <c r="B44" s="65"/>
      <c r="C44" s="388" t="s">
        <v>274</v>
      </c>
      <c r="D44" s="391" t="s">
        <v>275</v>
      </c>
      <c r="E44" s="74" t="s">
        <v>276</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3.76</v>
      </c>
      <c r="H45" s="665" t="str">
        <f>CONCATENATE("Total ",E1," Mill Rate")</f>
        <v>Total 2014 Mill Rate</v>
      </c>
      <c r="I45" s="689"/>
      <c r="J45" s="690"/>
      <c r="K45" s="614"/>
    </row>
    <row r="46" spans="2:11" ht="15.75">
      <c r="B46" s="80" t="s">
        <v>70</v>
      </c>
      <c r="C46" s="313"/>
      <c r="D46" s="390">
        <f>C74</f>
        <v>0</v>
      </c>
      <c r="E46" s="261">
        <f>D74</f>
        <v>0</v>
      </c>
      <c r="G46" s="692">
        <f>summ!E36</f>
        <v>3.991</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3.76</v>
      </c>
      <c r="H89" s="665" t="str">
        <f>CONCATENATE("Total ",E1," Mill Rate")</f>
        <v>Total 2014 Mill Rate</v>
      </c>
      <c r="I89" s="689"/>
      <c r="J89" s="690"/>
    </row>
    <row r="90" spans="7:10" ht="15.75">
      <c r="G90" s="692">
        <f>summ!E36</f>
        <v>3.991</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Esbon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summ!H24</f>
        <v> </v>
      </c>
      <c r="H43" s="665" t="str">
        <f>CONCATENATE("",E1," Fund Mill Rate")</f>
        <v>2014 Fund Mill Rate</v>
      </c>
      <c r="I43" s="689"/>
      <c r="J43" s="690"/>
      <c r="K43" s="614"/>
    </row>
    <row r="44" spans="2:11" ht="15.75">
      <c r="B44" s="65"/>
      <c r="C44" s="388" t="s">
        <v>274</v>
      </c>
      <c r="D44" s="391" t="s">
        <v>275</v>
      </c>
      <c r="E44" s="74" t="s">
        <v>276</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3.76</v>
      </c>
      <c r="H45" s="665" t="str">
        <f>CONCATENATE("Total ",E1," Mill Rate")</f>
        <v>Total 2014 Mill Rate</v>
      </c>
      <c r="I45" s="689"/>
      <c r="J45" s="690"/>
      <c r="K45" s="614"/>
    </row>
    <row r="46" spans="2:11" ht="15.75">
      <c r="B46" s="80" t="s">
        <v>70</v>
      </c>
      <c r="C46" s="313"/>
      <c r="D46" s="390">
        <f>C74</f>
        <v>0</v>
      </c>
      <c r="E46" s="261">
        <f>D74</f>
        <v>0</v>
      </c>
      <c r="G46" s="692">
        <f>summ!E36</f>
        <v>3.991</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3.76</v>
      </c>
      <c r="H89" s="665" t="str">
        <f>CONCATENATE("Total ",E1," Mill Rate")</f>
        <v>Total 2014 Mill Rate</v>
      </c>
      <c r="I89" s="689"/>
      <c r="J89" s="690"/>
    </row>
    <row r="90" spans="7:10" ht="15.75">
      <c r="G90" s="692">
        <f>summ!E36</f>
        <v>3.991</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Esbon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summ!H26</f>
        <v> </v>
      </c>
      <c r="H43" s="665" t="str">
        <f>CONCATENATE("",E1," Fund Mill Rate")</f>
        <v>2014 Fund Mill Rate</v>
      </c>
      <c r="I43" s="689"/>
      <c r="J43" s="690"/>
      <c r="K43" s="614"/>
    </row>
    <row r="44" spans="2:11" ht="15.75">
      <c r="B44" s="65"/>
      <c r="C44" s="388" t="s">
        <v>274</v>
      </c>
      <c r="D44" s="391" t="s">
        <v>275</v>
      </c>
      <c r="E44" s="74" t="s">
        <v>276</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3.76</v>
      </c>
      <c r="H45" s="665" t="str">
        <f>CONCATENATE("Total ",E1," Mill Rate")</f>
        <v>Total 2014 Mill Rate</v>
      </c>
      <c r="I45" s="689"/>
      <c r="J45" s="690"/>
      <c r="K45" s="614"/>
    </row>
    <row r="46" spans="2:11" ht="15.75">
      <c r="B46" s="80" t="s">
        <v>70</v>
      </c>
      <c r="C46" s="313"/>
      <c r="D46" s="390">
        <f>C74</f>
        <v>0</v>
      </c>
      <c r="E46" s="261">
        <f>D74</f>
        <v>0</v>
      </c>
      <c r="G46" s="692">
        <f>summ!E36</f>
        <v>3.991</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3.76</v>
      </c>
      <c r="H89" s="665" t="str">
        <f>CONCATENATE("Total ",E1," Mill Rate")</f>
        <v>Total 2014 Mill Rate</v>
      </c>
      <c r="I89" s="689"/>
      <c r="J89" s="690"/>
    </row>
    <row r="90" spans="7:10" ht="15.75">
      <c r="G90" s="692">
        <f>summ!E36</f>
        <v>3.991</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Esbon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2014 Fund Mill Rate</v>
      </c>
      <c r="I43" s="689"/>
      <c r="J43" s="690"/>
      <c r="K43" s="614"/>
    </row>
    <row r="44" spans="2:11" ht="15.75">
      <c r="B44" s="65"/>
      <c r="C44" s="388" t="s">
        <v>274</v>
      </c>
      <c r="D44" s="391" t="s">
        <v>275</v>
      </c>
      <c r="E44" s="74" t="s">
        <v>276</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3.76</v>
      </c>
      <c r="H45" s="665" t="str">
        <f>CONCATENATE("Total ",E1," Mill Rate")</f>
        <v>Total 2014 Mill Rate</v>
      </c>
      <c r="I45" s="689"/>
      <c r="J45" s="690"/>
      <c r="K45" s="614"/>
    </row>
    <row r="46" spans="2:11" ht="15.75">
      <c r="B46" s="80" t="s">
        <v>70</v>
      </c>
      <c r="C46" s="313"/>
      <c r="D46" s="390">
        <f>C74</f>
        <v>0</v>
      </c>
      <c r="E46" s="261">
        <f>D74</f>
        <v>0</v>
      </c>
      <c r="G46" s="692">
        <f>summ!E36</f>
        <v>3.991</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3.76</v>
      </c>
      <c r="H89" s="665" t="str">
        <f>CONCATENATE("Total ",E1," Mill Rate")</f>
        <v>Total 2014 Mill Rate</v>
      </c>
      <c r="I89" s="689"/>
      <c r="J89" s="690"/>
    </row>
    <row r="90" spans="7:10" ht="15.75">
      <c r="G90" s="692">
        <f>summ!E36</f>
        <v>3.991</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Esbon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961</v>
      </c>
      <c r="E3" s="71"/>
    </row>
    <row r="4" spans="1:5" ht="15">
      <c r="A4" s="157" t="s">
        <v>227</v>
      </c>
      <c r="B4" s="65"/>
      <c r="C4" s="65"/>
      <c r="D4" s="158" t="s">
        <v>956</v>
      </c>
      <c r="E4" s="71"/>
    </row>
    <row r="5" spans="1:5" ht="15">
      <c r="A5" s="65"/>
      <c r="B5" s="65"/>
      <c r="C5" s="65"/>
      <c r="D5" s="65"/>
      <c r="E5" s="65"/>
    </row>
    <row r="6" spans="1:5" ht="15">
      <c r="A6" s="159" t="s">
        <v>149</v>
      </c>
      <c r="B6" s="65"/>
      <c r="C6" s="65"/>
      <c r="D6" s="110" t="s">
        <v>962</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24157</v>
      </c>
      <c r="E20" s="171">
        <v>7250</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c r="E23" s="171"/>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7250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24157</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4.126</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4.126</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7250</v>
      </c>
    </row>
    <row r="64" spans="1:5" ht="15">
      <c r="A64" s="188" t="str">
        <f>CONCATENATE("Assessed Valuation (",D9-2," budget column):")</f>
        <v>Assessed Valuation (2012 budget column):</v>
      </c>
      <c r="B64" s="164"/>
      <c r="C64" s="65"/>
      <c r="D64" s="65"/>
      <c r="E64" s="189">
        <v>1757214</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Esbon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Esbon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36">
        <f>inputPrYr!B41</f>
        <v>0</v>
      </c>
      <c r="B5" s="837"/>
      <c r="C5" s="836">
        <f>inputPrYr!B42</f>
        <v>0</v>
      </c>
      <c r="D5" s="837"/>
      <c r="E5" s="836">
        <f>inputPrYr!B43</f>
        <v>0</v>
      </c>
      <c r="F5" s="837"/>
      <c r="G5" s="838">
        <f>inputPrYr!B44</f>
        <v>0</v>
      </c>
      <c r="H5" s="837"/>
      <c r="I5" s="838">
        <f>inputPrYr!B45</f>
        <v>0</v>
      </c>
      <c r="J5" s="837"/>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7" t="s">
        <v>356</v>
      </c>
    </row>
    <row r="2" ht="53.25" customHeight="1">
      <c r="A2" s="217" t="s">
        <v>357</v>
      </c>
    </row>
    <row r="3" ht="15.75">
      <c r="A3" s="358"/>
    </row>
    <row r="4" ht="58.5" customHeight="1">
      <c r="A4" s="217" t="s">
        <v>358</v>
      </c>
    </row>
    <row r="5" ht="15.75">
      <c r="A5" s="113"/>
    </row>
    <row r="6" ht="55.5" customHeight="1">
      <c r="A6" s="217" t="s">
        <v>359</v>
      </c>
    </row>
    <row r="7" ht="15.75">
      <c r="A7" s="358"/>
    </row>
    <row r="8" ht="42.75" customHeight="1">
      <c r="A8" s="217" t="s">
        <v>360</v>
      </c>
    </row>
    <row r="9" ht="15.75">
      <c r="A9" s="113"/>
    </row>
    <row r="10" ht="46.5">
      <c r="A10" s="217" t="s">
        <v>361</v>
      </c>
    </row>
    <row r="11" ht="15.75">
      <c r="A11" s="358"/>
    </row>
    <row r="12" ht="69.75" customHeight="1">
      <c r="A12" s="217" t="s">
        <v>362</v>
      </c>
    </row>
    <row r="13" ht="15.75">
      <c r="A13" s="358"/>
    </row>
    <row r="14" ht="40.5" customHeight="1">
      <c r="A14" s="217" t="s">
        <v>363</v>
      </c>
    </row>
    <row r="15" ht="15.75">
      <c r="A15" s="113"/>
    </row>
    <row r="16" ht="56.25" customHeight="1">
      <c r="A16" s="217" t="s">
        <v>364</v>
      </c>
    </row>
    <row r="17" ht="15.75">
      <c r="A17" s="358"/>
    </row>
    <row r="18" ht="54.75" customHeight="1">
      <c r="A18" s="217" t="s">
        <v>365</v>
      </c>
    </row>
    <row r="19" ht="15.75">
      <c r="A19" s="358"/>
    </row>
    <row r="20" ht="55.5" customHeight="1">
      <c r="A20" s="217" t="s">
        <v>366</v>
      </c>
    </row>
    <row r="21" ht="15.7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34">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75">
      <c r="A2" s="797" t="s">
        <v>23</v>
      </c>
      <c r="B2" s="779"/>
      <c r="C2" s="779"/>
      <c r="D2" s="779"/>
      <c r="E2" s="779"/>
      <c r="F2" s="779"/>
      <c r="G2" s="779"/>
      <c r="H2" s="779"/>
    </row>
    <row r="3" spans="1:8" ht="15">
      <c r="A3" s="65"/>
      <c r="B3" s="65"/>
      <c r="C3" s="65"/>
      <c r="D3" s="65"/>
      <c r="E3" s="65"/>
      <c r="F3" s="72" t="s">
        <v>300</v>
      </c>
      <c r="G3" s="72" t="s">
        <v>301</v>
      </c>
      <c r="H3" s="65"/>
    </row>
    <row r="4" spans="1:8" ht="15">
      <c r="A4" s="792" t="s">
        <v>302</v>
      </c>
      <c r="B4" s="792"/>
      <c r="C4" s="792"/>
      <c r="D4" s="792"/>
      <c r="E4" s="792"/>
      <c r="F4" s="792"/>
      <c r="G4" s="792"/>
      <c r="H4" s="792"/>
    </row>
    <row r="5" spans="1:8" ht="15">
      <c r="A5" s="795" t="str">
        <f>inputPrYr!D3</f>
        <v>Esbon Township</v>
      </c>
      <c r="B5" s="795"/>
      <c r="C5" s="795"/>
      <c r="D5" s="795"/>
      <c r="E5" s="795"/>
      <c r="F5" s="795"/>
      <c r="G5" s="795"/>
      <c r="H5" s="795"/>
    </row>
    <row r="6" spans="1:8" ht="15">
      <c r="A6" s="795" t="str">
        <f>inputPrYr!D4</f>
        <v>JEWELL COUNTY</v>
      </c>
      <c r="B6" s="795"/>
      <c r="C6" s="795"/>
      <c r="D6" s="795"/>
      <c r="E6" s="795"/>
      <c r="F6" s="795"/>
      <c r="G6" s="795"/>
      <c r="H6" s="795"/>
    </row>
    <row r="7" spans="1:8" ht="15">
      <c r="A7" s="851" t="str">
        <f>CONCATENATE("will meet on ",inputBudSum!B8," at ",inputBudSum!B10," at ",inputBudSum!B12," for the purpose of hearing and")</f>
        <v>will meet on August 20, 2013 at 11:00 a.m.  at Village Café, Esbon for the purpose of hearing and</v>
      </c>
      <c r="B7" s="851"/>
      <c r="C7" s="851"/>
      <c r="D7" s="851"/>
      <c r="E7" s="851"/>
      <c r="F7" s="851"/>
      <c r="G7" s="851"/>
      <c r="H7" s="851"/>
    </row>
    <row r="8" spans="1:8" ht="15.75">
      <c r="A8" s="792" t="s">
        <v>411</v>
      </c>
      <c r="B8" s="794"/>
      <c r="C8" s="794"/>
      <c r="D8" s="794"/>
      <c r="E8" s="794"/>
      <c r="F8" s="794"/>
      <c r="G8" s="794"/>
      <c r="H8" s="794"/>
    </row>
    <row r="9" spans="1:8" ht="15.75">
      <c r="A9" s="790" t="str">
        <f>CONCATENATE("Detailed budget information is available ",inputBudSum!B15," and will be available at this hearing.")</f>
        <v>Detailed budget information is available from a Township Officer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303</v>
      </c>
      <c r="I15" s="199"/>
    </row>
    <row r="16" spans="1:9" ht="15">
      <c r="A16" s="75"/>
      <c r="B16" s="76"/>
      <c r="C16" s="76" t="s">
        <v>304</v>
      </c>
      <c r="D16" s="76"/>
      <c r="E16" s="76" t="s">
        <v>304</v>
      </c>
      <c r="F16" s="495" t="s">
        <v>176</v>
      </c>
      <c r="G16" s="849"/>
      <c r="H16" s="76" t="s">
        <v>304</v>
      </c>
      <c r="I16" s="199"/>
    </row>
    <row r="17" spans="1:10" ht="15">
      <c r="A17" s="79" t="s">
        <v>254</v>
      </c>
      <c r="B17" s="79" t="s">
        <v>305</v>
      </c>
      <c r="C17" s="79" t="s">
        <v>306</v>
      </c>
      <c r="D17" s="79" t="s">
        <v>305</v>
      </c>
      <c r="E17" s="79" t="s">
        <v>306</v>
      </c>
      <c r="F17" s="494" t="s">
        <v>729</v>
      </c>
      <c r="G17" s="850"/>
      <c r="H17" s="79" t="s">
        <v>306</v>
      </c>
      <c r="I17" s="199"/>
      <c r="J17" s="524"/>
    </row>
    <row r="18" spans="1:10" ht="15">
      <c r="A18" s="90" t="str">
        <f>inputPrYr!B20</f>
        <v>General</v>
      </c>
      <c r="B18" s="90">
        <f>IF(gen!$C$50&lt;&gt;0,gen!$C$50,"  ")</f>
        <v>6833</v>
      </c>
      <c r="C18" s="93">
        <f>IF(inputPrYr!D49&gt;0,inputPrYr!D49,"  ")</f>
        <v>4.126</v>
      </c>
      <c r="D18" s="90">
        <f>IF(gen!$D$50&lt;&gt;0,gen!$D$50,"  ")</f>
        <v>14000</v>
      </c>
      <c r="E18" s="93">
        <f>IF(inputOth!D37&gt;0,inputOth!D37,"  ")</f>
        <v>3.991</v>
      </c>
      <c r="F18" s="90">
        <f>IF(gen!$E$50&lt;&gt;0,gen!$E$50,"  ")</f>
        <v>24832</v>
      </c>
      <c r="G18" s="90">
        <f>IF(gen!$E$57&lt;&gt;0,gen!$E$57,"")</f>
        <v>7250.3499999999985</v>
      </c>
      <c r="H18" s="93">
        <f>IF(gen!E57&gt;0,ROUND(G18/F40*1000,3)," ")</f>
        <v>3.76</v>
      </c>
      <c r="I18" s="199"/>
      <c r="J18" s="524"/>
    </row>
    <row r="19" spans="1:9" ht="1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1928</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1524</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3.991</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0</v>
      </c>
    </row>
    <row r="34" spans="1:13" ht="15">
      <c r="A34" s="90" t="str">
        <f>IF((inputPrYr!$B41&gt;"  "),(nonbud!$A3),"  ")</f>
        <v>  </v>
      </c>
      <c r="B34" s="734" t="str">
        <f>IF((nonbud!$K$28)&lt;&gt;0,(nonbud!$K$28),"  ")</f>
        <v>  </v>
      </c>
      <c r="C34" s="338"/>
      <c r="D34" s="90"/>
      <c r="E34" s="93"/>
      <c r="F34" s="90"/>
      <c r="G34" s="90"/>
      <c r="H34" s="93"/>
      <c r="J34" s="513" t="s">
        <v>749</v>
      </c>
      <c r="K34" s="510"/>
      <c r="L34" s="510"/>
      <c r="M34" s="512">
        <f>M46*-1</f>
        <v>444.65000000000146</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6833</v>
      </c>
      <c r="C36" s="476">
        <f t="shared" si="0"/>
        <v>4.126</v>
      </c>
      <c r="D36" s="475">
        <f t="shared" si="0"/>
        <v>14000</v>
      </c>
      <c r="E36" s="476">
        <f t="shared" si="0"/>
        <v>3.991</v>
      </c>
      <c r="F36" s="475">
        <f t="shared" si="0"/>
        <v>24832</v>
      </c>
      <c r="G36" s="475">
        <f t="shared" si="0"/>
        <v>7250.3499999999985</v>
      </c>
      <c r="H36" s="476">
        <f t="shared" si="0"/>
        <v>3.76</v>
      </c>
      <c r="J36" s="841" t="str">
        <f>CONCATENATE("Impact On Keeping The Same Mill Rate As For ",H1-1,"")</f>
        <v>Impact On Keeping The Same Mill Rate As For 2013</v>
      </c>
      <c r="K36" s="844"/>
      <c r="L36" s="844"/>
      <c r="M36" s="845"/>
    </row>
    <row r="37" spans="1:13" ht="15">
      <c r="A37" s="105" t="s">
        <v>307</v>
      </c>
      <c r="B37" s="90">
        <f>transfer!C29</f>
        <v>0</v>
      </c>
      <c r="C37" s="65"/>
      <c r="D37" s="90">
        <f>transfer!D29</f>
        <v>0</v>
      </c>
      <c r="E37" s="208"/>
      <c r="F37" s="90">
        <f>transfer!E29</f>
        <v>0</v>
      </c>
      <c r="G37" s="65"/>
      <c r="H37" s="65"/>
      <c r="J37" s="519"/>
      <c r="K37" s="10"/>
      <c r="L37" s="10"/>
      <c r="M37" s="518"/>
    </row>
    <row r="38" spans="1:13" ht="15.75" thickBot="1">
      <c r="A38" s="105" t="s">
        <v>308</v>
      </c>
      <c r="B38" s="479">
        <f>B36-B37</f>
        <v>6833</v>
      </c>
      <c r="C38" s="65"/>
      <c r="D38" s="479">
        <f>D36-D37</f>
        <v>14000</v>
      </c>
      <c r="E38" s="65"/>
      <c r="F38" s="479">
        <f>F36-F37</f>
        <v>24832</v>
      </c>
      <c r="G38" s="65"/>
      <c r="H38" s="65"/>
      <c r="J38" s="519" t="str">
        <f>CONCATENATE("",H1," Ad Valorem Tax Rev(Township Only):")</f>
        <v>2014 Ad Valorem Tax Rev(Township Only):</v>
      </c>
      <c r="K38" s="10"/>
      <c r="L38" s="10"/>
      <c r="M38" s="522">
        <f>SUM(G21:G24)</f>
        <v>0</v>
      </c>
    </row>
    <row r="39" spans="1:13" ht="15.75" thickTop="1">
      <c r="A39" s="105" t="s">
        <v>0</v>
      </c>
      <c r="B39" s="230">
        <f>inputPrYr!E63</f>
        <v>7250</v>
      </c>
      <c r="C39" s="208"/>
      <c r="D39" s="230">
        <f>inputPrYr!E32</f>
        <v>7250</v>
      </c>
      <c r="E39" s="65"/>
      <c r="F39" s="480" t="s">
        <v>258</v>
      </c>
      <c r="G39" s="65"/>
      <c r="H39" s="65"/>
      <c r="J39" s="519" t="str">
        <f>CONCATENATE("",H1," Ad Valorem Tax Rev(Township Tot):")</f>
        <v>2014 Ad Valorem Tax Rev(Township Tot):</v>
      </c>
      <c r="K39" s="10"/>
      <c r="L39" s="10"/>
      <c r="M39" s="535">
        <f>SUM(G18,G19,G20,G25,G26,G27,G28,G29)</f>
        <v>7250.3499999999985</v>
      </c>
    </row>
    <row r="40" spans="1:13" ht="15">
      <c r="A40" s="105" t="s">
        <v>183</v>
      </c>
      <c r="B40" s="90">
        <f>inputPrYr!E64</f>
        <v>1757214</v>
      </c>
      <c r="C40" s="208"/>
      <c r="D40" s="90">
        <f>inputOth!E55</f>
        <v>1816497</v>
      </c>
      <c r="E40" s="208"/>
      <c r="F40" s="90">
        <f>inputOth!E11</f>
        <v>1928039</v>
      </c>
      <c r="G40" s="65"/>
      <c r="H40" s="65"/>
      <c r="J40" s="519" t="str">
        <f>CONCATENATE("Total ",H1," Ad Valorem Tax Revenue:")</f>
        <v>Total 2014 Ad Valorem Tax Revenue:</v>
      </c>
      <c r="K40" s="71"/>
      <c r="L40" s="71"/>
      <c r="M40" s="536">
        <f>M38+M39</f>
        <v>7250.3499999999985</v>
      </c>
    </row>
    <row r="41" spans="1:14" ht="15">
      <c r="A41" s="80" t="s">
        <v>238</v>
      </c>
      <c r="B41" s="209"/>
      <c r="C41" s="65"/>
      <c r="D41" s="178"/>
      <c r="E41" s="65"/>
      <c r="F41" s="90">
        <f>inputOth!E8</f>
        <v>1523539</v>
      </c>
      <c r="G41" s="65"/>
      <c r="H41" s="65"/>
      <c r="J41" s="519" t="str">
        <f>CONCATENATE("",H1-1," Ad Valorem Tax Rev(Township Only):")</f>
        <v>2013 Ad Valorem Tax Rev(Township Only):</v>
      </c>
      <c r="K41" s="10"/>
      <c r="L41" s="10"/>
      <c r="M41" s="537">
        <f>ROUND(SUM(E21:E24)*F41/1000,0)</f>
        <v>0</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7695</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7695</v>
      </c>
      <c r="O43" s="529"/>
    </row>
    <row r="44" spans="1:13" ht="15">
      <c r="A44" s="72" t="s">
        <v>2</v>
      </c>
      <c r="B44" s="210">
        <f>H1-3</f>
        <v>2011</v>
      </c>
      <c r="C44" s="65"/>
      <c r="D44" s="210">
        <f>H1-2</f>
        <v>2012</v>
      </c>
      <c r="E44" s="65"/>
      <c r="F44" s="210">
        <f>H1-1</f>
        <v>2013</v>
      </c>
      <c r="G44" s="65"/>
      <c r="H44" s="65"/>
      <c r="J44" s="516" t="s">
        <v>739</v>
      </c>
      <c r="K44" s="515"/>
      <c r="L44" s="515"/>
      <c r="M44" s="514">
        <f>M40-M43</f>
        <v>-444.65000000000146</v>
      </c>
    </row>
    <row r="45" spans="1:13" ht="15">
      <c r="A45" s="72" t="s">
        <v>3</v>
      </c>
      <c r="B45" s="83">
        <f>inputPrYr!D67</f>
        <v>0</v>
      </c>
      <c r="C45" s="69"/>
      <c r="D45" s="83">
        <f>inputPrYr!E67</f>
        <v>0</v>
      </c>
      <c r="E45" s="69"/>
      <c r="F45" s="83">
        <f>debt!F11</f>
        <v>0</v>
      </c>
      <c r="G45" s="65"/>
      <c r="H45" s="65"/>
      <c r="J45" s="540" t="s">
        <v>744</v>
      </c>
      <c r="K45" s="541"/>
      <c r="L45" s="541"/>
      <c r="M45" s="536">
        <f>M38-M41</f>
        <v>0</v>
      </c>
    </row>
    <row r="46" spans="1:13" ht="15">
      <c r="A46" s="72" t="s">
        <v>284</v>
      </c>
      <c r="B46" s="83">
        <f>inputPrYr!D68</f>
        <v>0</v>
      </c>
      <c r="C46" s="69"/>
      <c r="D46" s="83">
        <f>inputPrYr!E68</f>
        <v>0</v>
      </c>
      <c r="E46" s="69"/>
      <c r="F46" s="83">
        <f>debt!F15</f>
        <v>0</v>
      </c>
      <c r="G46" s="65"/>
      <c r="H46" s="65"/>
      <c r="J46" s="513" t="s">
        <v>743</v>
      </c>
      <c r="K46" s="510"/>
      <c r="L46" s="510"/>
      <c r="M46" s="512">
        <f>M39-M42</f>
        <v>-444.65000000000146</v>
      </c>
    </row>
    <row r="47" spans="1:8" ht="15">
      <c r="A47" s="72" t="s">
        <v>735</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1" t="s">
        <v>740</v>
      </c>
      <c r="K48" s="842"/>
      <c r="L48" s="842"/>
      <c r="M48" s="843"/>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48" t="str">
        <f>inputBudSum!B4</f>
        <v>Kenny Mizner</v>
      </c>
      <c r="B51" s="848"/>
      <c r="C51" s="65"/>
      <c r="D51" s="65"/>
      <c r="E51" s="65"/>
      <c r="F51" s="65"/>
      <c r="G51" s="65"/>
      <c r="H51" s="65"/>
      <c r="J51" s="519" t="str">
        <f>CONCATENATE("Current ",$H$1," Estimated Mill Rate:")</f>
        <v>Current 2014 Estimated Mill Rate:</v>
      </c>
      <c r="K51" s="10"/>
      <c r="L51" s="10"/>
      <c r="M51" s="532">
        <f>IF(M50=0,0,$H$36)</f>
        <v>3.76</v>
      </c>
    </row>
    <row r="52" spans="1:13" ht="15.75">
      <c r="A52" s="839" t="str">
        <f>inputBudSum!B6</f>
        <v>Township Officer</v>
      </c>
      <c r="B52" s="840"/>
      <c r="C52" s="65"/>
      <c r="D52" s="65"/>
      <c r="E52" s="65"/>
      <c r="F52" s="65"/>
      <c r="G52" s="65"/>
      <c r="H52" s="65"/>
      <c r="J52" s="519" t="s">
        <v>745</v>
      </c>
      <c r="K52" s="10"/>
      <c r="L52" s="10"/>
      <c r="M52" s="533">
        <f>M50-M51</f>
        <v>8.24</v>
      </c>
    </row>
    <row r="53" spans="1:13" ht="15">
      <c r="A53" s="65"/>
      <c r="B53" s="65"/>
      <c r="C53" s="65"/>
      <c r="D53" s="65"/>
      <c r="E53" s="65"/>
      <c r="F53" s="65"/>
      <c r="G53" s="65"/>
      <c r="H53" s="65"/>
      <c r="J53" s="505" t="s">
        <v>746</v>
      </c>
      <c r="K53" s="71"/>
      <c r="L53" s="71"/>
      <c r="M53" s="530">
        <f>IF(M50=0,0,ROUND(SUM(H21:H24)/M51,2))</f>
        <v>0</v>
      </c>
    </row>
    <row r="54" spans="1:13" ht="15">
      <c r="A54" s="65"/>
      <c r="B54" s="211" t="s">
        <v>272</v>
      </c>
      <c r="C54" s="212">
        <v>7</v>
      </c>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0</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Esbon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1928039</v>
      </c>
      <c r="E21" s="65"/>
      <c r="F21" s="192"/>
    </row>
    <row r="22" spans="1:6" ht="15.75">
      <c r="A22" s="65"/>
      <c r="B22" s="65"/>
      <c r="C22" s="65"/>
      <c r="D22" s="65"/>
      <c r="E22" s="65"/>
      <c r="F22" s="192"/>
    </row>
    <row r="23" spans="1:6" ht="15.75">
      <c r="A23" s="65"/>
      <c r="B23" s="854" t="s">
        <v>378</v>
      </c>
      <c r="C23" s="854"/>
      <c r="D23" s="348">
        <f>IF(D21&gt;0,(D21*0.001),"")</f>
        <v>1928.039</v>
      </c>
      <c r="E23" s="65"/>
      <c r="F23" s="192"/>
    </row>
    <row r="24" spans="1:6" ht="15.75">
      <c r="A24" s="65"/>
      <c r="B24" s="117"/>
      <c r="C24" s="117"/>
      <c r="D24" s="349"/>
      <c r="E24" s="65"/>
      <c r="F24" s="192"/>
    </row>
    <row r="25" spans="1:6" ht="15.75">
      <c r="A25" s="852" t="s">
        <v>379</v>
      </c>
      <c r="B25" s="779"/>
      <c r="C25" s="779"/>
      <c r="D25" s="350">
        <f>inputOth!E33</f>
        <v>0</v>
      </c>
      <c r="E25" s="179"/>
      <c r="F25" s="179"/>
    </row>
    <row r="26" spans="1:6" ht="15.75">
      <c r="A26" s="179"/>
      <c r="B26" s="179"/>
      <c r="C26" s="179"/>
      <c r="D26" s="351"/>
      <c r="E26" s="179"/>
      <c r="F26" s="179"/>
    </row>
    <row r="27" spans="1:6" ht="15.75">
      <c r="A27" s="179"/>
      <c r="B27" s="852" t="s">
        <v>380</v>
      </c>
      <c r="C27" s="853"/>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81</v>
      </c>
      <c r="B1" s="855"/>
      <c r="C1" s="855"/>
      <c r="D1" s="855"/>
      <c r="E1" s="855"/>
      <c r="F1" s="855"/>
      <c r="G1" s="855"/>
    </row>
    <row r="2" ht="15.75">
      <c r="A2" s="21"/>
    </row>
    <row r="3" spans="1:7" ht="15.75">
      <c r="A3" s="856" t="s">
        <v>82</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Esbon Township </v>
      </c>
      <c r="I6">
        <f>CONCATENATE(I7)</f>
      </c>
    </row>
    <row r="7" spans="1:7" ht="15.75">
      <c r="A7" s="857" t="str">
        <f>CONCATENATE("   with respect to financing the ",inputPrYr!D9," annual budget for ",(inputPrYr!D3)," , ",(inputPrYr!D4)," , Kansas.")</f>
        <v>   with respect to financing the 2014 annual budget for Esbon Township , JEWELL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2014 Esbon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Esbon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88</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84</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Esbon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Esbon Township of JEWELL COUNTY, Kansas that is our desire to notify the public of increased property taxes to finance the 2014 Esbon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Esbon Township Board, JEWELL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Esbon Township Board</v>
      </c>
      <c r="E33" s="859"/>
      <c r="F33" s="859"/>
      <c r="G33" s="859"/>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412</v>
      </c>
      <c r="B3" s="374"/>
      <c r="C3" s="374"/>
      <c r="D3" s="374"/>
      <c r="E3" s="374"/>
      <c r="F3" s="374"/>
      <c r="G3" s="374"/>
      <c r="H3" s="374"/>
      <c r="I3" s="374"/>
      <c r="J3" s="374"/>
      <c r="K3" s="374"/>
      <c r="L3" s="374"/>
    </row>
    <row r="5" ht="15.75">
      <c r="A5" s="375" t="s">
        <v>413</v>
      </c>
    </row>
    <row r="6" ht="15.75">
      <c r="A6" s="375" t="str">
        <f>CONCATENATE(inputPrYr!D9-2," 'total expenditures' exceed your ",inputPrYr!D9-2," 'budget authority.'")</f>
        <v>2012 'total expenditures' exceed your 2012 'budget authority.'</v>
      </c>
    </row>
    <row r="7" ht="15.75">
      <c r="A7" s="375"/>
    </row>
    <row r="8" ht="15.75">
      <c r="A8" s="375" t="s">
        <v>414</v>
      </c>
    </row>
    <row r="9" ht="15.75">
      <c r="A9" s="375" t="s">
        <v>415</v>
      </c>
    </row>
    <row r="10" ht="15.75">
      <c r="A10" s="375" t="s">
        <v>416</v>
      </c>
    </row>
    <row r="11" ht="15.75">
      <c r="A11" s="375"/>
    </row>
    <row r="12" ht="15.75">
      <c r="A12" s="375"/>
    </row>
    <row r="13" ht="15.75">
      <c r="A13" s="376" t="s">
        <v>417</v>
      </c>
    </row>
    <row r="15" ht="15.75">
      <c r="A15" s="375" t="s">
        <v>418</v>
      </c>
    </row>
    <row r="16" ht="15.75">
      <c r="A16" s="375" t="str">
        <f>CONCATENATE("(i.e. an audit has not been completed, or the ",inputPrYr!D9," adopted")</f>
        <v>(i.e. an audit has not been completed, or the 2014 adopted</v>
      </c>
    </row>
    <row r="17" ht="15.75">
      <c r="A17" s="375" t="s">
        <v>419</v>
      </c>
    </row>
    <row r="18" ht="15.75">
      <c r="A18" s="375" t="s">
        <v>420</v>
      </c>
    </row>
    <row r="19" ht="15.75">
      <c r="A19" s="375" t="s">
        <v>421</v>
      </c>
    </row>
    <row r="21" ht="15.75">
      <c r="A21" s="376" t="s">
        <v>422</v>
      </c>
    </row>
    <row r="22" ht="15.75">
      <c r="A22" s="376"/>
    </row>
    <row r="23" ht="15.75">
      <c r="A23" s="375" t="s">
        <v>423</v>
      </c>
    </row>
    <row r="24" ht="15.75">
      <c r="A24" s="375" t="s">
        <v>424</v>
      </c>
    </row>
    <row r="25" ht="15.75">
      <c r="A25" s="375" t="str">
        <f>CONCATENATE("particular fund.  If your ",inputPrYr!D9-2," budget was amended, did you")</f>
        <v>particular fund.  If your 2012 budget was amended, did you</v>
      </c>
    </row>
    <row r="26" ht="15.75">
      <c r="A26" s="375" t="s">
        <v>425</v>
      </c>
    </row>
    <row r="27" ht="15.75">
      <c r="A27" s="375"/>
    </row>
    <row r="28" ht="15.75">
      <c r="A28" s="375" t="str">
        <f>CONCATENATE("Next, look to see if any of your ",inputPrYr!D9-2," expenditures can be")</f>
        <v>Next, look to see if any of your 2012 expenditures can be</v>
      </c>
    </row>
    <row r="29" ht="15.75">
      <c r="A29" s="375" t="s">
        <v>426</v>
      </c>
    </row>
    <row r="30" ht="15.75">
      <c r="A30" s="375" t="s">
        <v>427</v>
      </c>
    </row>
    <row r="31" ht="15.75">
      <c r="A31" s="375" t="s">
        <v>428</v>
      </c>
    </row>
    <row r="32" ht="15.75">
      <c r="A32" s="375"/>
    </row>
    <row r="33" ht="15.75">
      <c r="A33" s="375" t="str">
        <f>CONCATENATE("Additionally, do your ",inputPrYr!D9-2," receipts contain a reimbursement")</f>
        <v>Additionally, do your 2012 receipts contain a reimbursement</v>
      </c>
    </row>
    <row r="34" ht="15.75">
      <c r="A34" s="375" t="s">
        <v>429</v>
      </c>
    </row>
    <row r="35" ht="15.75">
      <c r="A35" s="375" t="s">
        <v>430</v>
      </c>
    </row>
    <row r="36" ht="15.75">
      <c r="A36" s="375"/>
    </row>
    <row r="37" ht="15.75">
      <c r="A37" s="375" t="s">
        <v>431</v>
      </c>
    </row>
    <row r="38" ht="15.75">
      <c r="A38" s="375" t="s">
        <v>432</v>
      </c>
    </row>
    <row r="39" ht="15.75">
      <c r="A39" s="375" t="s">
        <v>433</v>
      </c>
    </row>
    <row r="40" ht="15.75">
      <c r="A40" s="375" t="s">
        <v>434</v>
      </c>
    </row>
    <row r="41" ht="15.75">
      <c r="A41" s="375" t="s">
        <v>435</v>
      </c>
    </row>
    <row r="42" ht="15.75">
      <c r="A42" s="375" t="s">
        <v>436</v>
      </c>
    </row>
    <row r="43" ht="15.75">
      <c r="A43" s="375" t="s">
        <v>437</v>
      </c>
    </row>
    <row r="44" ht="15.75">
      <c r="A44" s="375" t="s">
        <v>438</v>
      </c>
    </row>
    <row r="45" ht="15.75">
      <c r="A45" s="375"/>
    </row>
    <row r="46" ht="15.75">
      <c r="A46" s="375" t="s">
        <v>439</v>
      </c>
    </row>
    <row r="47" ht="15.75">
      <c r="A47" s="375" t="s">
        <v>440</v>
      </c>
    </row>
    <row r="48" ht="15.75">
      <c r="A48" s="375" t="s">
        <v>441</v>
      </c>
    </row>
    <row r="49" ht="15.75">
      <c r="A49" s="375"/>
    </row>
    <row r="50" ht="15.75">
      <c r="A50" s="375" t="s">
        <v>442</v>
      </c>
    </row>
    <row r="51" ht="15.75">
      <c r="A51" s="375" t="s">
        <v>443</v>
      </c>
    </row>
    <row r="52" ht="15.75">
      <c r="A52" s="375" t="s">
        <v>444</v>
      </c>
    </row>
    <row r="53" ht="15.75">
      <c r="A53" s="375"/>
    </row>
    <row r="54" ht="15.75">
      <c r="A54" s="376" t="s">
        <v>445</v>
      </c>
    </row>
    <row r="55" ht="15.75">
      <c r="A55" s="375"/>
    </row>
    <row r="56" ht="15.75">
      <c r="A56" s="375" t="s">
        <v>446</v>
      </c>
    </row>
    <row r="57" ht="15.75">
      <c r="A57" s="375" t="s">
        <v>447</v>
      </c>
    </row>
    <row r="58" ht="15.75">
      <c r="A58" s="375" t="s">
        <v>448</v>
      </c>
    </row>
    <row r="59" ht="15.75">
      <c r="A59" s="375" t="s">
        <v>449</v>
      </c>
    </row>
    <row r="60" ht="15.75">
      <c r="A60" s="375" t="s">
        <v>450</v>
      </c>
    </row>
    <row r="61" ht="15.75">
      <c r="A61" s="375" t="s">
        <v>451</v>
      </c>
    </row>
    <row r="62" ht="15.75">
      <c r="A62" s="375" t="s">
        <v>452</v>
      </c>
    </row>
    <row r="63" ht="15.75">
      <c r="A63" s="375" t="s">
        <v>453</v>
      </c>
    </row>
    <row r="64" ht="15.75">
      <c r="A64" s="375" t="s">
        <v>454</v>
      </c>
    </row>
    <row r="65" ht="15.75">
      <c r="A65" s="375" t="s">
        <v>455</v>
      </c>
    </row>
    <row r="66" ht="15.75">
      <c r="A66" s="375" t="s">
        <v>456</v>
      </c>
    </row>
    <row r="67" ht="15.75">
      <c r="A67" s="375" t="s">
        <v>457</v>
      </c>
    </row>
    <row r="68" ht="15.75">
      <c r="A68" s="375" t="s">
        <v>458</v>
      </c>
    </row>
    <row r="69" ht="15.75">
      <c r="A69" s="375"/>
    </row>
    <row r="70" ht="15.75">
      <c r="A70" s="375" t="s">
        <v>459</v>
      </c>
    </row>
    <row r="71" ht="15.75">
      <c r="A71" s="375" t="s">
        <v>460</v>
      </c>
    </row>
    <row r="72" ht="15.75">
      <c r="A72" s="375" t="s">
        <v>461</v>
      </c>
    </row>
    <row r="73" ht="15.75">
      <c r="A73" s="375"/>
    </row>
    <row r="74" ht="15.75">
      <c r="A74" s="376" t="str">
        <f>CONCATENATE("What if the ",inputPrYr!D9-2," financial records have been closed?")</f>
        <v>What if the 2012 financial records have been closed?</v>
      </c>
    </row>
    <row r="76" ht="15.75">
      <c r="A76" s="375" t="s">
        <v>462</v>
      </c>
    </row>
    <row r="77" ht="15.75">
      <c r="A77" s="375" t="str">
        <f>CONCATENATE("(i.e. an audit for ",inputPrYr!D9-2," has been completed, or the ",inputPrYr!D9)</f>
        <v>(i.e. an audit for 2012 has been completed, or the 2014</v>
      </c>
    </row>
    <row r="78" ht="15.75">
      <c r="A78" s="375" t="s">
        <v>463</v>
      </c>
    </row>
    <row r="79" ht="15.75">
      <c r="A79" s="375" t="s">
        <v>464</v>
      </c>
    </row>
    <row r="80" ht="15.75">
      <c r="A80" s="375"/>
    </row>
    <row r="81" ht="15.75">
      <c r="A81" s="375" t="s">
        <v>465</v>
      </c>
    </row>
    <row r="82" ht="15.75">
      <c r="A82" s="375" t="s">
        <v>466</v>
      </c>
    </row>
    <row r="83" ht="15.75">
      <c r="A83" s="375" t="s">
        <v>467</v>
      </c>
    </row>
    <row r="84" ht="15.75">
      <c r="A84" s="375"/>
    </row>
    <row r="85" ht="15.75">
      <c r="A85" s="375"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469</v>
      </c>
      <c r="B3" s="374"/>
      <c r="C3" s="374"/>
      <c r="D3" s="374"/>
      <c r="E3" s="374"/>
      <c r="F3" s="374"/>
      <c r="G3" s="374"/>
      <c r="H3" s="377"/>
      <c r="I3" s="377"/>
      <c r="J3" s="377"/>
    </row>
    <row r="5" ht="15.75">
      <c r="A5" s="375" t="s">
        <v>470</v>
      </c>
    </row>
    <row r="6" ht="15.75">
      <c r="A6" t="str">
        <f>CONCATENATE(inputPrYr!D9-2," expenditures show that you finished the year with a ")</f>
        <v>2012 expenditures show that you finished the year with a </v>
      </c>
    </row>
    <row r="7" ht="15.75">
      <c r="A7" t="s">
        <v>471</v>
      </c>
    </row>
    <row r="9" ht="15.75">
      <c r="A9" t="s">
        <v>472</v>
      </c>
    </row>
    <row r="10" ht="15.75">
      <c r="A10" t="s">
        <v>473</v>
      </c>
    </row>
    <row r="11" ht="15.75">
      <c r="A11" t="s">
        <v>474</v>
      </c>
    </row>
    <row r="13" ht="15.75">
      <c r="A13" s="376" t="s">
        <v>475</v>
      </c>
    </row>
    <row r="14" ht="15.75">
      <c r="A14" s="376"/>
    </row>
    <row r="15" ht="15.75">
      <c r="A15" s="375" t="s">
        <v>476</v>
      </c>
    </row>
    <row r="16" ht="15.75">
      <c r="A16" s="375" t="s">
        <v>477</v>
      </c>
    </row>
    <row r="17" ht="15.75">
      <c r="A17" s="375" t="s">
        <v>478</v>
      </c>
    </row>
    <row r="18" ht="15.75">
      <c r="A18" s="375"/>
    </row>
    <row r="19" ht="15.75">
      <c r="A19" s="376" t="s">
        <v>479</v>
      </c>
    </row>
    <row r="20" ht="15.75">
      <c r="A20" s="376"/>
    </row>
    <row r="21" ht="15.75">
      <c r="A21" s="375" t="s">
        <v>480</v>
      </c>
    </row>
    <row r="22" ht="15.75">
      <c r="A22" s="375" t="s">
        <v>481</v>
      </c>
    </row>
    <row r="23" ht="15.75">
      <c r="A23" s="375" t="s">
        <v>482</v>
      </c>
    </row>
    <row r="24" ht="15.75">
      <c r="A24" s="375"/>
    </row>
    <row r="25" ht="15.75">
      <c r="A25" s="376" t="s">
        <v>483</v>
      </c>
    </row>
    <row r="26" ht="15.75">
      <c r="A26" s="376"/>
    </row>
    <row r="27" ht="15.75">
      <c r="A27" s="375" t="s">
        <v>484</v>
      </c>
    </row>
    <row r="28" ht="15.75">
      <c r="A28" s="375" t="s">
        <v>485</v>
      </c>
    </row>
    <row r="29" ht="15.75">
      <c r="A29" s="375" t="s">
        <v>486</v>
      </c>
    </row>
    <row r="30" ht="15.75">
      <c r="A30" s="375"/>
    </row>
    <row r="31" ht="15.75">
      <c r="A31" s="376" t="s">
        <v>487</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488</v>
      </c>
      <c r="B35" s="375"/>
      <c r="C35" s="375"/>
      <c r="D35" s="375"/>
      <c r="E35" s="375"/>
      <c r="F35" s="375"/>
      <c r="G35" s="375"/>
      <c r="H35" s="375"/>
    </row>
    <row r="36" spans="1:8" ht="15.75">
      <c r="A36" s="375" t="s">
        <v>489</v>
      </c>
      <c r="B36" s="375"/>
      <c r="C36" s="375"/>
      <c r="D36" s="375"/>
      <c r="E36" s="375"/>
      <c r="F36" s="375"/>
      <c r="G36" s="375"/>
      <c r="H36" s="375"/>
    </row>
    <row r="37" spans="1:8" ht="15.75">
      <c r="A37" s="375" t="s">
        <v>490</v>
      </c>
      <c r="B37" s="375"/>
      <c r="C37" s="375"/>
      <c r="D37" s="375"/>
      <c r="E37" s="375"/>
      <c r="F37" s="375"/>
      <c r="G37" s="375"/>
      <c r="H37" s="375"/>
    </row>
    <row r="38" spans="1:8" ht="15.75">
      <c r="A38" s="375" t="s">
        <v>491</v>
      </c>
      <c r="B38" s="375"/>
      <c r="C38" s="375"/>
      <c r="D38" s="375"/>
      <c r="E38" s="375"/>
      <c r="F38" s="375"/>
      <c r="G38" s="375"/>
      <c r="H38" s="375"/>
    </row>
    <row r="39" spans="1:8" ht="15.75">
      <c r="A39" s="375" t="s">
        <v>492</v>
      </c>
      <c r="B39" s="375"/>
      <c r="C39" s="375"/>
      <c r="D39" s="375"/>
      <c r="E39" s="375"/>
      <c r="F39" s="375"/>
      <c r="G39" s="375"/>
      <c r="H39" s="375"/>
    </row>
    <row r="40" spans="1:8" ht="15.75">
      <c r="A40" s="375"/>
      <c r="B40" s="375"/>
      <c r="C40" s="375"/>
      <c r="D40" s="375"/>
      <c r="E40" s="375"/>
      <c r="F40" s="375"/>
      <c r="G40" s="375"/>
      <c r="H40" s="375"/>
    </row>
    <row r="41" spans="1:8" ht="15.75">
      <c r="A41" s="375" t="s">
        <v>493</v>
      </c>
      <c r="B41" s="375"/>
      <c r="C41" s="375"/>
      <c r="D41" s="375"/>
      <c r="E41" s="375"/>
      <c r="F41" s="375"/>
      <c r="G41" s="375"/>
      <c r="H41" s="375"/>
    </row>
    <row r="42" spans="1:8" ht="15.75">
      <c r="A42" s="375" t="s">
        <v>494</v>
      </c>
      <c r="B42" s="375"/>
      <c r="C42" s="375"/>
      <c r="D42" s="375"/>
      <c r="E42" s="375"/>
      <c r="F42" s="375"/>
      <c r="G42" s="375"/>
      <c r="H42" s="375"/>
    </row>
    <row r="43" spans="1:8" ht="15.75">
      <c r="A43" s="375" t="s">
        <v>495</v>
      </c>
      <c r="B43" s="375"/>
      <c r="C43" s="375"/>
      <c r="D43" s="375"/>
      <c r="E43" s="375"/>
      <c r="F43" s="375"/>
      <c r="G43" s="375"/>
      <c r="H43" s="375"/>
    </row>
    <row r="44" spans="1:8" ht="15.75">
      <c r="A44" s="375" t="s">
        <v>496</v>
      </c>
      <c r="B44" s="375"/>
      <c r="C44" s="375"/>
      <c r="D44" s="375"/>
      <c r="E44" s="375"/>
      <c r="F44" s="375"/>
      <c r="G44" s="375"/>
      <c r="H44" s="375"/>
    </row>
    <row r="45" spans="1:8" ht="15.75">
      <c r="A45" s="375"/>
      <c r="B45" s="375"/>
      <c r="C45" s="375"/>
      <c r="D45" s="375"/>
      <c r="E45" s="375"/>
      <c r="F45" s="375"/>
      <c r="G45" s="375"/>
      <c r="H45" s="375"/>
    </row>
    <row r="46" spans="1:8" ht="15.75">
      <c r="A46" s="375" t="s">
        <v>497</v>
      </c>
      <c r="B46" s="375"/>
      <c r="C46" s="375"/>
      <c r="D46" s="375"/>
      <c r="E46" s="375"/>
      <c r="F46" s="375"/>
      <c r="G46" s="375"/>
      <c r="H46" s="375"/>
    </row>
    <row r="47" spans="1:8" ht="15.75">
      <c r="A47" s="375" t="s">
        <v>498</v>
      </c>
      <c r="B47" s="375"/>
      <c r="C47" s="375"/>
      <c r="D47" s="375"/>
      <c r="E47" s="375"/>
      <c r="F47" s="375"/>
      <c r="G47" s="375"/>
      <c r="H47" s="375"/>
    </row>
    <row r="48" spans="1:8" ht="15.75">
      <c r="A48" s="375" t="s">
        <v>499</v>
      </c>
      <c r="B48" s="375"/>
      <c r="C48" s="375"/>
      <c r="D48" s="375"/>
      <c r="E48" s="375"/>
      <c r="F48" s="375"/>
      <c r="G48" s="375"/>
      <c r="H48" s="375"/>
    </row>
    <row r="49" spans="1:8" ht="15.75">
      <c r="A49" s="375" t="s">
        <v>500</v>
      </c>
      <c r="B49" s="375"/>
      <c r="C49" s="375"/>
      <c r="D49" s="375"/>
      <c r="E49" s="375"/>
      <c r="F49" s="375"/>
      <c r="G49" s="375"/>
      <c r="H49" s="375"/>
    </row>
    <row r="50" spans="1:8" ht="15.75">
      <c r="A50" s="375" t="s">
        <v>501</v>
      </c>
      <c r="B50" s="375"/>
      <c r="C50" s="375"/>
      <c r="D50" s="375"/>
      <c r="E50" s="375"/>
      <c r="F50" s="375"/>
      <c r="G50" s="375"/>
      <c r="H50" s="375"/>
    </row>
    <row r="51" spans="1:8" ht="15.75">
      <c r="A51" s="375"/>
      <c r="B51" s="375"/>
      <c r="C51" s="375"/>
      <c r="D51" s="375"/>
      <c r="E51" s="375"/>
      <c r="F51" s="375"/>
      <c r="G51" s="375"/>
      <c r="H51" s="375"/>
    </row>
    <row r="52" spans="1:8" ht="15.75">
      <c r="A52" s="376" t="s">
        <v>502</v>
      </c>
      <c r="B52" s="376"/>
      <c r="C52" s="376"/>
      <c r="D52" s="376"/>
      <c r="E52" s="376"/>
      <c r="F52" s="376"/>
      <c r="G52" s="376"/>
      <c r="H52" s="375"/>
    </row>
    <row r="53" spans="1:8" ht="15.75">
      <c r="A53" s="376" t="s">
        <v>503</v>
      </c>
      <c r="B53" s="376"/>
      <c r="C53" s="376"/>
      <c r="D53" s="376"/>
      <c r="E53" s="376"/>
      <c r="F53" s="376"/>
      <c r="G53" s="376"/>
      <c r="H53" s="375"/>
    </row>
    <row r="54" spans="1:8" ht="15.75">
      <c r="A54" s="375"/>
      <c r="B54" s="375"/>
      <c r="C54" s="375"/>
      <c r="D54" s="375"/>
      <c r="E54" s="375"/>
      <c r="F54" s="375"/>
      <c r="G54" s="375"/>
      <c r="H54" s="375"/>
    </row>
    <row r="55" spans="1:8" ht="15.75">
      <c r="A55" s="375" t="s">
        <v>504</v>
      </c>
      <c r="B55" s="375"/>
      <c r="C55" s="375"/>
      <c r="D55" s="375"/>
      <c r="E55" s="375"/>
      <c r="F55" s="375"/>
      <c r="G55" s="375"/>
      <c r="H55" s="375"/>
    </row>
    <row r="56" spans="1:8" ht="15.75">
      <c r="A56" s="375" t="s">
        <v>505</v>
      </c>
      <c r="B56" s="375"/>
      <c r="C56" s="375"/>
      <c r="D56" s="375"/>
      <c r="E56" s="375"/>
      <c r="F56" s="375"/>
      <c r="G56" s="375"/>
      <c r="H56" s="375"/>
    </row>
    <row r="57" spans="1:8" ht="15.75">
      <c r="A57" s="375" t="s">
        <v>506</v>
      </c>
      <c r="B57" s="375"/>
      <c r="C57" s="375"/>
      <c r="D57" s="375"/>
      <c r="E57" s="375"/>
      <c r="F57" s="375"/>
      <c r="G57" s="375"/>
      <c r="H57" s="375"/>
    </row>
    <row r="58" spans="1:8" ht="15.75">
      <c r="A58" s="375" t="s">
        <v>507</v>
      </c>
      <c r="B58" s="375"/>
      <c r="C58" s="375"/>
      <c r="D58" s="375"/>
      <c r="E58" s="375"/>
      <c r="F58" s="375"/>
      <c r="G58" s="375"/>
      <c r="H58" s="375"/>
    </row>
    <row r="59" spans="1:8" ht="15.75">
      <c r="A59" s="375"/>
      <c r="B59" s="375"/>
      <c r="C59" s="375"/>
      <c r="D59" s="375"/>
      <c r="E59" s="375"/>
      <c r="F59" s="375"/>
      <c r="G59" s="375"/>
      <c r="H59" s="375"/>
    </row>
    <row r="60" spans="1:8" ht="15.75">
      <c r="A60" s="375" t="s">
        <v>508</v>
      </c>
      <c r="B60" s="375"/>
      <c r="C60" s="375"/>
      <c r="D60" s="375"/>
      <c r="E60" s="375"/>
      <c r="F60" s="375"/>
      <c r="G60" s="375"/>
      <c r="H60" s="375"/>
    </row>
    <row r="61" spans="1:8" ht="15.75">
      <c r="A61" s="375" t="s">
        <v>509</v>
      </c>
      <c r="B61" s="375"/>
      <c r="C61" s="375"/>
      <c r="D61" s="375"/>
      <c r="E61" s="375"/>
      <c r="F61" s="375"/>
      <c r="G61" s="375"/>
      <c r="H61" s="375"/>
    </row>
    <row r="62" spans="1:8" ht="15.75">
      <c r="A62" s="375" t="s">
        <v>510</v>
      </c>
      <c r="B62" s="375"/>
      <c r="C62" s="375"/>
      <c r="D62" s="375"/>
      <c r="E62" s="375"/>
      <c r="F62" s="375"/>
      <c r="G62" s="375"/>
      <c r="H62" s="375"/>
    </row>
    <row r="63" spans="1:8" ht="15.75">
      <c r="A63" s="375" t="s">
        <v>511</v>
      </c>
      <c r="B63" s="375"/>
      <c r="C63" s="375"/>
      <c r="D63" s="375"/>
      <c r="E63" s="375"/>
      <c r="F63" s="375"/>
      <c r="G63" s="375"/>
      <c r="H63" s="375"/>
    </row>
    <row r="64" spans="1:8" ht="15.75">
      <c r="A64" s="375" t="s">
        <v>512</v>
      </c>
      <c r="B64" s="375"/>
      <c r="C64" s="375"/>
      <c r="D64" s="375"/>
      <c r="E64" s="375"/>
      <c r="F64" s="375"/>
      <c r="G64" s="375"/>
      <c r="H64" s="375"/>
    </row>
    <row r="65" spans="1:8" ht="15.75">
      <c r="A65" s="375" t="s">
        <v>513</v>
      </c>
      <c r="B65" s="375"/>
      <c r="C65" s="375"/>
      <c r="D65" s="375"/>
      <c r="E65" s="375"/>
      <c r="F65" s="375"/>
      <c r="G65" s="375"/>
      <c r="H65" s="375"/>
    </row>
    <row r="66" spans="1:8" ht="15.75">
      <c r="A66" s="375"/>
      <c r="B66" s="375"/>
      <c r="C66" s="375"/>
      <c r="D66" s="375"/>
      <c r="E66" s="375"/>
      <c r="F66" s="375"/>
      <c r="G66" s="375"/>
      <c r="H66" s="375"/>
    </row>
    <row r="67" spans="1:8" ht="15.75">
      <c r="A67" s="375" t="s">
        <v>514</v>
      </c>
      <c r="B67" s="375"/>
      <c r="C67" s="375"/>
      <c r="D67" s="375"/>
      <c r="E67" s="375"/>
      <c r="F67" s="375"/>
      <c r="G67" s="375"/>
      <c r="H67" s="375"/>
    </row>
    <row r="68" spans="1:8" ht="15.75">
      <c r="A68" s="375" t="s">
        <v>515</v>
      </c>
      <c r="B68" s="375"/>
      <c r="C68" s="375"/>
      <c r="D68" s="375"/>
      <c r="E68" s="375"/>
      <c r="F68" s="375"/>
      <c r="G68" s="375"/>
      <c r="H68" s="375"/>
    </row>
    <row r="69" spans="1:8" ht="15.75">
      <c r="A69" s="375" t="s">
        <v>516</v>
      </c>
      <c r="B69" s="375"/>
      <c r="C69" s="375"/>
      <c r="D69" s="375"/>
      <c r="E69" s="375"/>
      <c r="F69" s="375"/>
      <c r="G69" s="375"/>
      <c r="H69" s="375"/>
    </row>
    <row r="70" spans="1:8" ht="15.75">
      <c r="A70" s="375" t="s">
        <v>517</v>
      </c>
      <c r="B70" s="375"/>
      <c r="C70" s="375"/>
      <c r="D70" s="375"/>
      <c r="E70" s="375"/>
      <c r="F70" s="375"/>
      <c r="G70" s="375"/>
      <c r="H70" s="375"/>
    </row>
    <row r="71" spans="1:8" ht="15.75">
      <c r="A71" s="375" t="s">
        <v>518</v>
      </c>
      <c r="B71" s="375"/>
      <c r="C71" s="375"/>
      <c r="D71" s="375"/>
      <c r="E71" s="375"/>
      <c r="F71" s="375"/>
      <c r="G71" s="375"/>
      <c r="H71" s="375"/>
    </row>
    <row r="72" spans="1:8" ht="15.75">
      <c r="A72" s="375" t="s">
        <v>519</v>
      </c>
      <c r="B72" s="375"/>
      <c r="C72" s="375"/>
      <c r="D72" s="375"/>
      <c r="E72" s="375"/>
      <c r="F72" s="375"/>
      <c r="G72" s="375"/>
      <c r="H72" s="375"/>
    </row>
    <row r="73" spans="1:8" ht="15.75">
      <c r="A73" s="375" t="s">
        <v>520</v>
      </c>
      <c r="B73" s="375"/>
      <c r="C73" s="375"/>
      <c r="D73" s="375"/>
      <c r="E73" s="375"/>
      <c r="F73" s="375"/>
      <c r="G73" s="375"/>
      <c r="H73" s="375"/>
    </row>
    <row r="74" spans="1:8" ht="15.75">
      <c r="A74" s="375"/>
      <c r="B74" s="375"/>
      <c r="C74" s="375"/>
      <c r="D74" s="375"/>
      <c r="E74" s="375"/>
      <c r="F74" s="375"/>
      <c r="G74" s="375"/>
      <c r="H74" s="375"/>
    </row>
    <row r="75" spans="1:8" ht="15.75">
      <c r="A75" s="375" t="s">
        <v>521</v>
      </c>
      <c r="B75" s="375"/>
      <c r="C75" s="375"/>
      <c r="D75" s="375"/>
      <c r="E75" s="375"/>
      <c r="F75" s="375"/>
      <c r="G75" s="375"/>
      <c r="H75" s="375"/>
    </row>
    <row r="76" spans="1:8" ht="15.75">
      <c r="A76" s="375" t="s">
        <v>522</v>
      </c>
      <c r="B76" s="375"/>
      <c r="C76" s="375"/>
      <c r="D76" s="375"/>
      <c r="E76" s="375"/>
      <c r="F76" s="375"/>
      <c r="G76" s="375"/>
      <c r="H76" s="375"/>
    </row>
    <row r="77" spans="1:8" ht="15.75">
      <c r="A77" s="375" t="s">
        <v>523</v>
      </c>
      <c r="B77" s="375"/>
      <c r="C77" s="375"/>
      <c r="D77" s="375"/>
      <c r="E77" s="375"/>
      <c r="F77" s="375"/>
      <c r="G77" s="375"/>
      <c r="H77" s="375"/>
    </row>
    <row r="78" spans="1:8" ht="15.75">
      <c r="A78" s="375"/>
      <c r="B78" s="375"/>
      <c r="C78" s="375"/>
      <c r="D78" s="375"/>
      <c r="E78" s="375"/>
      <c r="F78" s="375"/>
      <c r="G78" s="375"/>
      <c r="H78" s="375"/>
    </row>
    <row r="79" ht="15.75">
      <c r="A79" s="375" t="s">
        <v>468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524</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413</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525</v>
      </c>
      <c r="I7" s="374"/>
      <c r="J7" s="374"/>
      <c r="K7" s="374"/>
      <c r="L7" s="374"/>
    </row>
    <row r="8" spans="1:12" ht="15.75">
      <c r="A8" s="375"/>
      <c r="I8" s="374"/>
      <c r="J8" s="374"/>
      <c r="K8" s="374"/>
      <c r="L8" s="374"/>
    </row>
    <row r="9" spans="1:12" ht="15.75">
      <c r="A9" s="375" t="s">
        <v>526</v>
      </c>
      <c r="I9" s="374"/>
      <c r="J9" s="374"/>
      <c r="K9" s="374"/>
      <c r="L9" s="374"/>
    </row>
    <row r="10" spans="1:12" ht="15.75">
      <c r="A10" s="375" t="s">
        <v>527</v>
      </c>
      <c r="I10" s="374"/>
      <c r="J10" s="374"/>
      <c r="K10" s="374"/>
      <c r="L10" s="374"/>
    </row>
    <row r="11" spans="1:12" ht="15.75">
      <c r="A11" s="375" t="s">
        <v>528</v>
      </c>
      <c r="I11" s="374"/>
      <c r="J11" s="374"/>
      <c r="K11" s="374"/>
      <c r="L11" s="374"/>
    </row>
    <row r="12" spans="1:12" ht="15.75">
      <c r="A12" s="375" t="s">
        <v>529</v>
      </c>
      <c r="I12" s="374"/>
      <c r="J12" s="374"/>
      <c r="K12" s="374"/>
      <c r="L12" s="374"/>
    </row>
    <row r="13" spans="1:12" ht="15.75">
      <c r="A13" s="375" t="s">
        <v>530</v>
      </c>
      <c r="I13" s="374"/>
      <c r="J13" s="374"/>
      <c r="K13" s="374"/>
      <c r="L13" s="374"/>
    </row>
    <row r="14" spans="1:12" ht="15.75">
      <c r="A14" s="374"/>
      <c r="B14" s="374"/>
      <c r="C14" s="374"/>
      <c r="D14" s="374"/>
      <c r="E14" s="374"/>
      <c r="F14" s="374"/>
      <c r="G14" s="374"/>
      <c r="H14" s="374"/>
      <c r="I14" s="374"/>
      <c r="J14" s="374"/>
      <c r="K14" s="374"/>
      <c r="L14" s="374"/>
    </row>
    <row r="15" ht="15.75">
      <c r="A15" s="376" t="s">
        <v>531</v>
      </c>
    </row>
    <row r="16" ht="15.75">
      <c r="A16" s="376" t="s">
        <v>532</v>
      </c>
    </row>
    <row r="17" ht="15.75">
      <c r="A17" s="376"/>
    </row>
    <row r="18" spans="1:7" ht="15.75">
      <c r="A18" s="375" t="s">
        <v>533</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534</v>
      </c>
      <c r="B20" s="375"/>
      <c r="C20" s="375"/>
      <c r="D20" s="375"/>
      <c r="E20" s="375"/>
      <c r="F20" s="375"/>
      <c r="G20" s="375"/>
    </row>
    <row r="21" spans="1:7" ht="15.75">
      <c r="A21" s="375" t="s">
        <v>535</v>
      </c>
      <c r="B21" s="375"/>
      <c r="C21" s="375"/>
      <c r="D21" s="375"/>
      <c r="E21" s="375"/>
      <c r="F21" s="375"/>
      <c r="G21" s="375"/>
    </row>
    <row r="22" ht="15.75">
      <c r="A22" s="375"/>
    </row>
    <row r="23" ht="15.75">
      <c r="A23" s="376" t="s">
        <v>536</v>
      </c>
    </row>
    <row r="24" ht="15.75">
      <c r="A24" s="376"/>
    </row>
    <row r="25" ht="15.75">
      <c r="A25" s="375" t="s">
        <v>537</v>
      </c>
    </row>
    <row r="26" spans="1:6" ht="15.75">
      <c r="A26" s="375" t="s">
        <v>538</v>
      </c>
      <c r="B26" s="375"/>
      <c r="C26" s="375"/>
      <c r="D26" s="375"/>
      <c r="E26" s="375"/>
      <c r="F26" s="375"/>
    </row>
    <row r="27" spans="1:6" ht="15.75">
      <c r="A27" s="375" t="s">
        <v>539</v>
      </c>
      <c r="B27" s="375"/>
      <c r="C27" s="375"/>
      <c r="D27" s="375"/>
      <c r="E27" s="375"/>
      <c r="F27" s="375"/>
    </row>
    <row r="28" spans="1:6" ht="15.75">
      <c r="A28" s="375" t="s">
        <v>540</v>
      </c>
      <c r="B28" s="375"/>
      <c r="C28" s="375"/>
      <c r="D28" s="375"/>
      <c r="E28" s="375"/>
      <c r="F28" s="375"/>
    </row>
    <row r="29" spans="1:6" ht="15.75">
      <c r="A29" s="375"/>
      <c r="B29" s="375"/>
      <c r="C29" s="375"/>
      <c r="D29" s="375"/>
      <c r="E29" s="375"/>
      <c r="F29" s="375"/>
    </row>
    <row r="30" spans="1:7" ht="15.75">
      <c r="A30" s="376" t="s">
        <v>541</v>
      </c>
      <c r="B30" s="376"/>
      <c r="C30" s="376"/>
      <c r="D30" s="376"/>
      <c r="E30" s="376"/>
      <c r="F30" s="376"/>
      <c r="G30" s="376"/>
    </row>
    <row r="31" spans="1:7" ht="15.75">
      <c r="A31" s="376" t="s">
        <v>542</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543</v>
      </c>
      <c r="B34" s="375"/>
      <c r="C34" s="375"/>
      <c r="D34" s="375"/>
      <c r="E34" s="375"/>
      <c r="F34" s="375"/>
    </row>
    <row r="35" spans="1:6" ht="15.75">
      <c r="A35" s="379" t="s">
        <v>427</v>
      </c>
      <c r="B35" s="375"/>
      <c r="C35" s="375"/>
      <c r="D35" s="375"/>
      <c r="E35" s="375"/>
      <c r="F35" s="375"/>
    </row>
    <row r="36" spans="1:6" ht="15.75">
      <c r="A36" s="379" t="s">
        <v>428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429</v>
      </c>
      <c r="B39" s="375"/>
      <c r="C39" s="375"/>
      <c r="D39" s="375"/>
      <c r="E39" s="375"/>
      <c r="F39" s="375"/>
    </row>
    <row r="40" spans="1:6" ht="15.75">
      <c r="A40" s="379" t="s">
        <v>430</v>
      </c>
      <c r="B40" s="375"/>
      <c r="C40" s="375"/>
      <c r="D40" s="375"/>
      <c r="E40" s="375"/>
      <c r="F40" s="375"/>
    </row>
    <row r="41" spans="1:6" ht="15.75">
      <c r="A41" s="379"/>
      <c r="B41" s="375"/>
      <c r="C41" s="375"/>
      <c r="D41" s="375"/>
      <c r="E41" s="375"/>
      <c r="F41" s="375"/>
    </row>
    <row r="42" spans="1:6" ht="15.75">
      <c r="A42" s="379" t="s">
        <v>431</v>
      </c>
      <c r="B42" s="375"/>
      <c r="C42" s="375"/>
      <c r="D42" s="375"/>
      <c r="E42" s="375"/>
      <c r="F42" s="375"/>
    </row>
    <row r="43" spans="1:6" ht="15.75">
      <c r="A43" s="379" t="s">
        <v>432</v>
      </c>
      <c r="B43" s="375"/>
      <c r="C43" s="375"/>
      <c r="D43" s="375"/>
      <c r="E43" s="375"/>
      <c r="F43" s="375"/>
    </row>
    <row r="44" spans="1:6" ht="15.75">
      <c r="A44" s="379" t="s">
        <v>433</v>
      </c>
      <c r="B44" s="375"/>
      <c r="C44" s="375"/>
      <c r="D44" s="375"/>
      <c r="E44" s="375"/>
      <c r="F44" s="375"/>
    </row>
    <row r="45" spans="1:6" ht="15.75">
      <c r="A45" s="379" t="s">
        <v>544</v>
      </c>
      <c r="B45" s="375"/>
      <c r="C45" s="375"/>
      <c r="D45" s="375"/>
      <c r="E45" s="375"/>
      <c r="F45" s="375"/>
    </row>
    <row r="46" spans="1:6" ht="15.75">
      <c r="A46" s="379" t="s">
        <v>435</v>
      </c>
      <c r="B46" s="375"/>
      <c r="C46" s="375"/>
      <c r="D46" s="375"/>
      <c r="E46" s="375"/>
      <c r="F46" s="375"/>
    </row>
    <row r="47" spans="1:6" ht="15.75">
      <c r="A47" s="379" t="s">
        <v>545</v>
      </c>
      <c r="B47" s="375"/>
      <c r="C47" s="375"/>
      <c r="D47" s="375"/>
      <c r="E47" s="375"/>
      <c r="F47" s="375"/>
    </row>
    <row r="48" spans="1:6" ht="15.75">
      <c r="A48" s="379" t="s">
        <v>546</v>
      </c>
      <c r="B48" s="375"/>
      <c r="C48" s="375"/>
      <c r="D48" s="375"/>
      <c r="E48" s="375"/>
      <c r="F48" s="375"/>
    </row>
    <row r="49" spans="1:6" ht="15.75">
      <c r="A49" s="379" t="s">
        <v>438</v>
      </c>
      <c r="B49" s="375"/>
      <c r="C49" s="375"/>
      <c r="D49" s="375"/>
      <c r="E49" s="375"/>
      <c r="F49" s="375"/>
    </row>
    <row r="50" spans="1:6" ht="15.75">
      <c r="A50" s="379"/>
      <c r="B50" s="375"/>
      <c r="C50" s="375"/>
      <c r="D50" s="375"/>
      <c r="E50" s="375"/>
      <c r="F50" s="375"/>
    </row>
    <row r="51" spans="1:6" ht="15.75">
      <c r="A51" s="379" t="s">
        <v>439</v>
      </c>
      <c r="B51" s="375"/>
      <c r="C51" s="375"/>
      <c r="D51" s="375"/>
      <c r="E51" s="375"/>
      <c r="F51" s="375"/>
    </row>
    <row r="52" spans="1:6" ht="15.75">
      <c r="A52" s="379" t="s">
        <v>440</v>
      </c>
      <c r="B52" s="375"/>
      <c r="C52" s="375"/>
      <c r="D52" s="375"/>
      <c r="E52" s="375"/>
      <c r="F52" s="375"/>
    </row>
    <row r="53" spans="1:6" ht="15.75">
      <c r="A53" s="379" t="s">
        <v>441</v>
      </c>
      <c r="B53" s="375"/>
      <c r="C53" s="375"/>
      <c r="D53" s="375"/>
      <c r="E53" s="375"/>
      <c r="F53" s="375"/>
    </row>
    <row r="54" spans="1:6" ht="15.75">
      <c r="A54" s="379"/>
      <c r="B54" s="375"/>
      <c r="C54" s="375"/>
      <c r="D54" s="375"/>
      <c r="E54" s="375"/>
      <c r="F54" s="375"/>
    </row>
    <row r="55" spans="1:6" ht="15.75">
      <c r="A55" s="379" t="s">
        <v>547</v>
      </c>
      <c r="B55" s="375"/>
      <c r="C55" s="375"/>
      <c r="D55" s="375"/>
      <c r="E55" s="375"/>
      <c r="F55" s="375"/>
    </row>
    <row r="56" spans="1:6" ht="15.75">
      <c r="A56" s="379" t="s">
        <v>548</v>
      </c>
      <c r="B56" s="375"/>
      <c r="C56" s="375"/>
      <c r="D56" s="375"/>
      <c r="E56" s="375"/>
      <c r="F56" s="375"/>
    </row>
    <row r="57" spans="1:6" ht="15.75">
      <c r="A57" s="379" t="s">
        <v>549</v>
      </c>
      <c r="B57" s="375"/>
      <c r="C57" s="375"/>
      <c r="D57" s="375"/>
      <c r="E57" s="375"/>
      <c r="F57" s="375"/>
    </row>
    <row r="58" spans="1:6" ht="15.75">
      <c r="A58" s="379" t="s">
        <v>550</v>
      </c>
      <c r="B58" s="375"/>
      <c r="C58" s="375"/>
      <c r="D58" s="375"/>
      <c r="E58" s="375"/>
      <c r="F58" s="375"/>
    </row>
    <row r="59" spans="1:6" ht="15.75">
      <c r="A59" s="379" t="s">
        <v>551</v>
      </c>
      <c r="B59" s="375"/>
      <c r="C59" s="375"/>
      <c r="D59" s="375"/>
      <c r="E59" s="375"/>
      <c r="F59" s="375"/>
    </row>
    <row r="60" spans="1:6" ht="15.75">
      <c r="A60" s="379"/>
      <c r="B60" s="375"/>
      <c r="C60" s="375"/>
      <c r="D60" s="375"/>
      <c r="E60" s="375"/>
      <c r="F60" s="375"/>
    </row>
    <row r="61" spans="1:6" ht="15.75">
      <c r="A61" s="380" t="s">
        <v>552</v>
      </c>
      <c r="B61" s="375"/>
      <c r="C61" s="375"/>
      <c r="D61" s="375"/>
      <c r="E61" s="375"/>
      <c r="F61" s="375"/>
    </row>
    <row r="62" spans="1:6" ht="15.75">
      <c r="A62" s="380" t="s">
        <v>553</v>
      </c>
      <c r="B62" s="375"/>
      <c r="C62" s="375"/>
      <c r="D62" s="375"/>
      <c r="E62" s="375"/>
      <c r="F62" s="375"/>
    </row>
    <row r="63" spans="1:6" ht="15.75">
      <c r="A63" s="380" t="s">
        <v>554</v>
      </c>
      <c r="B63" s="375"/>
      <c r="C63" s="375"/>
      <c r="D63" s="375"/>
      <c r="E63" s="375"/>
      <c r="F63" s="375"/>
    </row>
    <row r="64" ht="15.75">
      <c r="A64" s="380" t="s">
        <v>555</v>
      </c>
    </row>
    <row r="65" ht="15.75">
      <c r="A65" s="380" t="s">
        <v>556</v>
      </c>
    </row>
    <row r="66" ht="15.75">
      <c r="A66" s="380" t="s">
        <v>557</v>
      </c>
    </row>
    <row r="68" ht="15.75">
      <c r="A68" s="375" t="s">
        <v>558</v>
      </c>
    </row>
    <row r="69" ht="15.75">
      <c r="A69" s="375" t="s">
        <v>559</v>
      </c>
    </row>
    <row r="70" ht="15.75">
      <c r="A70" s="375" t="s">
        <v>560</v>
      </c>
    </row>
    <row r="71" ht="15.75">
      <c r="A71" s="375" t="s">
        <v>561</v>
      </c>
    </row>
    <row r="72" ht="15.75">
      <c r="A72" s="375" t="s">
        <v>562</v>
      </c>
    </row>
    <row r="73" ht="15.75">
      <c r="A73" s="375" t="s">
        <v>563</v>
      </c>
    </row>
    <row r="75" ht="15.75">
      <c r="A75" s="375"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564</v>
      </c>
      <c r="B3" s="374"/>
      <c r="C3" s="374"/>
      <c r="D3" s="374"/>
      <c r="E3" s="374"/>
      <c r="F3" s="374"/>
      <c r="G3" s="374"/>
    </row>
    <row r="4" spans="1:7" ht="15.75">
      <c r="A4" s="374"/>
      <c r="B4" s="374"/>
      <c r="C4" s="374"/>
      <c r="D4" s="374"/>
      <c r="E4" s="374"/>
      <c r="F4" s="374"/>
      <c r="G4" s="374"/>
    </row>
    <row r="5" ht="15.75">
      <c r="A5" s="375" t="s">
        <v>470</v>
      </c>
    </row>
    <row r="6" ht="15.75">
      <c r="A6" s="375" t="str">
        <f>CONCATENATE(inputPrYr!D9," estimated expenditures show that at the end of this year")</f>
        <v>2014 estimated expenditures show that at the end of this year</v>
      </c>
    </row>
    <row r="7" ht="15.75">
      <c r="A7" s="375" t="s">
        <v>565</v>
      </c>
    </row>
    <row r="8" ht="15.75">
      <c r="A8" s="375" t="s">
        <v>566</v>
      </c>
    </row>
    <row r="10" ht="15.75">
      <c r="A10" t="s">
        <v>472</v>
      </c>
    </row>
    <row r="11" ht="15.75">
      <c r="A11" t="s">
        <v>473</v>
      </c>
    </row>
    <row r="12" ht="15.75">
      <c r="A12" t="s">
        <v>474</v>
      </c>
    </row>
    <row r="13" spans="1:7" ht="15.75">
      <c r="A13" s="374"/>
      <c r="B13" s="374"/>
      <c r="C13" s="374"/>
      <c r="D13" s="374"/>
      <c r="E13" s="374"/>
      <c r="F13" s="374"/>
      <c r="G13" s="374"/>
    </row>
    <row r="14" ht="15.75">
      <c r="A14" s="376" t="s">
        <v>567</v>
      </c>
    </row>
    <row r="15" ht="15.75">
      <c r="A15" s="375"/>
    </row>
    <row r="16" ht="15.75">
      <c r="A16" s="375" t="s">
        <v>568</v>
      </c>
    </row>
    <row r="17" ht="15.75">
      <c r="A17" s="375" t="s">
        <v>569</v>
      </c>
    </row>
    <row r="18" ht="15.75">
      <c r="A18" s="375" t="s">
        <v>570</v>
      </c>
    </row>
    <row r="19" ht="15.75">
      <c r="A19" s="375"/>
    </row>
    <row r="20" ht="15.75">
      <c r="A20" s="375" t="s">
        <v>571</v>
      </c>
    </row>
    <row r="21" ht="15.75">
      <c r="A21" s="375" t="s">
        <v>572</v>
      </c>
    </row>
    <row r="22" ht="15.75">
      <c r="A22" s="375" t="s">
        <v>573</v>
      </c>
    </row>
    <row r="23" ht="15.75">
      <c r="A23" s="375" t="s">
        <v>574</v>
      </c>
    </row>
    <row r="24" ht="15.75">
      <c r="A24" s="375"/>
    </row>
    <row r="25" ht="15.75">
      <c r="A25" s="376" t="s">
        <v>536</v>
      </c>
    </row>
    <row r="26" ht="15.75">
      <c r="A26" s="376"/>
    </row>
    <row r="27" ht="15.75">
      <c r="A27" s="375" t="s">
        <v>537</v>
      </c>
    </row>
    <row r="28" spans="1:6" ht="15.75">
      <c r="A28" s="375" t="s">
        <v>538</v>
      </c>
      <c r="B28" s="375"/>
      <c r="C28" s="375"/>
      <c r="D28" s="375"/>
      <c r="E28" s="375"/>
      <c r="F28" s="375"/>
    </row>
    <row r="29" spans="1:6" ht="15.75">
      <c r="A29" s="375" t="s">
        <v>539</v>
      </c>
      <c r="B29" s="375"/>
      <c r="C29" s="375"/>
      <c r="D29" s="375"/>
      <c r="E29" s="375"/>
      <c r="F29" s="375"/>
    </row>
    <row r="30" spans="1:6" ht="15.75">
      <c r="A30" s="375" t="s">
        <v>540</v>
      </c>
      <c r="B30" s="375"/>
      <c r="C30" s="375"/>
      <c r="D30" s="375"/>
      <c r="E30" s="375"/>
      <c r="F30" s="375"/>
    </row>
    <row r="31" ht="15.75">
      <c r="A31" s="375"/>
    </row>
    <row r="32" spans="1:7" ht="15.75">
      <c r="A32" s="376" t="s">
        <v>541</v>
      </c>
      <c r="B32" s="376"/>
      <c r="C32" s="376"/>
      <c r="D32" s="376"/>
      <c r="E32" s="376"/>
      <c r="F32" s="376"/>
      <c r="G32" s="376"/>
    </row>
    <row r="33" spans="1:7" ht="15.75">
      <c r="A33" s="376" t="s">
        <v>542</v>
      </c>
      <c r="B33" s="376"/>
      <c r="C33" s="376"/>
      <c r="D33" s="376"/>
      <c r="E33" s="376"/>
      <c r="F33" s="376"/>
      <c r="G33" s="376"/>
    </row>
    <row r="34" spans="1:7" ht="15.75">
      <c r="A34" s="376"/>
      <c r="B34" s="376"/>
      <c r="C34" s="376"/>
      <c r="D34" s="376"/>
      <c r="E34" s="376"/>
      <c r="F34" s="376"/>
      <c r="G34" s="376"/>
    </row>
    <row r="35" spans="1:7" ht="15.75">
      <c r="A35" s="375" t="s">
        <v>575</v>
      </c>
      <c r="B35" s="375"/>
      <c r="C35" s="375"/>
      <c r="D35" s="375"/>
      <c r="E35" s="375"/>
      <c r="F35" s="375"/>
      <c r="G35" s="375"/>
    </row>
    <row r="36" spans="1:7" ht="15.75">
      <c r="A36" s="375" t="s">
        <v>576</v>
      </c>
      <c r="B36" s="375"/>
      <c r="C36" s="375"/>
      <c r="D36" s="375"/>
      <c r="E36" s="375"/>
      <c r="F36" s="375"/>
      <c r="G36" s="375"/>
    </row>
    <row r="37" spans="1:7" ht="15.75">
      <c r="A37" s="375" t="s">
        <v>577</v>
      </c>
      <c r="B37" s="375"/>
      <c r="C37" s="375"/>
      <c r="D37" s="375"/>
      <c r="E37" s="375"/>
      <c r="F37" s="375"/>
      <c r="G37" s="375"/>
    </row>
    <row r="38" spans="1:7" ht="15.75">
      <c r="A38" s="375" t="s">
        <v>578</v>
      </c>
      <c r="B38" s="375"/>
      <c r="C38" s="375"/>
      <c r="D38" s="375"/>
      <c r="E38" s="375"/>
      <c r="F38" s="375"/>
      <c r="G38" s="375"/>
    </row>
    <row r="39" spans="1:7" ht="15.75">
      <c r="A39" s="375" t="s">
        <v>579</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543</v>
      </c>
      <c r="B42" s="375"/>
      <c r="C42" s="375"/>
      <c r="D42" s="375"/>
      <c r="E42" s="375"/>
      <c r="F42" s="375"/>
    </row>
    <row r="43" spans="1:6" ht="15.75">
      <c r="A43" s="379" t="s">
        <v>427</v>
      </c>
      <c r="B43" s="375"/>
      <c r="C43" s="375"/>
      <c r="D43" s="375"/>
      <c r="E43" s="375"/>
      <c r="F43" s="375"/>
    </row>
    <row r="44" spans="1:6" ht="15.75">
      <c r="A44" s="379" t="s">
        <v>428</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429</v>
      </c>
      <c r="B47" s="375"/>
      <c r="C47" s="375"/>
      <c r="D47" s="375"/>
      <c r="E47" s="375"/>
      <c r="F47" s="375"/>
    </row>
    <row r="48" spans="1:6" ht="15.75">
      <c r="A48" s="379" t="s">
        <v>430</v>
      </c>
      <c r="B48" s="375"/>
      <c r="C48" s="375"/>
      <c r="D48" s="375"/>
      <c r="E48" s="375"/>
      <c r="F48" s="375"/>
    </row>
    <row r="49" spans="1:7" ht="15.75">
      <c r="A49" s="375"/>
      <c r="B49" s="375"/>
      <c r="C49" s="375"/>
      <c r="D49" s="375"/>
      <c r="E49" s="375"/>
      <c r="F49" s="375"/>
      <c r="G49" s="375"/>
    </row>
    <row r="50" spans="1:7" ht="15.75">
      <c r="A50" s="375" t="s">
        <v>497</v>
      </c>
      <c r="B50" s="375"/>
      <c r="C50" s="375"/>
      <c r="D50" s="375"/>
      <c r="E50" s="375"/>
      <c r="F50" s="375"/>
      <c r="G50" s="375"/>
    </row>
    <row r="51" spans="1:7" ht="15.75">
      <c r="A51" s="375" t="s">
        <v>498</v>
      </c>
      <c r="B51" s="375"/>
      <c r="C51" s="375"/>
      <c r="D51" s="375"/>
      <c r="E51" s="375"/>
      <c r="F51" s="375"/>
      <c r="G51" s="375"/>
    </row>
    <row r="52" spans="1:7" ht="15.75">
      <c r="A52" s="375" t="s">
        <v>499</v>
      </c>
      <c r="B52" s="375"/>
      <c r="C52" s="375"/>
      <c r="D52" s="375"/>
      <c r="E52" s="375"/>
      <c r="F52" s="375"/>
      <c r="G52" s="375"/>
    </row>
    <row r="53" spans="1:7" ht="15.75">
      <c r="A53" s="375" t="s">
        <v>500</v>
      </c>
      <c r="B53" s="375"/>
      <c r="C53" s="375"/>
      <c r="D53" s="375"/>
      <c r="E53" s="375"/>
      <c r="F53" s="375"/>
      <c r="G53" s="375"/>
    </row>
    <row r="54" spans="1:7" ht="15.75">
      <c r="A54" s="375" t="s">
        <v>501</v>
      </c>
      <c r="B54" s="375"/>
      <c r="C54" s="375"/>
      <c r="D54" s="375"/>
      <c r="E54" s="375"/>
      <c r="F54" s="375"/>
      <c r="G54" s="375"/>
    </row>
    <row r="55" spans="1:7" ht="15.75">
      <c r="A55" s="375"/>
      <c r="B55" s="375"/>
      <c r="C55" s="375"/>
      <c r="D55" s="375"/>
      <c r="E55" s="375"/>
      <c r="F55" s="375"/>
      <c r="G55" s="375"/>
    </row>
    <row r="56" spans="1:6" ht="15.75">
      <c r="A56" s="379" t="s">
        <v>439</v>
      </c>
      <c r="B56" s="375"/>
      <c r="C56" s="375"/>
      <c r="D56" s="375"/>
      <c r="E56" s="375"/>
      <c r="F56" s="375"/>
    </row>
    <row r="57" spans="1:6" ht="15.75">
      <c r="A57" s="379" t="s">
        <v>440</v>
      </c>
      <c r="B57" s="375"/>
      <c r="C57" s="375"/>
      <c r="D57" s="375"/>
      <c r="E57" s="375"/>
      <c r="F57" s="375"/>
    </row>
    <row r="58" spans="1:6" ht="15.75">
      <c r="A58" s="379" t="s">
        <v>441</v>
      </c>
      <c r="B58" s="375"/>
      <c r="C58" s="375"/>
      <c r="D58" s="375"/>
      <c r="E58" s="375"/>
      <c r="F58" s="375"/>
    </row>
    <row r="59" spans="1:6" ht="15.75">
      <c r="A59" s="379"/>
      <c r="B59" s="375"/>
      <c r="C59" s="375"/>
      <c r="D59" s="375"/>
      <c r="E59" s="375"/>
      <c r="F59" s="375"/>
    </row>
    <row r="60" spans="1:7" ht="15.75">
      <c r="A60" s="375" t="s">
        <v>580</v>
      </c>
      <c r="B60" s="375"/>
      <c r="C60" s="375"/>
      <c r="D60" s="375"/>
      <c r="E60" s="375"/>
      <c r="F60" s="375"/>
      <c r="G60" s="375"/>
    </row>
    <row r="61" spans="1:7" ht="15.75">
      <c r="A61" s="375" t="s">
        <v>581</v>
      </c>
      <c r="B61" s="375"/>
      <c r="C61" s="375"/>
      <c r="D61" s="375"/>
      <c r="E61" s="375"/>
      <c r="F61" s="375"/>
      <c r="G61" s="375"/>
    </row>
    <row r="62" spans="1:7" ht="15.75">
      <c r="A62" s="375" t="s">
        <v>582</v>
      </c>
      <c r="B62" s="375"/>
      <c r="C62" s="375"/>
      <c r="D62" s="375"/>
      <c r="E62" s="375"/>
      <c r="F62" s="375"/>
      <c r="G62" s="375"/>
    </row>
    <row r="63" spans="1:7" ht="15.75">
      <c r="A63" s="375" t="s">
        <v>583</v>
      </c>
      <c r="B63" s="375"/>
      <c r="C63" s="375"/>
      <c r="D63" s="375"/>
      <c r="E63" s="375"/>
      <c r="F63" s="375"/>
      <c r="G63" s="375"/>
    </row>
    <row r="64" spans="1:7" ht="15.75">
      <c r="A64" s="375" t="s">
        <v>584</v>
      </c>
      <c r="B64" s="375"/>
      <c r="C64" s="375"/>
      <c r="D64" s="375"/>
      <c r="E64" s="375"/>
      <c r="F64" s="375"/>
      <c r="G64" s="375"/>
    </row>
    <row r="66" spans="1:6" ht="15.75">
      <c r="A66" s="379" t="s">
        <v>547</v>
      </c>
      <c r="B66" s="375"/>
      <c r="C66" s="375"/>
      <c r="D66" s="375"/>
      <c r="E66" s="375"/>
      <c r="F66" s="375"/>
    </row>
    <row r="67" spans="1:6" ht="15.75">
      <c r="A67" s="379" t="s">
        <v>548</v>
      </c>
      <c r="B67" s="375"/>
      <c r="C67" s="375"/>
      <c r="D67" s="375"/>
      <c r="E67" s="375"/>
      <c r="F67" s="375"/>
    </row>
    <row r="68" spans="1:6" ht="15.75">
      <c r="A68" s="379" t="s">
        <v>549</v>
      </c>
      <c r="B68" s="375"/>
      <c r="C68" s="375"/>
      <c r="D68" s="375"/>
      <c r="E68" s="375"/>
      <c r="F68" s="375"/>
    </row>
    <row r="69" spans="1:6" ht="15.75">
      <c r="A69" s="379" t="s">
        <v>550</v>
      </c>
      <c r="B69" s="375"/>
      <c r="C69" s="375"/>
      <c r="D69" s="375"/>
      <c r="E69" s="375"/>
      <c r="F69" s="375"/>
    </row>
    <row r="70" spans="1:6" ht="15.75">
      <c r="A70" s="379" t="s">
        <v>551</v>
      </c>
      <c r="B70" s="375"/>
      <c r="C70" s="375"/>
      <c r="D70" s="375"/>
      <c r="E70" s="375"/>
      <c r="F70" s="375"/>
    </row>
    <row r="71" ht="15.75">
      <c r="A71" s="375"/>
    </row>
    <row r="72" ht="15.75">
      <c r="A72" s="375" t="s">
        <v>468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69">
      <selection activeCell="E62" sqref="E6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Esbon Township</v>
      </c>
      <c r="B1" s="30"/>
      <c r="C1" s="30"/>
      <c r="D1" s="30"/>
      <c r="E1" s="30">
        <f>inputPrYr!D9</f>
        <v>2014</v>
      </c>
    </row>
    <row r="2" spans="1:5" ht="15">
      <c r="A2" s="41" t="str">
        <f>inputPrYr!D4</f>
        <v>JEWELL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7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1523539</v>
      </c>
    </row>
    <row r="9" spans="1:5" ht="15">
      <c r="A9" s="15" t="str">
        <f>inputPrYr!$D$6</f>
        <v>Esbon City</v>
      </c>
      <c r="B9" s="16"/>
      <c r="C9" s="16"/>
      <c r="D9" s="16"/>
      <c r="E9" s="35">
        <v>404500</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1928039</v>
      </c>
    </row>
    <row r="12" spans="1:5" ht="15">
      <c r="A12" s="54" t="str">
        <f>CONCATENATE("New Improvements for ",E1-1,":")</f>
        <v>New Improvements for 2013:</v>
      </c>
      <c r="B12" s="10"/>
      <c r="C12" s="10"/>
      <c r="D12" s="10"/>
      <c r="E12" s="34"/>
    </row>
    <row r="13" spans="1:5" ht="15">
      <c r="A13" s="13" t="s">
        <v>158</v>
      </c>
      <c r="B13" s="14"/>
      <c r="C13" s="14"/>
      <c r="D13" s="14"/>
      <c r="E13" s="52">
        <v>6028</v>
      </c>
    </row>
    <row r="14" spans="1:5" ht="15">
      <c r="A14" s="15" t="str">
        <f>inputPrYr!$D$6</f>
        <v>Esbon City</v>
      </c>
      <c r="B14" s="14"/>
      <c r="C14" s="14"/>
      <c r="D14" s="14"/>
      <c r="E14" s="3"/>
    </row>
    <row r="15" spans="1:5" ht="15">
      <c r="A15" s="15">
        <f>inputPrYr!$D$7</f>
        <v>0</v>
      </c>
      <c r="B15" s="14"/>
      <c r="C15" s="14"/>
      <c r="D15" s="14"/>
      <c r="E15" s="3"/>
    </row>
    <row r="16" spans="1:5" ht="15">
      <c r="A16" s="15" t="str">
        <f>CONCATENATE("Total New Improvements for ",$E$1-1,"")</f>
        <v>Total New Improvements for 2013</v>
      </c>
      <c r="B16" s="16"/>
      <c r="C16" s="16"/>
      <c r="D16" s="16"/>
      <c r="E16" s="51">
        <f>SUM(E13:E15)</f>
        <v>6028</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83904</v>
      </c>
    </row>
    <row r="19" spans="1:5" ht="15">
      <c r="A19" s="15" t="str">
        <f>inputPrYr!$D$6</f>
        <v>Esbon City</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83904</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0</v>
      </c>
    </row>
    <row r="24" spans="1:5" ht="15">
      <c r="A24" s="15" t="str">
        <f>inputPrYr!$D$6</f>
        <v>Esbon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0</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82430</v>
      </c>
    </row>
    <row r="29" spans="1:5" ht="15">
      <c r="A29" s="15" t="str">
        <f>inputPrYr!$D$6</f>
        <v>Esbon City</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82430</v>
      </c>
    </row>
    <row r="32" spans="1:5" ht="15">
      <c r="A32" s="15" t="str">
        <f>CONCATENATE("Gross earnings (intangible) tax estimate for ",E1,"")</f>
        <v>Gross earnings (intangible) tax estimate for 2014</v>
      </c>
      <c r="B32" s="16"/>
      <c r="C32" s="16"/>
      <c r="D32" s="16"/>
      <c r="E32" s="3">
        <v>1073</v>
      </c>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3.991</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3.991</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1410098</v>
      </c>
    </row>
    <row r="53" spans="1:5" ht="15">
      <c r="A53" s="16" t="str">
        <f>inputPrYr!D6</f>
        <v>Esbon City</v>
      </c>
      <c r="B53" s="16"/>
      <c r="C53" s="16"/>
      <c r="D53" s="20"/>
      <c r="E53" s="4">
        <v>406399</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1816497</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806</v>
      </c>
    </row>
    <row r="60" spans="1:5" ht="15">
      <c r="A60" s="15" t="s">
        <v>245</v>
      </c>
      <c r="B60" s="16"/>
      <c r="C60" s="16"/>
      <c r="D60" s="40"/>
      <c r="E60" s="2">
        <v>19</v>
      </c>
    </row>
    <row r="61" spans="1:5" ht="15">
      <c r="A61" s="15" t="s">
        <v>112</v>
      </c>
      <c r="B61" s="16"/>
      <c r="C61" s="16"/>
      <c r="D61" s="40"/>
      <c r="E61" s="2">
        <v>139</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175</v>
      </c>
      <c r="B82" s="58" t="s">
        <v>176</v>
      </c>
      <c r="C82" s="59" t="s">
        <v>177</v>
      </c>
      <c r="D82" s="60"/>
      <c r="E82" s="60"/>
    </row>
    <row r="83" spans="1:5" ht="15.75">
      <c r="A83" s="61" t="str">
        <f>inputPrYr!B20</f>
        <v>General</v>
      </c>
      <c r="B83" s="4">
        <v>21408</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585</v>
      </c>
      <c r="B3" s="374"/>
      <c r="C3" s="374"/>
      <c r="D3" s="374"/>
      <c r="E3" s="374"/>
      <c r="F3" s="374"/>
      <c r="G3" s="374"/>
    </row>
    <row r="4" spans="1:7" ht="15.75">
      <c r="A4" s="374" t="s">
        <v>586</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413</v>
      </c>
    </row>
    <row r="8" ht="15.75">
      <c r="A8" s="375" t="str">
        <f>CONCATENATE("estimated ",inputPrYr!D9," 'total expenditures' exceed your ",inputPrYr!D9,"")</f>
        <v>estimated 2014 'total expenditures' exceed your 2014</v>
      </c>
    </row>
    <row r="9" ht="15.75">
      <c r="A9" s="378" t="s">
        <v>587</v>
      </c>
    </row>
    <row r="10" ht="15.75">
      <c r="A10" s="375"/>
    </row>
    <row r="11" ht="15.75">
      <c r="A11" s="375" t="s">
        <v>588</v>
      </c>
    </row>
    <row r="12" ht="15.75">
      <c r="A12" s="375" t="s">
        <v>589</v>
      </c>
    </row>
    <row r="13" ht="15.75">
      <c r="A13" s="375" t="s">
        <v>590</v>
      </c>
    </row>
    <row r="14" ht="15.75">
      <c r="A14" s="375"/>
    </row>
    <row r="15" ht="15.75">
      <c r="A15" s="376" t="s">
        <v>591</v>
      </c>
    </row>
    <row r="16" spans="1:7" ht="15.75">
      <c r="A16" s="374"/>
      <c r="B16" s="374"/>
      <c r="C16" s="374"/>
      <c r="D16" s="374"/>
      <c r="E16" s="374"/>
      <c r="F16" s="374"/>
      <c r="G16" s="374"/>
    </row>
    <row r="17" spans="1:8" ht="15.75">
      <c r="A17" s="381" t="s">
        <v>592</v>
      </c>
      <c r="B17" s="373"/>
      <c r="C17" s="373"/>
      <c r="D17" s="373"/>
      <c r="E17" s="373"/>
      <c r="F17" s="373"/>
      <c r="G17" s="373"/>
      <c r="H17" s="373"/>
    </row>
    <row r="18" spans="1:7" ht="15.75">
      <c r="A18" s="375" t="s">
        <v>593</v>
      </c>
      <c r="B18" s="382"/>
      <c r="C18" s="382"/>
      <c r="D18" s="382"/>
      <c r="E18" s="382"/>
      <c r="F18" s="382"/>
      <c r="G18" s="382"/>
    </row>
    <row r="19" ht="15.75">
      <c r="A19" s="375" t="s">
        <v>594</v>
      </c>
    </row>
    <row r="20" ht="15.75">
      <c r="A20" s="375" t="s">
        <v>595</v>
      </c>
    </row>
    <row r="22" ht="15.75">
      <c r="A22" s="376" t="s">
        <v>596</v>
      </c>
    </row>
    <row r="24" ht="15.75">
      <c r="A24" s="375" t="s">
        <v>597</v>
      </c>
    </row>
    <row r="25" ht="15.75">
      <c r="A25" s="375" t="s">
        <v>598</v>
      </c>
    </row>
    <row r="26" ht="15.75">
      <c r="A26" s="375" t="s">
        <v>599</v>
      </c>
    </row>
    <row r="28" ht="15.75">
      <c r="A28" s="376" t="s">
        <v>600</v>
      </c>
    </row>
    <row r="30" ht="15.75">
      <c r="A30" t="s">
        <v>601</v>
      </c>
    </row>
    <row r="31" ht="15.75">
      <c r="A31" t="s">
        <v>602</v>
      </c>
    </row>
    <row r="32" ht="15.75">
      <c r="A32" t="s">
        <v>603</v>
      </c>
    </row>
    <row r="33" ht="15.75">
      <c r="A33" s="375"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75" t="s">
        <v>617</v>
      </c>
    </row>
    <row r="50" ht="15.75">
      <c r="A50" s="375"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72" t="s">
        <v>660</v>
      </c>
      <c r="C6" s="883"/>
      <c r="D6" s="883"/>
      <c r="E6" s="883"/>
      <c r="F6" s="883"/>
      <c r="G6" s="883"/>
      <c r="H6" s="883"/>
      <c r="I6" s="883"/>
      <c r="J6" s="883"/>
      <c r="K6" s="883"/>
      <c r="L6" s="397"/>
    </row>
    <row r="7" spans="1:12" ht="40.5" customHeight="1">
      <c r="A7" s="395"/>
      <c r="B7" s="892" t="s">
        <v>661</v>
      </c>
      <c r="C7" s="893"/>
      <c r="D7" s="893"/>
      <c r="E7" s="893"/>
      <c r="F7" s="893"/>
      <c r="G7" s="893"/>
      <c r="H7" s="893"/>
      <c r="I7" s="893"/>
      <c r="J7" s="893"/>
      <c r="K7" s="893"/>
      <c r="L7" s="395"/>
    </row>
    <row r="8" spans="1:12" ht="13.5">
      <c r="A8" s="395"/>
      <c r="B8" s="885" t="s">
        <v>662</v>
      </c>
      <c r="C8" s="885"/>
      <c r="D8" s="885"/>
      <c r="E8" s="885"/>
      <c r="F8" s="885"/>
      <c r="G8" s="885"/>
      <c r="H8" s="885"/>
      <c r="I8" s="885"/>
      <c r="J8" s="885"/>
      <c r="K8" s="885"/>
      <c r="L8" s="395"/>
    </row>
    <row r="9" spans="1:12" ht="13.5">
      <c r="A9" s="395"/>
      <c r="L9" s="395"/>
    </row>
    <row r="10" spans="1:12" ht="13.5">
      <c r="A10" s="395"/>
      <c r="B10" s="885" t="s">
        <v>663</v>
      </c>
      <c r="C10" s="885"/>
      <c r="D10" s="885"/>
      <c r="E10" s="885"/>
      <c r="F10" s="885"/>
      <c r="G10" s="885"/>
      <c r="H10" s="885"/>
      <c r="I10" s="885"/>
      <c r="J10" s="885"/>
      <c r="K10" s="885"/>
      <c r="L10" s="395"/>
    </row>
    <row r="11" spans="1:12" ht="13.5">
      <c r="A11" s="395"/>
      <c r="B11" s="398"/>
      <c r="C11" s="398"/>
      <c r="D11" s="398"/>
      <c r="E11" s="398"/>
      <c r="F11" s="398"/>
      <c r="G11" s="398"/>
      <c r="H11" s="398"/>
      <c r="I11" s="398"/>
      <c r="J11" s="398"/>
      <c r="K11" s="398"/>
      <c r="L11" s="395"/>
    </row>
    <row r="12" spans="1:12" ht="32.25" customHeight="1">
      <c r="A12" s="395"/>
      <c r="B12" s="873" t="s">
        <v>664</v>
      </c>
      <c r="C12" s="873"/>
      <c r="D12" s="873"/>
      <c r="E12" s="873"/>
      <c r="F12" s="873"/>
      <c r="G12" s="873"/>
      <c r="H12" s="873"/>
      <c r="I12" s="873"/>
      <c r="J12" s="873"/>
      <c r="K12" s="873"/>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75">
        <v>133685008</v>
      </c>
      <c r="G23" s="875"/>
      <c r="L23" s="395"/>
    </row>
    <row r="24" spans="1:12" ht="13.5">
      <c r="A24" s="395"/>
      <c r="L24" s="395"/>
    </row>
    <row r="25" spans="1:12" ht="13.5">
      <c r="A25" s="395"/>
      <c r="C25" s="886">
        <f>F23</f>
        <v>133685008</v>
      </c>
      <c r="D25" s="886"/>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80" t="s">
        <v>661</v>
      </c>
      <c r="C30" s="880"/>
      <c r="D30" s="880"/>
      <c r="E30" s="880"/>
      <c r="F30" s="880"/>
      <c r="G30" s="880"/>
      <c r="H30" s="880"/>
      <c r="I30" s="880"/>
      <c r="J30" s="880"/>
      <c r="K30" s="880"/>
      <c r="L30" s="395"/>
    </row>
    <row r="31" spans="1:12" ht="13.5">
      <c r="A31" s="395"/>
      <c r="B31" s="885" t="s">
        <v>675</v>
      </c>
      <c r="C31" s="885"/>
      <c r="D31" s="885"/>
      <c r="E31" s="885"/>
      <c r="F31" s="885"/>
      <c r="G31" s="885"/>
      <c r="H31" s="885"/>
      <c r="I31" s="885"/>
      <c r="J31" s="885"/>
      <c r="K31" s="885"/>
      <c r="L31" s="395"/>
    </row>
    <row r="32" spans="1:12" ht="13.5">
      <c r="A32" s="395"/>
      <c r="L32" s="395"/>
    </row>
    <row r="33" spans="1:12" ht="13.5">
      <c r="A33" s="395"/>
      <c r="B33" s="885" t="s">
        <v>676</v>
      </c>
      <c r="C33" s="885"/>
      <c r="D33" s="885"/>
      <c r="E33" s="885"/>
      <c r="F33" s="885"/>
      <c r="G33" s="885"/>
      <c r="H33" s="885"/>
      <c r="I33" s="885"/>
      <c r="J33" s="885"/>
      <c r="K33" s="885"/>
      <c r="L33" s="395"/>
    </row>
    <row r="34" spans="1:12" ht="13.5">
      <c r="A34" s="395"/>
      <c r="L34" s="395"/>
    </row>
    <row r="35" spans="1:12" ht="89.25" customHeight="1">
      <c r="A35" s="395"/>
      <c r="B35" s="873" t="s">
        <v>677</v>
      </c>
      <c r="C35" s="878"/>
      <c r="D35" s="878"/>
      <c r="E35" s="878"/>
      <c r="F35" s="878"/>
      <c r="G35" s="878"/>
      <c r="H35" s="878"/>
      <c r="I35" s="878"/>
      <c r="J35" s="878"/>
      <c r="K35" s="878"/>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87">
        <v>3120000</v>
      </c>
      <c r="D41" s="887"/>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75">
        <v>133685008</v>
      </c>
      <c r="C48" s="875"/>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88" t="s">
        <v>685</v>
      </c>
      <c r="H50" s="889"/>
      <c r="I50" s="407" t="s">
        <v>671</v>
      </c>
      <c r="J50" s="417">
        <f>B50/F50</f>
        <v>52.8690023342034</v>
      </c>
      <c r="K50" s="409"/>
      <c r="L50" s="395"/>
    </row>
    <row r="51" spans="1:15" ht="14.25" thickBot="1">
      <c r="A51" s="395"/>
      <c r="B51" s="410"/>
      <c r="C51" s="411"/>
      <c r="D51" s="411"/>
      <c r="E51" s="411"/>
      <c r="F51" s="411"/>
      <c r="G51" s="411"/>
      <c r="H51" s="411"/>
      <c r="I51" s="890" t="s">
        <v>686</v>
      </c>
      <c r="J51" s="890"/>
      <c r="K51" s="891"/>
      <c r="L51" s="395"/>
      <c r="O51" s="418"/>
    </row>
    <row r="52" spans="1:12" ht="40.5" customHeight="1">
      <c r="A52" s="395"/>
      <c r="B52" s="880" t="s">
        <v>661</v>
      </c>
      <c r="C52" s="880"/>
      <c r="D52" s="880"/>
      <c r="E52" s="880"/>
      <c r="F52" s="880"/>
      <c r="G52" s="880"/>
      <c r="H52" s="880"/>
      <c r="I52" s="880"/>
      <c r="J52" s="880"/>
      <c r="K52" s="880"/>
      <c r="L52" s="395"/>
    </row>
    <row r="53" spans="1:12" ht="13.5">
      <c r="A53" s="395"/>
      <c r="B53" s="885" t="s">
        <v>687</v>
      </c>
      <c r="C53" s="885"/>
      <c r="D53" s="885"/>
      <c r="E53" s="885"/>
      <c r="F53" s="885"/>
      <c r="G53" s="885"/>
      <c r="H53" s="885"/>
      <c r="I53" s="885"/>
      <c r="J53" s="885"/>
      <c r="K53" s="885"/>
      <c r="L53" s="395"/>
    </row>
    <row r="54" spans="1:12" ht="13.5">
      <c r="A54" s="395"/>
      <c r="B54" s="398"/>
      <c r="C54" s="398"/>
      <c r="D54" s="398"/>
      <c r="E54" s="398"/>
      <c r="F54" s="398"/>
      <c r="G54" s="398"/>
      <c r="H54" s="398"/>
      <c r="I54" s="398"/>
      <c r="J54" s="398"/>
      <c r="K54" s="398"/>
      <c r="L54" s="395"/>
    </row>
    <row r="55" spans="1:12" ht="13.5">
      <c r="A55" s="395"/>
      <c r="B55" s="872" t="s">
        <v>688</v>
      </c>
      <c r="C55" s="872"/>
      <c r="D55" s="872"/>
      <c r="E55" s="872"/>
      <c r="F55" s="872"/>
      <c r="G55" s="872"/>
      <c r="H55" s="872"/>
      <c r="I55" s="872"/>
      <c r="J55" s="872"/>
      <c r="K55" s="872"/>
      <c r="L55" s="395"/>
    </row>
    <row r="56" spans="1:12" ht="15" customHeight="1">
      <c r="A56" s="395"/>
      <c r="L56" s="395"/>
    </row>
    <row r="57" spans="1:24" ht="74.25" customHeight="1">
      <c r="A57" s="395"/>
      <c r="B57" s="873" t="s">
        <v>689</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75">
        <v>133685008</v>
      </c>
      <c r="D74" s="875"/>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75">
        <v>5000</v>
      </c>
      <c r="D77" s="875"/>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75">
        <v>100000</v>
      </c>
      <c r="D80" s="875"/>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9">
        <f>H80</f>
        <v>11500</v>
      </c>
      <c r="D83" s="879"/>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80" t="s">
        <v>661</v>
      </c>
      <c r="C85" s="880"/>
      <c r="D85" s="880"/>
      <c r="E85" s="880"/>
      <c r="F85" s="880"/>
      <c r="G85" s="880"/>
      <c r="H85" s="880"/>
      <c r="I85" s="880"/>
      <c r="J85" s="880"/>
      <c r="K85" s="880"/>
      <c r="L85" s="395"/>
    </row>
    <row r="86" spans="1:12" ht="13.5">
      <c r="A86" s="395"/>
      <c r="B86" s="872" t="s">
        <v>709</v>
      </c>
      <c r="C86" s="872"/>
      <c r="D86" s="872"/>
      <c r="E86" s="872"/>
      <c r="F86" s="872"/>
      <c r="G86" s="872"/>
      <c r="H86" s="872"/>
      <c r="I86" s="872"/>
      <c r="J86" s="872"/>
      <c r="K86" s="872"/>
      <c r="L86" s="395"/>
    </row>
    <row r="87" spans="1:12" ht="13.5">
      <c r="A87" s="395"/>
      <c r="B87" s="434"/>
      <c r="C87" s="434"/>
      <c r="D87" s="434"/>
      <c r="E87" s="434"/>
      <c r="F87" s="434"/>
      <c r="G87" s="434"/>
      <c r="H87" s="434"/>
      <c r="I87" s="434"/>
      <c r="J87" s="434"/>
      <c r="K87" s="434"/>
      <c r="L87" s="395"/>
    </row>
    <row r="88" spans="1:12" ht="13.5">
      <c r="A88" s="395"/>
      <c r="B88" s="872" t="s">
        <v>710</v>
      </c>
      <c r="C88" s="872"/>
      <c r="D88" s="872"/>
      <c r="E88" s="872"/>
      <c r="F88" s="872"/>
      <c r="G88" s="872"/>
      <c r="H88" s="872"/>
      <c r="I88" s="872"/>
      <c r="J88" s="872"/>
      <c r="K88" s="872"/>
      <c r="L88" s="395"/>
    </row>
    <row r="89" spans="1:12" ht="13.5">
      <c r="A89" s="395"/>
      <c r="B89" s="435"/>
      <c r="C89" s="435"/>
      <c r="D89" s="435"/>
      <c r="E89" s="435"/>
      <c r="F89" s="435"/>
      <c r="G89" s="435"/>
      <c r="H89" s="435"/>
      <c r="I89" s="435"/>
      <c r="J89" s="435"/>
      <c r="K89" s="435"/>
      <c r="L89" s="395"/>
    </row>
    <row r="90" spans="1:12" ht="45" customHeight="1">
      <c r="A90" s="395"/>
      <c r="B90" s="873" t="s">
        <v>711</v>
      </c>
      <c r="C90" s="873"/>
      <c r="D90" s="873"/>
      <c r="E90" s="873"/>
      <c r="F90" s="873"/>
      <c r="G90" s="873"/>
      <c r="H90" s="873"/>
      <c r="I90" s="873"/>
      <c r="J90" s="873"/>
      <c r="K90" s="873"/>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75">
        <v>133685008</v>
      </c>
      <c r="D94" s="875"/>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75">
        <v>50000</v>
      </c>
      <c r="D97" s="875"/>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75">
        <v>2500000</v>
      </c>
      <c r="D100" s="875"/>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9">
        <f>H100</f>
        <v>750000</v>
      </c>
      <c r="D103" s="879"/>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661</v>
      </c>
      <c r="C105" s="881"/>
      <c r="D105" s="881"/>
      <c r="E105" s="881"/>
      <c r="F105" s="881"/>
      <c r="G105" s="881"/>
      <c r="H105" s="881"/>
      <c r="I105" s="881"/>
      <c r="J105" s="881"/>
      <c r="K105" s="881"/>
      <c r="L105" s="395"/>
    </row>
    <row r="106" spans="1:12" ht="15" customHeight="1">
      <c r="A106" s="395"/>
      <c r="B106" s="882" t="s">
        <v>713</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714</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715</v>
      </c>
      <c r="C110" s="878"/>
      <c r="D110" s="878"/>
      <c r="E110" s="878"/>
      <c r="F110" s="878"/>
      <c r="G110" s="878"/>
      <c r="H110" s="878"/>
      <c r="I110" s="878"/>
      <c r="J110" s="878"/>
      <c r="K110" s="878"/>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75">
        <v>133685008</v>
      </c>
      <c r="D114" s="875"/>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75">
        <v>50000</v>
      </c>
      <c r="D117" s="875"/>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75">
        <v>2500000</v>
      </c>
      <c r="D120" s="875"/>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9">
        <f>H120</f>
        <v>625000</v>
      </c>
      <c r="D123" s="879"/>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80" t="s">
        <v>661</v>
      </c>
      <c r="C125" s="880"/>
      <c r="D125" s="880"/>
      <c r="E125" s="880"/>
      <c r="F125" s="880"/>
      <c r="G125" s="880"/>
      <c r="H125" s="880"/>
      <c r="I125" s="880"/>
      <c r="J125" s="880"/>
      <c r="K125" s="880"/>
      <c r="L125" s="449"/>
    </row>
    <row r="126" spans="1:12" ht="13.5">
      <c r="A126" s="395"/>
      <c r="B126" s="872" t="s">
        <v>716</v>
      </c>
      <c r="C126" s="872"/>
      <c r="D126" s="872"/>
      <c r="E126" s="872"/>
      <c r="F126" s="872"/>
      <c r="G126" s="872"/>
      <c r="H126" s="872"/>
      <c r="I126" s="872"/>
      <c r="J126" s="872"/>
      <c r="K126" s="872"/>
      <c r="L126" s="449"/>
    </row>
    <row r="127" spans="1:12" ht="13.5">
      <c r="A127" s="395"/>
      <c r="B127" s="398"/>
      <c r="C127" s="398"/>
      <c r="D127" s="398"/>
      <c r="E127" s="398"/>
      <c r="F127" s="398"/>
      <c r="G127" s="398"/>
      <c r="H127" s="398"/>
      <c r="I127" s="398"/>
      <c r="J127" s="398"/>
      <c r="K127" s="398"/>
      <c r="L127" s="449"/>
    </row>
    <row r="128" spans="1:12" ht="13.5">
      <c r="A128" s="395"/>
      <c r="B128" s="872" t="s">
        <v>717</v>
      </c>
      <c r="C128" s="872"/>
      <c r="D128" s="872"/>
      <c r="E128" s="872"/>
      <c r="F128" s="872"/>
      <c r="G128" s="872"/>
      <c r="H128" s="872"/>
      <c r="I128" s="872"/>
      <c r="J128" s="872"/>
      <c r="K128" s="872"/>
      <c r="L128" s="449"/>
    </row>
    <row r="129" spans="1:12" ht="13.5">
      <c r="A129" s="395"/>
      <c r="B129" s="435"/>
      <c r="C129" s="435"/>
      <c r="D129" s="435"/>
      <c r="E129" s="435"/>
      <c r="F129" s="435"/>
      <c r="G129" s="435"/>
      <c r="H129" s="435"/>
      <c r="I129" s="435"/>
      <c r="J129" s="435"/>
      <c r="K129" s="435"/>
      <c r="L129" s="449"/>
    </row>
    <row r="130" spans="1:12" ht="74.25" customHeight="1">
      <c r="A130" s="395"/>
      <c r="B130" s="873" t="s">
        <v>718</v>
      </c>
      <c r="C130" s="873"/>
      <c r="D130" s="873"/>
      <c r="E130" s="873"/>
      <c r="F130" s="873"/>
      <c r="G130" s="873"/>
      <c r="H130" s="873"/>
      <c r="I130" s="873"/>
      <c r="J130" s="873"/>
      <c r="K130" s="873"/>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74" t="s">
        <v>719</v>
      </c>
      <c r="D133" s="874"/>
      <c r="E133" s="406"/>
      <c r="F133" s="407" t="s">
        <v>720</v>
      </c>
      <c r="G133" s="406"/>
      <c r="H133" s="874" t="s">
        <v>705</v>
      </c>
      <c r="I133" s="874"/>
      <c r="J133" s="406"/>
      <c r="K133" s="409"/>
      <c r="L133" s="395"/>
    </row>
    <row r="134" spans="1:12" ht="13.5">
      <c r="A134" s="395"/>
      <c r="B134" s="415" t="s">
        <v>698</v>
      </c>
      <c r="C134" s="875">
        <v>100000</v>
      </c>
      <c r="D134" s="875"/>
      <c r="E134" s="407" t="s">
        <v>258</v>
      </c>
      <c r="F134" s="407">
        <v>0.115</v>
      </c>
      <c r="G134" s="407" t="s">
        <v>671</v>
      </c>
      <c r="H134" s="867">
        <f>C134*F134</f>
        <v>11500</v>
      </c>
      <c r="I134" s="867"/>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76" t="s">
        <v>705</v>
      </c>
      <c r="D136" s="876"/>
      <c r="E136" s="426"/>
      <c r="F136" s="427" t="s">
        <v>721</v>
      </c>
      <c r="G136" s="427"/>
      <c r="H136" s="426"/>
      <c r="I136" s="426"/>
      <c r="J136" s="426" t="s">
        <v>722</v>
      </c>
      <c r="K136" s="428"/>
      <c r="L136" s="395"/>
    </row>
    <row r="137" spans="1:12" ht="13.5">
      <c r="A137" s="395"/>
      <c r="B137" s="415" t="s">
        <v>701</v>
      </c>
      <c r="C137" s="867">
        <f>H134</f>
        <v>11500</v>
      </c>
      <c r="D137" s="867"/>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64" t="s">
        <v>725</v>
      </c>
      <c r="C144" s="865"/>
      <c r="D144" s="865"/>
      <c r="E144" s="865"/>
      <c r="F144" s="865"/>
      <c r="G144" s="865"/>
      <c r="H144" s="865"/>
      <c r="I144" s="865"/>
      <c r="J144" s="865"/>
      <c r="K144" s="866"/>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67" t="s">
        <v>726</v>
      </c>
      <c r="D147" s="867"/>
      <c r="E147" s="407"/>
      <c r="F147" s="467" t="s">
        <v>727</v>
      </c>
      <c r="G147" s="407"/>
      <c r="H147" s="407"/>
      <c r="I147" s="407"/>
      <c r="J147" s="868" t="s">
        <v>728</v>
      </c>
      <c r="K147" s="869"/>
      <c r="L147" s="395"/>
    </row>
    <row r="148" spans="1:12" ht="13.5">
      <c r="A148" s="395"/>
      <c r="B148" s="415"/>
      <c r="C148" s="870">
        <v>52.869</v>
      </c>
      <c r="D148" s="870"/>
      <c r="E148" s="407" t="s">
        <v>258</v>
      </c>
      <c r="F148" s="472">
        <v>133685008</v>
      </c>
      <c r="G148" s="473" t="s">
        <v>672</v>
      </c>
      <c r="H148" s="407">
        <v>1000</v>
      </c>
      <c r="I148" s="407" t="s">
        <v>671</v>
      </c>
      <c r="J148" s="867">
        <f>C148*(F148/1000)</f>
        <v>7067792.687952</v>
      </c>
      <c r="K148" s="871"/>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1.5">
      <c r="A3" s="489" t="s">
        <v>640</v>
      </c>
    </row>
    <row r="4" ht="15.75">
      <c r="A4" s="490" t="s">
        <v>641</v>
      </c>
    </row>
    <row r="7" ht="31.5">
      <c r="A7" s="489" t="s">
        <v>642</v>
      </c>
    </row>
    <row r="8" ht="15.75">
      <c r="A8" s="490" t="s">
        <v>643</v>
      </c>
    </row>
    <row r="11" ht="15.75">
      <c r="A11" s="488" t="s">
        <v>644</v>
      </c>
    </row>
    <row r="12" ht="15.75">
      <c r="A12" s="490" t="s">
        <v>645</v>
      </c>
    </row>
    <row r="15" ht="15.75">
      <c r="A15" s="488" t="s">
        <v>646</v>
      </c>
    </row>
    <row r="16" ht="15.75">
      <c r="A16" s="490" t="s">
        <v>647</v>
      </c>
    </row>
    <row r="19" ht="15.75">
      <c r="A19" s="488" t="s">
        <v>648</v>
      </c>
    </row>
    <row r="20" ht="15.75">
      <c r="A20" s="490" t="s">
        <v>649</v>
      </c>
    </row>
    <row r="23" ht="15.75">
      <c r="A23" s="488" t="s">
        <v>650</v>
      </c>
    </row>
    <row r="24" ht="15.75">
      <c r="A24" s="490" t="s">
        <v>651</v>
      </c>
    </row>
    <row r="27" ht="15.75">
      <c r="A27" s="488" t="s">
        <v>652</v>
      </c>
    </row>
    <row r="28" ht="15.75">
      <c r="A28" s="490" t="s">
        <v>653</v>
      </c>
    </row>
    <row r="31" ht="15.75">
      <c r="A31" s="488" t="s">
        <v>654</v>
      </c>
    </row>
    <row r="32" ht="15.75">
      <c r="A32" s="490" t="s">
        <v>655</v>
      </c>
    </row>
    <row r="35" ht="15.75">
      <c r="A35" s="488" t="s">
        <v>656</v>
      </c>
    </row>
    <row r="36" ht="15.75">
      <c r="A36" s="490" t="s">
        <v>657</v>
      </c>
    </row>
    <row r="39" ht="15.75">
      <c r="A39" s="488" t="s">
        <v>658</v>
      </c>
    </row>
    <row r="40" ht="15.7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30.7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4" sqref="C14"/>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794</v>
      </c>
    </row>
    <row r="2" spans="1:10" ht="31.5" customHeight="1">
      <c r="A2" s="769" t="s">
        <v>393</v>
      </c>
      <c r="B2" s="770"/>
      <c r="C2" s="770"/>
      <c r="D2" s="770"/>
      <c r="E2" s="770"/>
      <c r="F2" s="770"/>
      <c r="J2" s="568" t="s">
        <v>795</v>
      </c>
    </row>
    <row r="3" ht="15.75">
      <c r="J3" s="568" t="s">
        <v>796</v>
      </c>
    </row>
    <row r="4" spans="1:10" ht="15.75">
      <c r="A4" s="1" t="s">
        <v>806</v>
      </c>
      <c r="B4" s="569" t="s">
        <v>963</v>
      </c>
      <c r="J4" s="568" t="s">
        <v>797</v>
      </c>
    </row>
    <row r="5" spans="1:10" ht="15.75">
      <c r="A5" s="1"/>
      <c r="B5" s="570"/>
      <c r="J5" s="568" t="s">
        <v>798</v>
      </c>
    </row>
    <row r="6" spans="1:10" ht="15.75">
      <c r="A6" s="1" t="s">
        <v>807</v>
      </c>
      <c r="B6" s="569" t="s">
        <v>957</v>
      </c>
      <c r="J6" s="568" t="s">
        <v>799</v>
      </c>
    </row>
    <row r="7" spans="4:10" ht="15.75">
      <c r="D7" s="366"/>
      <c r="J7" s="568" t="s">
        <v>800</v>
      </c>
    </row>
    <row r="8" spans="1:10" ht="15.75">
      <c r="A8" s="214" t="s">
        <v>388</v>
      </c>
      <c r="B8" s="367" t="s">
        <v>964</v>
      </c>
      <c r="C8" s="368"/>
      <c r="D8" s="214" t="s">
        <v>793</v>
      </c>
      <c r="J8" s="568" t="s">
        <v>801</v>
      </c>
    </row>
    <row r="9" spans="1:10" ht="15.75">
      <c r="A9" s="214"/>
      <c r="B9" s="369"/>
      <c r="C9" s="370"/>
      <c r="D9" s="571" t="str">
        <f>IF(B8="","",CONCATENATE("Latest date for notice to be published in your newspaper: ",G19," ",G23,", ",G24))</f>
        <v>Latest date for notice to be published in your newspaper: August 10, 2013</v>
      </c>
      <c r="J9" s="568" t="s">
        <v>802</v>
      </c>
    </row>
    <row r="10" spans="1:10" ht="15.75">
      <c r="A10" s="214" t="s">
        <v>389</v>
      </c>
      <c r="B10" s="367" t="s">
        <v>965</v>
      </c>
      <c r="C10" s="371"/>
      <c r="D10" s="214"/>
      <c r="J10" s="568" t="s">
        <v>803</v>
      </c>
    </row>
    <row r="11" spans="1:10" ht="15.75">
      <c r="A11" s="214"/>
      <c r="B11" s="214"/>
      <c r="C11" s="214"/>
      <c r="D11" s="214"/>
      <c r="J11" s="568" t="s">
        <v>804</v>
      </c>
    </row>
    <row r="12" spans="1:10" ht="15.75">
      <c r="A12" s="214" t="s">
        <v>390</v>
      </c>
      <c r="B12" s="153" t="s">
        <v>966</v>
      </c>
      <c r="C12" s="153"/>
      <c r="D12" s="153"/>
      <c r="E12" s="372"/>
      <c r="J12" s="568" t="s">
        <v>805</v>
      </c>
    </row>
    <row r="13" spans="1:4" ht="15.75">
      <c r="A13" s="214"/>
      <c r="B13" s="214"/>
      <c r="C13" s="214"/>
      <c r="D13" s="214"/>
    </row>
    <row r="14" spans="1:4" ht="15.75">
      <c r="A14" s="214"/>
      <c r="B14" s="214"/>
      <c r="C14" s="214"/>
      <c r="D14" s="214"/>
    </row>
    <row r="15" spans="1:5" ht="15.75">
      <c r="A15" s="214" t="s">
        <v>391</v>
      </c>
      <c r="B15" s="153" t="s">
        <v>958</v>
      </c>
      <c r="C15" s="153"/>
      <c r="D15" s="153"/>
      <c r="E15" s="372"/>
    </row>
    <row r="18" spans="1:5" ht="15.75">
      <c r="A18" s="771" t="s">
        <v>394</v>
      </c>
      <c r="B18" s="771"/>
      <c r="C18" s="214"/>
      <c r="D18" s="214"/>
      <c r="E18" s="214"/>
    </row>
    <row r="19" spans="1:7" ht="15.75">
      <c r="A19" s="214"/>
      <c r="B19" s="214"/>
      <c r="C19" s="214"/>
      <c r="D19" s="214"/>
      <c r="E19" s="214"/>
      <c r="G19" s="568" t="str">
        <f ca="1">IF(B8="","",INDIRECT(G20))</f>
        <v>August</v>
      </c>
    </row>
    <row r="20" spans="1:7" ht="15.75">
      <c r="A20" s="214" t="s">
        <v>388</v>
      </c>
      <c r="B20" s="369" t="s">
        <v>392</v>
      </c>
      <c r="C20" s="214"/>
      <c r="D20" s="214"/>
      <c r="E20" s="214"/>
      <c r="G20" s="572" t="str">
        <f>IF(B8="","",CONCATENATE("J",G22))</f>
        <v>J8</v>
      </c>
    </row>
    <row r="21" spans="1:7" ht="15.75">
      <c r="A21" s="214"/>
      <c r="B21" s="214"/>
      <c r="C21" s="214"/>
      <c r="D21" s="214"/>
      <c r="E21" s="214"/>
      <c r="G21" s="573">
        <f>B8-10</f>
        <v>41496</v>
      </c>
    </row>
    <row r="22" spans="1:7" ht="15.75">
      <c r="A22" s="214" t="s">
        <v>389</v>
      </c>
      <c r="B22" s="214" t="s">
        <v>395</v>
      </c>
      <c r="C22" s="214"/>
      <c r="D22" s="214"/>
      <c r="E22" s="214"/>
      <c r="G22" s="574">
        <f>IF(B8="","",MONTH(G21))</f>
        <v>8</v>
      </c>
    </row>
    <row r="23" spans="1:7" ht="15.75">
      <c r="A23" s="214"/>
      <c r="B23" s="214"/>
      <c r="C23" s="214"/>
      <c r="D23" s="214"/>
      <c r="E23" s="214"/>
      <c r="G23" s="575">
        <f>IF(B8="","",DAY(G21))</f>
        <v>10</v>
      </c>
    </row>
    <row r="24" spans="1:7" ht="15.75">
      <c r="A24" s="214" t="s">
        <v>390</v>
      </c>
      <c r="B24" s="214" t="s">
        <v>396</v>
      </c>
      <c r="C24" s="214"/>
      <c r="D24" s="214"/>
      <c r="E24" s="214"/>
      <c r="G24" s="576">
        <f>IF(B8="","",YEAR(G21))</f>
        <v>2013</v>
      </c>
    </row>
    <row r="25" spans="1:5" ht="15.75">
      <c r="A25" s="214"/>
      <c r="B25" s="214"/>
      <c r="C25" s="214"/>
      <c r="D25" s="214"/>
      <c r="E25" s="214"/>
    </row>
    <row r="26" spans="1:5" ht="15.7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C2" sqref="C2"/>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3" t="s">
        <v>22</v>
      </c>
      <c r="B1" s="783"/>
      <c r="C1" s="783"/>
      <c r="D1" s="783"/>
      <c r="E1" s="783"/>
      <c r="F1" s="783"/>
      <c r="G1" s="65">
        <f>inputPrYr!D9</f>
        <v>2014</v>
      </c>
    </row>
    <row r="2" spans="2:6" s="65" customFormat="1" ht="15">
      <c r="B2" s="66"/>
      <c r="C2" s="66"/>
      <c r="D2" s="66"/>
      <c r="E2" s="66"/>
      <c r="F2" s="67"/>
    </row>
    <row r="3" spans="1:6" s="65" customFormat="1" ht="15.75">
      <c r="A3" s="792" t="str">
        <f>CONCATENATE("To the Clerk of ",inputPrYr!D4,", State of Kansas")</f>
        <v>To the Clerk of JEWELL COUNTY, State of Kansas</v>
      </c>
      <c r="B3" s="779"/>
      <c r="C3" s="779"/>
      <c r="D3" s="779"/>
      <c r="E3" s="779"/>
      <c r="F3" s="779"/>
    </row>
    <row r="4" spans="1:6" s="65" customFormat="1" ht="15.75">
      <c r="A4" s="792" t="s">
        <v>104</v>
      </c>
      <c r="B4" s="794"/>
      <c r="C4" s="794"/>
      <c r="D4" s="794"/>
      <c r="E4" s="794"/>
      <c r="F4" s="794"/>
    </row>
    <row r="5" spans="1:6" s="65" customFormat="1" ht="15.75">
      <c r="A5" s="795" t="str">
        <f>inputPrYr!D3</f>
        <v>Esbon Township</v>
      </c>
      <c r="B5" s="794"/>
      <c r="C5" s="794"/>
      <c r="D5" s="794"/>
      <c r="E5" s="794"/>
      <c r="F5" s="794"/>
    </row>
    <row r="6" spans="1:6" s="65" customFormat="1" ht="15.7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
      <c r="A12" s="72"/>
      <c r="C12" s="70"/>
      <c r="D12" s="73" t="s">
        <v>246</v>
      </c>
      <c r="E12" s="784" t="str">
        <f>CONCATENATE("Amount of ",G1-1," Ad Valorem Tax")</f>
        <v>Amount of 2013 Ad Valorem Tax</v>
      </c>
      <c r="F12" s="74" t="s">
        <v>247</v>
      </c>
    </row>
    <row r="13" spans="3:6" s="65" customFormat="1" ht="15">
      <c r="C13" s="74" t="s">
        <v>248</v>
      </c>
      <c r="D13" s="496" t="s">
        <v>176</v>
      </c>
      <c r="E13" s="785"/>
      <c r="F13" s="76" t="s">
        <v>249</v>
      </c>
    </row>
    <row r="14" spans="1:6" s="65" customFormat="1" ht="15">
      <c r="A14" s="77" t="s">
        <v>250</v>
      </c>
      <c r="B14" s="78"/>
      <c r="C14" s="79" t="s">
        <v>251</v>
      </c>
      <c r="D14" s="497" t="s">
        <v>729</v>
      </c>
      <c r="E14" s="786"/>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f>IF(gen!C61&gt;0,gen!C61,"  ")</f>
        <v>6</v>
      </c>
      <c r="D21" s="577">
        <f>IF(gen!$E$50&lt;&gt;0,gen!$E$50,"  ")</f>
        <v>24832</v>
      </c>
      <c r="E21" s="577">
        <f>IF(gen!$E$57&lt;&gt;0,gen!$E$57,0)</f>
        <v>7250.3499999999985</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24832</v>
      </c>
      <c r="E39" s="580">
        <f>SUM(E21:E38)</f>
        <v>7250.3499999999985</v>
      </c>
      <c r="F39" s="581">
        <f>IF(SUM(F21:F38)&gt;0,SUM(F21:F38),"")</f>
      </c>
    </row>
    <row r="40" spans="1:3" s="65" customFormat="1" ht="15.75" thickTop="1">
      <c r="A40" s="85" t="s">
        <v>118</v>
      </c>
      <c r="B40" s="81"/>
      <c r="C40" s="96">
        <f>summ!C54</f>
        <v>7</v>
      </c>
    </row>
    <row r="41" spans="1:5" s="65" customFormat="1" ht="15">
      <c r="A41" s="80" t="s">
        <v>172</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75">
      <c r="A43" s="80" t="s">
        <v>50</v>
      </c>
      <c r="B43" s="772" t="s">
        <v>76</v>
      </c>
      <c r="C43" s="773"/>
      <c r="D43" s="106"/>
      <c r="F43" s="72" t="s">
        <v>259</v>
      </c>
    </row>
    <row r="44" spans="1:6" s="65" customFormat="1" ht="15.75">
      <c r="A44" s="80" t="str">
        <f>inputPrYr!D3</f>
        <v>Esbon Township</v>
      </c>
      <c r="B44" s="774"/>
      <c r="C44" s="775"/>
      <c r="D44" s="107"/>
      <c r="F44" s="72"/>
    </row>
    <row r="45" spans="1:6" s="65" customFormat="1" ht="15.75">
      <c r="A45" s="80" t="str">
        <f>inputPrYr!D6</f>
        <v>Esbon City</v>
      </c>
      <c r="B45" s="774"/>
      <c r="C45" s="782"/>
      <c r="D45" s="107"/>
      <c r="F45" s="72"/>
    </row>
    <row r="46" spans="1:6" s="65" customFormat="1" ht="15.75">
      <c r="A46" s="80">
        <f>inputPrYr!D7</f>
        <v>0</v>
      </c>
      <c r="B46" s="774"/>
      <c r="C46" s="782"/>
      <c r="D46" s="107"/>
      <c r="F46" s="72"/>
    </row>
    <row r="47" spans="1:6" s="65" customFormat="1" ht="15.75">
      <c r="A47" s="80" t="s">
        <v>183</v>
      </c>
      <c r="B47" s="780">
        <f>SUM(B44:C46)</f>
        <v>0</v>
      </c>
      <c r="C47" s="781"/>
      <c r="D47" s="107"/>
      <c r="F47" s="72"/>
    </row>
    <row r="48" spans="1:6" s="65" customFormat="1" ht="15.75">
      <c r="A48" s="108"/>
      <c r="B48" s="776" t="str">
        <f>CONCATENATE("Nov. 1, ",G1-1," Valuation")</f>
        <v>Nov. 1, 2013 Valuation</v>
      </c>
      <c r="C48" s="777"/>
      <c r="D48" s="106"/>
      <c r="F48" s="72"/>
    </row>
    <row r="49" spans="1:6" s="65" customFormat="1" ht="15">
      <c r="A49" s="108" t="s">
        <v>260</v>
      </c>
      <c r="D49" s="71"/>
      <c r="F49" s="72"/>
    </row>
    <row r="50" spans="1:6" s="65" customFormat="1" ht="15">
      <c r="A50" s="110" t="s">
        <v>959</v>
      </c>
      <c r="D50" s="106"/>
      <c r="E50" s="71"/>
      <c r="F50" s="71"/>
    </row>
    <row r="51" spans="1:2" s="65" customFormat="1" ht="15">
      <c r="A51" s="111"/>
      <c r="B51" s="70"/>
    </row>
    <row r="52" spans="1:6" s="65" customFormat="1" ht="15">
      <c r="A52" s="108" t="s">
        <v>97</v>
      </c>
      <c r="D52" s="71" t="s">
        <v>809</v>
      </c>
      <c r="E52" s="71"/>
      <c r="F52" s="71"/>
    </row>
    <row r="53" spans="1:6" s="65" customFormat="1" ht="15">
      <c r="A53" s="110"/>
      <c r="C53" s="72"/>
      <c r="D53" s="71"/>
      <c r="E53" s="71"/>
      <c r="F53" s="71"/>
    </row>
    <row r="54" spans="1:6" s="65" customFormat="1" ht="15">
      <c r="A54" s="111"/>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75">
      <c r="A61" s="68" t="s">
        <v>262</v>
      </c>
      <c r="B61" s="65"/>
      <c r="C61" s="65"/>
      <c r="D61" s="778" t="s">
        <v>261</v>
      </c>
      <c r="E61" s="779"/>
      <c r="F61" s="779"/>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C25">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Esbon Township</v>
      </c>
      <c r="D1" s="65"/>
      <c r="E1" s="65"/>
      <c r="F1" s="65"/>
      <c r="G1" s="65"/>
      <c r="H1" s="65"/>
      <c r="I1" s="65"/>
      <c r="J1" s="65">
        <f>inputPrYr!D9</f>
        <v>2014</v>
      </c>
    </row>
    <row r="2" spans="1:10" ht="15">
      <c r="A2" s="65"/>
      <c r="B2" s="65"/>
      <c r="C2" s="65"/>
      <c r="D2" s="65"/>
      <c r="E2" s="65"/>
      <c r="F2" s="65"/>
      <c r="G2" s="65"/>
      <c r="H2" s="65"/>
      <c r="I2" s="65"/>
      <c r="J2" s="65"/>
    </row>
    <row r="3" spans="1:10" ht="15">
      <c r="A3" s="797" t="str">
        <f>CONCATENATE("Computation to Determine Limit for ",J1,"")</f>
        <v>Computation to Determine Limit for 2014</v>
      </c>
      <c r="B3" s="783"/>
      <c r="C3" s="783"/>
      <c r="D3" s="783"/>
      <c r="E3" s="783"/>
      <c r="F3" s="783"/>
      <c r="G3" s="783"/>
      <c r="H3" s="783"/>
      <c r="I3" s="783"/>
      <c r="J3" s="783"/>
    </row>
    <row r="4" spans="1:10" ht="15">
      <c r="A4" s="65"/>
      <c r="B4" s="65"/>
      <c r="C4" s="65"/>
      <c r="D4" s="65"/>
      <c r="E4" s="783"/>
      <c r="F4" s="783"/>
      <c r="G4" s="783"/>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7250</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7250</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6028</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83904</v>
      </c>
      <c r="F14" s="264"/>
      <c r="G14" s="190"/>
      <c r="H14" s="190"/>
      <c r="I14" s="268"/>
      <c r="J14" s="190"/>
    </row>
    <row r="15" spans="1:10" ht="15">
      <c r="A15" s="263"/>
      <c r="B15" s="65" t="s">
        <v>40</v>
      </c>
      <c r="C15" s="65" t="str">
        <f>CONCATENATE("Personal Property ",J1-2,"")</f>
        <v>Personal Property 2012</v>
      </c>
      <c r="D15" s="263" t="s">
        <v>35</v>
      </c>
      <c r="E15" s="267">
        <f>inputOth!E31</f>
        <v>82430</v>
      </c>
      <c r="F15" s="264"/>
      <c r="G15" s="268"/>
      <c r="H15" s="268"/>
      <c r="I15" s="190"/>
      <c r="J15" s="190"/>
    </row>
    <row r="16" spans="1:10" ht="15">
      <c r="A16" s="263"/>
      <c r="B16" s="65" t="s">
        <v>41</v>
      </c>
      <c r="C16" s="65" t="s">
        <v>60</v>
      </c>
      <c r="D16" s="65"/>
      <c r="E16" s="190"/>
      <c r="F16" s="190" t="s">
        <v>278</v>
      </c>
      <c r="G16" s="241">
        <f>IF(E14&gt;E15,E14-E15,0)</f>
        <v>1474</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0</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7502</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1928039</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1920537</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0.003906199151591456</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28</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7278</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7278</v>
      </c>
    </row>
    <row r="35" spans="1:10" ht="15.75" thickTop="1">
      <c r="A35" s="65"/>
      <c r="B35" s="65"/>
      <c r="C35" s="65"/>
      <c r="D35" s="65"/>
      <c r="E35" s="65"/>
      <c r="F35" s="65"/>
      <c r="G35" s="65"/>
      <c r="H35" s="65"/>
      <c r="I35" s="65"/>
      <c r="J35" s="65"/>
    </row>
    <row r="36" spans="1:10" s="273" customFormat="1" ht="18">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Esbon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75">
      <c r="A6" s="65"/>
      <c r="B6" s="798" t="s">
        <v>786</v>
      </c>
      <c r="C6" s="779"/>
      <c r="D6" s="779"/>
      <c r="E6" s="779"/>
      <c r="F6" s="779"/>
      <c r="G6" s="779"/>
      <c r="H6" s="779"/>
      <c r="I6" s="779"/>
      <c r="J6" s="779"/>
      <c r="K6" s="779"/>
    </row>
    <row r="7" spans="1:11" ht="15.75">
      <c r="A7" s="65"/>
      <c r="B7" s="783"/>
      <c r="C7" s="799"/>
      <c r="D7" s="799"/>
      <c r="E7" s="799"/>
      <c r="F7" s="799"/>
      <c r="G7" s="799"/>
      <c r="H7" s="799"/>
      <c r="I7" s="799"/>
      <c r="J7" s="799"/>
      <c r="K7" s="799"/>
    </row>
    <row r="8" spans="1:11" ht="15">
      <c r="A8" s="65"/>
      <c r="B8" s="65"/>
      <c r="C8" s="227"/>
      <c r="D8" s="227"/>
      <c r="E8" s="227"/>
      <c r="F8" s="227"/>
      <c r="G8" s="228"/>
      <c r="H8" s="66"/>
      <c r="I8" s="66"/>
      <c r="J8" s="65"/>
      <c r="K8" s="65"/>
    </row>
    <row r="9" spans="1:11" ht="21" customHeight="1">
      <c r="A9" s="65"/>
      <c r="B9" s="249" t="s">
        <v>787</v>
      </c>
      <c r="C9" s="229"/>
      <c r="D9" s="562" t="s">
        <v>788</v>
      </c>
      <c r="E9" s="800" t="str">
        <f>CONCATENATE("Budget Tax Levy Rate for ",K1-1,"")</f>
        <v>Budget Tax Levy Rate for 2013</v>
      </c>
      <c r="F9" s="83"/>
      <c r="G9" s="802" t="str">
        <f>CONCATENATE("Allocation for Year ",K1,"")</f>
        <v>Allocation for Year 2014</v>
      </c>
      <c r="H9" s="803"/>
      <c r="I9" s="803"/>
      <c r="J9" s="804"/>
      <c r="K9" s="211"/>
    </row>
    <row r="10" spans="1:11" ht="15">
      <c r="A10" s="65"/>
      <c r="B10" s="561" t="str">
        <f>CONCATENATE("for ",K1-1,"")</f>
        <v>for 2013</v>
      </c>
      <c r="C10" s="231"/>
      <c r="D10" s="120" t="str">
        <f>CONCATENATE("Amount for ",K1,"")</f>
        <v>Amount for 2014</v>
      </c>
      <c r="E10" s="801"/>
      <c r="F10" s="79"/>
      <c r="G10" s="79" t="s">
        <v>30</v>
      </c>
      <c r="H10" s="79"/>
      <c r="I10" s="79" t="s">
        <v>31</v>
      </c>
      <c r="J10" s="83" t="s">
        <v>73</v>
      </c>
      <c r="K10" s="211"/>
    </row>
    <row r="11" spans="1:11" ht="15">
      <c r="A11" s="65"/>
      <c r="B11" s="90" t="str">
        <f>inputPrYr!B20</f>
        <v>General</v>
      </c>
      <c r="C11" s="232"/>
      <c r="D11" s="90">
        <f>IF(inputPrYr!E20&gt;0,inputPrYr!E20,"  ")</f>
        <v>7250</v>
      </c>
      <c r="E11" s="233">
        <f>IF(inputOth!D37&gt;0,inputOth!D37,"  ")</f>
        <v>3.991</v>
      </c>
      <c r="F11" s="234"/>
      <c r="G11" s="90">
        <f>IF(inputPrYr!E20=0,0,G25-SUM(G12:G22))</f>
        <v>806</v>
      </c>
      <c r="H11" s="235"/>
      <c r="I11" s="90">
        <f>IF(inputPrYr!E20=0,0,I27-SUM(I12:I22))</f>
        <v>19</v>
      </c>
      <c r="J11" s="90">
        <f>IF(inputPrYr!E20=0,0,J29-SUM(J12:J22))</f>
        <v>139</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7250</v>
      </c>
      <c r="E23" s="238">
        <f>SUM(E11:E22)</f>
        <v>3.991</v>
      </c>
      <c r="F23" s="239"/>
      <c r="G23" s="237">
        <f t="shared" si="0"/>
        <v>806</v>
      </c>
      <c r="H23" s="237"/>
      <c r="I23" s="237">
        <f t="shared" si="0"/>
        <v>19</v>
      </c>
      <c r="J23" s="237">
        <f t="shared" si="0"/>
        <v>139</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806</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19</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139</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0.11117241379310344</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0.002620689655172414</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0.019172413793103447</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Esbon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0</v>
      </c>
      <c r="D27" s="261">
        <f>SUM(D10:D26)</f>
        <v>0</v>
      </c>
      <c r="E27" s="261">
        <f>SUM(E10:E26)</f>
        <v>0</v>
      </c>
      <c r="F27" s="192"/>
    </row>
    <row r="28" spans="1:6" ht="15">
      <c r="A28" s="192"/>
      <c r="B28" s="88" t="s">
        <v>627</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75">
      <c r="A2" s="113"/>
    </row>
    <row r="3" ht="15.75">
      <c r="A3" s="113"/>
    </row>
    <row r="4" ht="52.5" customHeight="1">
      <c r="A4" s="217" t="s">
        <v>370</v>
      </c>
    </row>
    <row r="5" ht="15.75">
      <c r="A5" s="113"/>
    </row>
    <row r="6" ht="15.75">
      <c r="A6" s="113"/>
    </row>
    <row r="7" ht="70.5" customHeight="1">
      <c r="A7" s="217" t="s">
        <v>371</v>
      </c>
    </row>
    <row r="8" ht="15.75">
      <c r="A8" s="358"/>
    </row>
    <row r="9" ht="15.75">
      <c r="A9" s="113"/>
    </row>
    <row r="10" ht="56.25" customHeight="1">
      <c r="A10" s="217" t="s">
        <v>372</v>
      </c>
    </row>
    <row r="11" ht="15.75">
      <c r="A11" s="358"/>
    </row>
    <row r="12" ht="15.75">
      <c r="A12" s="358"/>
    </row>
    <row r="13" ht="57.75" customHeight="1">
      <c r="A13" s="217" t="s">
        <v>373</v>
      </c>
    </row>
    <row r="14" ht="15.75">
      <c r="A14" s="358"/>
    </row>
    <row r="15" ht="15.75">
      <c r="A15" s="358"/>
    </row>
    <row r="16" ht="87.75" customHeight="1">
      <c r="A16" s="217" t="s">
        <v>374</v>
      </c>
    </row>
    <row r="17" ht="15.75">
      <c r="A17" s="358"/>
    </row>
    <row r="18" ht="15.75">
      <c r="A18" s="113"/>
    </row>
    <row r="19" ht="54.75" customHeight="1">
      <c r="A19" s="217" t="s">
        <v>375</v>
      </c>
    </row>
    <row r="20" ht="15.75">
      <c r="A20" s="113"/>
    </row>
    <row r="21" ht="15.75">
      <c r="A21" s="113"/>
    </row>
    <row r="22" ht="69" customHeight="1">
      <c r="A22" s="217" t="s">
        <v>376</v>
      </c>
    </row>
    <row r="23" ht="15.75">
      <c r="A23" s="113"/>
    </row>
    <row r="24" ht="15.75">
      <c r="A24" s="360"/>
    </row>
    <row r="25" ht="47.25" customHeight="1">
      <c r="A25" s="361" t="s">
        <v>377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2012-02-06T21:25:33Z</cp:lastPrinted>
  <dcterms:created xsi:type="dcterms:W3CDTF">1998-08-26T16:30:41Z</dcterms:created>
  <dcterms:modified xsi:type="dcterms:W3CDTF">2013-07-10T20:31:43Z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