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<sst xmlns="http://schemas.openxmlformats.org/spreadsheetml/2006/main" count="1690" uniqueCount="959">
  <si>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</si>
  <si>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</si>
  <si>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</si>
  <si>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</si>
  <si>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</si>
  <si>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</si>
  <si>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</si>
  <si>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</si>
  <si>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</si>
  <si>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</si>
  <si>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</si>
  <si>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</si>
  <si>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</si>
  <si>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</si>
  <si>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</si>
  <si>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</si>
  <si>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</si>
  <si>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</si>
  <si>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</si>
  <si>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</si>
  <si>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</si>
  <si>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</si>
  <si>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</si>
  <si>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</si>
  <si>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</si>
  <si>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</si>
  <si>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</si>
  <si>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</si>
  <si>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</si>
  <si>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</si>
  <si>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</si>
  <si>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</si>
  <si>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</si>
  <si>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</si>
  <si>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</si>
  <si>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</si>
  <si>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</si>
  <si>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</si>
  <si>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</si>
  <si>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</si>
  <si>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</si>
  <si>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</si>
  <si>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</si>
  <si>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</si>
  <si>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</si>
  <si>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</si>
  <si>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</si>
  <si>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</si>
  <si>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</si>
  <si>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</si>
  <si>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</si>
  <si>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</si>
  <si>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</si>
  <si>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</si>
  <si>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</si>
  <si>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</si>
  <si>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</si>
  <si>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</si>
  <si>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</si>
  <si>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</si>
  <si>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</si>
  <si>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</si>
  <si>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</si>
  <si>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</si>
  <si>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</si>
  <si>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</si>
  <si>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</si>
  <si>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</si>
  <si>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</si>
  <si>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</si>
  <si>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</si>
  <si>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</si>
  <si>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</si>
  <si>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</si>
  <si>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</si>
  <si>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</si>
  <si>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</si>
  <si>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</si>
  <si>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</si>
  <si>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</si>
  <si>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</si>
  <si>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</si>
  <si>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</si>
  <si>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</si>
  <si>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</si>
  <si>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</si>
  <si>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</si>
  <si>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</si>
  <si>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</si>
  <si>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</si>
  <si>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</si>
  <si>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</si>
  <si>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</si>
  <si>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</si>
  <si>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</si>
  <si>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</si>
  <si>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</si>
  <si>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</si>
  <si>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</si>
  <si>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</si>
  <si>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</si>
  <si>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</si>
  <si>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</si>
  <si>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</si>
  <si>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</si>
  <si>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</si>
  <si>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</si>
  <si>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</si>
  <si>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</si>
  <si>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</si>
  <si>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</si>
  <si>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</si>
  <si>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</si>
  <si>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</si>
  <si>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</si>
  <si>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</si>
  <si>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</si>
  <si>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</si>
  <si>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</si>
  <si>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</si>
  <si>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</si>
  <si>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</si>
  <si>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</si>
  <si>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</si>
  <si>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</si>
  <si>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</si>
  <si>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</si>
  <si>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</si>
  <si>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</si>
  <si>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</si>
  <si>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</si>
  <si>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</si>
  <si>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</si>
  <si>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</si>
  <si>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</si>
  <si>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</si>
  <si>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</si>
  <si>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</si>
  <si>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</si>
  <si>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</si>
  <si>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</si>
  <si>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</si>
  <si>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</si>
  <si>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</si>
  <si>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</si>
  <si>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</si>
  <si>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</si>
  <si>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</si>
  <si>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</si>
  <si>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</si>
  <si>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</si>
  <si>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</si>
  <si>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</si>
  <si>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</si>
  <si>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</si>
  <si>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</si>
  <si>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</si>
  <si>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</si>
  <si>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</si>
  <si>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</si>
  <si>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</si>
  <si>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</si>
  <si>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</si>
  <si>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</si>
  <si>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</si>
  <si>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</si>
  <si>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</si>
  <si>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</si>
  <si>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</si>
  <si>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</si>
  <si>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</si>
  <si>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</si>
  <si>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</si>
  <si>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</si>
  <si>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</si>
  <si>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</si>
  <si>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</si>
  <si>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</si>
  <si>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</si>
  <si>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</si>
  <si>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</si>
  <si>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</si>
  <si>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</si>
  <si>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</si>
  <si>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</si>
  <si>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</si>
  <si>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</si>
  <si>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</si>
  <si>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</si>
  <si>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</si>
  <si>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</si>
  <si>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</si>
  <si>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</si>
  <si>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</si>
  <si>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</si>
  <si>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</si>
  <si>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</si>
  <si>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</si>
  <si>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</si>
  <si>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</si>
  <si>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</si>
  <si>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</si>
  <si>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</si>
  <si>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</si>
  <si>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</si>
  <si>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</si>
  <si>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</si>
  <si>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</si>
  <si>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</si>
  <si>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</si>
  <si>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</si>
  <si>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</si>
  <si>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</si>
  <si>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</si>
  <si>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</si>
  <si>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</si>
  <si>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</si>
  <si>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</si>
  <si>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</si>
  <si>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</si>
  <si>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</si>
  <si>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</si>
  <si>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</si>
  <si>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</si>
  <si>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</si>
  <si>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</si>
  <si>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</si>
  <si>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</si>
  <si>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</si>
  <si>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</si>
  <si>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</si>
  <si>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</si>
  <si>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</si>
  <si>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</si>
  <si>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</si>
  <si>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</si>
  <si>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</si>
  <si>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</si>
  <si>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</si>
  <si>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</si>
  <si>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</si>
  <si>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</si>
  <si>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</si>
  <si>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</si>
  <si>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</si>
  <si>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</si>
  <si>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</si>
  <si>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</si>
  <si>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</si>
  <si>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</si>
  <si>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</si>
  <si>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</si>
  <si>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</si>
  <si>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</si>
  <si>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</si>
  <si>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</si>
  <si>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</si>
  <si>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</si>
  <si>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</si>
  <si>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</si>
  <si>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</si>
  <si>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</si>
  <si>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</si>
  <si>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</si>
  <si>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</si>
  <si>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</si>
  <si>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</si>
  <si>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</si>
  <si>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</si>
  <si>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</si>
  <si>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</si>
  <si>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</si>
  <si>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</si>
  <si>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</si>
  <si>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</si>
  <si>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</si>
  <si>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</si>
  <si>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</si>
  <si>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</si>
  <si>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</si>
  <si>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</si>
  <si>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</si>
  <si>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</si>
  <si>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</si>
  <si>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</si>
  <si>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</si>
  <si>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</si>
  <si>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</si>
  <si>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</si>
  <si>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</si>
  <si>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</si>
  <si>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</si>
  <si>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</si>
  <si>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</si>
  <si>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</si>
  <si>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</si>
  <si>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</si>
  <si>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</si>
  <si>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</si>
  <si>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</si>
  <si>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</si>
  <si>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</si>
  <si>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</si>
  <si>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</si>
  <si>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</si>
  <si>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</si>
  <si>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</si>
  <si>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</si>
  <si>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</si>
  <si>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</si>
  <si>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</si>
  <si>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</si>
  <si>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</si>
  <si>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</si>
  <si>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</si>
  <si>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</si>
  <si>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</si>
  <si>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</si>
  <si>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</si>
  <si>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</si>
  <si>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</si>
  <si>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</si>
  <si>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</si>
  <si>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</si>
  <si>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</si>
  <si>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</si>
  <si>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</si>
  <si>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</si>
  <si>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</si>
  <si>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</si>
  <si>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</si>
  <si>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</si>
  <si>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</si>
  <si>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</si>
  <si>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</si>
  <si>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</si>
  <si>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</si>
  <si>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</si>
  <si>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</si>
  <si>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</si>
  <si>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</si>
  <si>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</si>
  <si>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</si>
  <si>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</si>
  <si>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</si>
  <si>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</si>
  <si>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</si>
  <si>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</si>
  <si>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</si>
  <si>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</si>
  <si>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</si>
  <si>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</si>
  <si>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</si>
  <si>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</si>
  <si>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</si>
  <si>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</si>
  <si>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</si>
  <si>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</si>
  <si>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</si>
  <si>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</si>
  <si>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</si>
  <si>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</si>
  <si>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</si>
  <si>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</si>
  <si>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</si>
  <si>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</si>
  <si>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</si>
  <si>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</si>
  <si>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</si>
  <si>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</si>
  <si>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</si>
  <si>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</si>
  <si>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</si>
  <si>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</si>
  <si>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</si>
  <si>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</si>
  <si>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</si>
  <si>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</si>
  <si>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</si>
  <si>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</si>
  <si>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</si>
  <si>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</si>
  <si>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</si>
  <si>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</si>
  <si>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</si>
  <si>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</si>
  <si>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</si>
  <si>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</si>
  <si>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</si>
  <si>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</si>
  <si>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</si>
  <si>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</si>
  <si>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</si>
  <si>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</si>
  <si>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</si>
  <si>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</si>
  <si>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</si>
  <si>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</si>
  <si>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</si>
  <si>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</si>
  <si>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</si>
  <si>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</si>
  <si>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</si>
  <si>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</si>
  <si>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</si>
  <si>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</si>
  <si>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</si>
  <si>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</si>
  <si>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</si>
  <si>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</si>
  <si>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</si>
  <si>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</si>
  <si>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</si>
  <si>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</si>
  <si>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</si>
  <si>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</si>
  <si>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</si>
  <si>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</si>
  <si>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</si>
  <si>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</si>
  <si>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</si>
  <si>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</si>
  <si>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</si>
  <si>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</si>
  <si>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</si>
  <si>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</si>
  <si>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</si>
  <si>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</si>
  <si>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</si>
  <si>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</si>
  <si>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</si>
  <si>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</si>
  <si>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</si>
  <si>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</si>
  <si>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</si>
  <si>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</si>
  <si>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</si>
  <si>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</si>
  <si>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</si>
  <si>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</si>
  <si>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</si>
  <si>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</si>
  <si>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</si>
  <si>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</si>
  <si>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</si>
  <si>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</si>
  <si>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</si>
  <si>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</si>
  <si>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</si>
  <si>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</si>
  <si>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</si>
  <si>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</si>
  <si>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</si>
  <si>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</si>
  <si>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</si>
  <si>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</si>
  <si>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</si>
  <si>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</si>
  <si>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</si>
  <si>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</si>
  <si>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</si>
  <si>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</si>
  <si>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</si>
  <si>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</si>
  <si>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</si>
  <si>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</si>
  <si>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</si>
  <si>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</si>
  <si>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</si>
  <si>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</si>
  <si>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</si>
  <si>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</si>
  <si>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</si>
  <si>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</si>
  <si>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</si>
  <si>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</si>
  <si>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</si>
  <si>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</si>
  <si>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</si>
  <si>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</si>
  <si>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</si>
  <si>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</si>
  <si>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</si>
  <si>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</si>
  <si>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</si>
  <si>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</si>
  <si>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</si>
  <si>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</si>
  <si>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</si>
  <si>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</si>
  <si>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</si>
  <si>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</si>
  <si>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</si>
  <si>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</si>
  <si>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</si>
  <si>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</si>
  <si>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</si>
  <si>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</si>
  <si>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</si>
  <si>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</si>
  <si>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</si>
  <si>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</si>
  <si>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</si>
  <si>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</si>
  <si>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</si>
  <si>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</si>
  <si>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</si>
  <si>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</si>
  <si>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</si>
  <si>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</si>
  <si>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</si>
  <si>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</si>
  <si>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</si>
  <si>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</si>
  <si>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</si>
  <si>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</si>
  <si>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</si>
  <si>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</si>
  <si>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</si>
  <si>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</si>
  <si>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</si>
  <si>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</si>
  <si>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</si>
  <si>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</si>
  <si>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</si>
  <si>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</si>
  <si>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</si>
  <si>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</si>
  <si>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</si>
  <si>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</si>
  <si>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</si>
  <si>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</si>
  <si>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</si>
  <si>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</si>
  <si>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</si>
  <si>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</si>
  <si>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</si>
  <si>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</si>
  <si>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</si>
  <si>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</si>
  <si>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</si>
  <si>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</si>
  <si>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</si>
  <si>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</si>
  <si>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</si>
  <si>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</si>
  <si>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</si>
  <si>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</si>
  <si>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</si>
  <si>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</si>
  <si>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</si>
  <si>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</si>
  <si>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</si>
  <si>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</si>
  <si>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</si>
  <si>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</si>
  <si>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</si>
  <si>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</si>
  <si>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</si>
  <si>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</si>
  <si>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</si>
  <si>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</si>
  <si>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</si>
  <si>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</si>
  <si>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</si>
  <si>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</si>
  <si>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</si>
  <si>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</si>
  <si>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</si>
  <si>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</si>
  <si>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</si>
  <si>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</si>
  <si>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</si>
  <si>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</si>
  <si>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</si>
  <si>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</si>
  <si>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</si>
  <si>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</si>
  <si>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</si>
  <si>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</si>
  <si>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</si>
  <si>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</si>
  <si>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</si>
  <si>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</si>
  <si>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</si>
  <si>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</si>
  <si>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</si>
  <si>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</si>
  <si>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</si>
  <si>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</si>
  <si>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</si>
  <si>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</si>
  <si>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</si>
  <si>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</si>
  <si>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</si>
  <si>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</si>
  <si>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</si>
  <si>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</si>
  <si>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</si>
  <si>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</si>
  <si>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</si>
  <si>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</si>
  <si>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</si>
  <si>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</si>
  <si>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</si>
  <si>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</si>
  <si>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</si>
  <si>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</si>
  <si>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</si>
  <si>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</si>
  <si>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</si>
  <si>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</si>
  <si>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</si>
  <si>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</si>
  <si>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</si>
  <si>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</si>
  <si>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</si>
  <si>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</si>
  <si>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</si>
  <si>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</si>
  <si>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</si>
  <si>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</si>
  <si>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</si>
  <si>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</si>
  <si>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</si>
  <si>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</si>
  <si>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</si>
  <si>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</si>
  <si>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</si>
  <si>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</si>
  <si>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</si>
  <si>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</si>
  <si>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</si>
  <si>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</si>
  <si>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</si>
  <si>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</si>
  <si>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</si>
  <si>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</si>
  <si>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</si>
  <si>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</si>
  <si>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</si>
  <si>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</si>
  <si>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</si>
  <si>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</si>
  <si>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</si>
  <si>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</si>
  <si>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</si>
  <si>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</si>
  <si>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</si>
  <si>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</si>
  <si>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</si>
  <si>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</si>
  <si>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</si>
  <si>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</si>
  <si>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</si>
  <si>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</si>
  <si>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</si>
  <si>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</si>
  <si>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</si>
  <si>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</si>
  <si>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</si>
  <si>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</si>
  <si>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</si>
  <si>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</si>
  <si>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</si>
  <si>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</si>
  <si>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</si>
  <si>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</si>
  <si>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</si>
  <si>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</si>
  <si>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</si>
  <si>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</si>
  <si>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</si>
  <si>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</si>
  <si>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</si>
  <si>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</si>
  <si>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</si>
  <si>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</si>
  <si>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</si>
  <si>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</si>
  <si>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</si>
  <si>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</si>
  <si>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</si>
  <si>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</si>
  <si>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</si>
  <si>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</si>
  <si>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</si>
  <si>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</si>
  <si>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</si>
  <si>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</si>
  <si>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</si>
  <si>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</si>
  <si>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</si>
  <si>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</si>
  <si>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</si>
  <si>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</si>
  <si>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</si>
  <si>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</si>
  <si>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</si>
  <si>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</si>
  <si>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</si>
  <si>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</si>
  <si>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</si>
  <si>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</si>
  <si>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</si>
  <si>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</si>
  <si>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</si>
  <si>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</si>
  <si>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</si>
  <si>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</si>
  <si>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</si>
  <si>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</si>
  <si>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</si>
  <si>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</si>
  <si>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</si>
  <si>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</si>
  <si>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</si>
  <si>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</si>
  <si>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</si>
  <si>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</si>
  <si>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</si>
  <si>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</si>
  <si>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</si>
  <si>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</si>
  <si>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</si>
  <si>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</si>
  <si>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</si>
  <si>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</si>
  <si>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</si>
  <si>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</si>
  <si>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</si>
  <si>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</si>
  <si>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</si>
  <si>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</si>
  <si>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</si>
  <si>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</si>
  <si>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</si>
  <si>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</si>
  <si>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</si>
  <si>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</si>
  <si>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</si>
  <si>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</si>
  <si>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</si>
  <si>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</si>
  <si>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</si>
  <si>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</si>
  <si>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</si>
  <si>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</si>
  <si>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</si>
  <si>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</si>
  <si>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</si>
  <si>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</si>
  <si>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</si>
  <si>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</si>
  <si>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</si>
  <si>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</si>
  <si>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</si>
  <si>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</si>
  <si>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</si>
  <si>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</si>
  <si>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</si>
  <si>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</si>
  <si>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</si>
  <si>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</si>
  <si>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</si>
  <si>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</si>
  <si>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</si>
  <si>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</si>
  <si>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</si>
  <si>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</si>
  <si>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</si>
  <si>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</si>
  <si>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</si>
  <si>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</si>
  <si>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</si>
  <si>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</si>
  <si>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</si>
  <si>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</si>
  <si>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</si>
  <si>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</si>
  <si>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</si>
  <si>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</si>
  <si>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</si>
  <si>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</si>
  <si>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</si>
  <si>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</si>
  <si>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</si>
  <si>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</si>
  <si>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</si>
  <si>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</si>
  <si>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</si>
  <si>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</si>
  <si>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</si>
  <si>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</si>
  <si>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</si>
  <si>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</si>
  <si>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</si>
  <si>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</si>
  <si>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</si>
  <si>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</si>
  <si>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</si>
  <si>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</si>
  <si>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</si>
  <si>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</si>
  <si>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</si>
  <si>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</si>
  <si>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</si>
  <si>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</si>
  <si>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</si>
  <si>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</si>
  <si>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</si>
  <si>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</si>
  <si>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</si>
  <si>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</si>
  <si>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</si>
  <si>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</si>
  <si>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</si>
  <si>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</si>
  <si>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</si>
  <si>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</si>
  <si>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</si>
  <si>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</si>
  <si>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</si>
  <si>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</si>
  <si>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</si>
  <si>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</si>
  <si>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</si>
  <si>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</si>
  <si>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</si>
  <si>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</si>
  <si>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</si>
  <si>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</si>
  <si>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</si>
  <si>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</si>
  <si>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</si>
  <si>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</si>
  <si>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</si>
  <si>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</si>
  <si>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</si>
  <si>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</si>
  <si>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</si>
  <si>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</si>
  <si>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</si>
  <si>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</si>
  <si>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</si>
  <si>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</si>
  <si>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</si>
  <si>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</si>
  <si>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</si>
  <si>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</si>
  <si>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</si>
  <si>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</si>
  <si>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</si>
  <si>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</si>
  <si>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</si>
  <si>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</si>
  <si>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</si>
  <si>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</si>
  <si>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</si>
  <si>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</si>
  <si>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</si>
  <si>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</si>
  <si>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</si>
  <si>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</si>
  <si>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</si>
  <si>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</si>
  <si>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</si>
  <si>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</si>
  <si>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</si>
  <si>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</si>
  <si>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</si>
  <si>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</si>
  <si>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</si>
  <si>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</si>
  <si>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</si>
  <si>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</si>
  <si>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</si>
  <si>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</si>
  <si>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</si>
  <si>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</si>
  <si>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</si>
  <si>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</si>
  <si>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</si>
  <si>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</si>
  <si>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</si>
  <si>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</si>
  <si>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</si>
  <si>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</si>
  <si>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</si>
  <si>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</si>
  <si>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</si>
  <si>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</si>
  <si>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</si>
  <si>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</si>
  <si>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</si>
  <si>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</si>
  <si>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</si>
  <si>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</si>
  <si>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</si>
  <si>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</si>
  <si>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</si>
  <si>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</si>
  <si>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</si>
  <si>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</si>
  <si>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</si>
  <si>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</si>
  <si>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</si>
  <si>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</si>
  <si>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</si>
  <si>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</si>
  <si>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</si>
  <si>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</si>
  <si>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</si>
  <si>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</si>
  <si>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</si>
  <si>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</si>
  <si>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</si>
  <si>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</si>
  <si>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</si>
  <si>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</si>
  <si>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</si>
  <si>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</si>
  <si>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</si>
  <si>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</si>
  <si>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</si>
  <si>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</si>
  <si>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</si>
  <si>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</si>
  <si>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</si>
  <si>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</si>
  <si>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</si>
  <si>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</si>
  <si>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</si>
  <si>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</si>
  <si>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</si>
  <si>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</si>
  <si>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</si>
  <si>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</si>
  <si>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</si>
  <si>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SALEM TOWNSHIP</t>
  </si>
  <si>
    <t>GREENWOOD COUNTY</t>
  </si>
  <si>
    <t>Publications</t>
  </si>
  <si>
    <t>Accounting</t>
  </si>
  <si>
    <t>Westar Energy</t>
  </si>
  <si>
    <t>SpecialMachinery</t>
  </si>
  <si>
    <t>SALEM  TOWNSHIP</t>
  </si>
  <si>
    <t>GREENWOOD  COUNTY</t>
  </si>
  <si>
    <t>AUGUST 5, 2013</t>
  </si>
  <si>
    <t>7:00  PM</t>
  </si>
  <si>
    <t>Residence Barney Nordmeyer</t>
  </si>
  <si>
    <t>Residence of Barney Nordmeyer</t>
  </si>
  <si>
    <t>Reimbursements</t>
  </si>
  <si>
    <t>Reimbursement  Expenses</t>
  </si>
  <si>
    <t>Reimbursed Expenses</t>
  </si>
  <si>
    <t>DEANNA M. SMITH, EA</t>
  </si>
  <si>
    <t>DEANNA SMITH ACCOUNTING</t>
  </si>
  <si>
    <t>PO BOX 427</t>
  </si>
  <si>
    <t>MADISON,  KS   6686</t>
  </si>
  <si>
    <t>dee_acc@Yahoo.com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</si>
</sst>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SALEM TOWNSHIP</v>
      </c>
      <c r="C1" s="242"/>
      <c r="D1" s="242"/>
      <c r="E1" s="242"/>
      <c r="F1" s="242"/>
      <c r="G1" s="242"/>
      <c r="H1" s="242"/>
      <c r="I1" s="242"/>
      <c r="J1" s="124"/>
      <c r="K1" s="124"/>
      <c r="L1" s="191">
        <f>inputPrYr!D5</f>
        <v>2014</v>
      </c>
    </row>
    <row r="2" spans="2:12" ht="15.75">
      <c r="B2" s="241" t="str">
        <f>inputPrYr!$D$3</f>
        <v>GREENWOOD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2013</v>
      </c>
      <c r="J6" s="250"/>
      <c r="K6" s="249">
        <f>L1</f>
        <v>2014</v>
      </c>
      <c r="L6" s="250"/>
    </row>
    <row r="7" spans="2:12" ht="15.7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2014</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SALEM TOWNSHIP</v>
      </c>
      <c r="C7" s="603"/>
      <c r="D7" s="603"/>
      <c r="E7" s="603"/>
      <c r="F7" s="603"/>
      <c r="G7" s="603"/>
      <c r="H7" s="603"/>
      <c r="I7" s="603"/>
    </row>
    <row r="8" spans="2:9" ht="15.75">
      <c r="B8" s="604" t="str">
        <f>inputPrYr!D3</f>
        <v>GREENWOOD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1730242</v>
      </c>
      <c r="F27" s="603"/>
      <c r="G27" s="608">
        <f>summ!G41</f>
        <v>1846035</v>
      </c>
      <c r="H27" s="603"/>
      <c r="I27" s="603"/>
    </row>
    <row r="28" spans="2:9" ht="15.75">
      <c r="B28" s="603" t="s">
        <v>776</v>
      </c>
      <c r="C28" s="603"/>
      <c r="D28" s="603"/>
      <c r="E28" s="613" t="str">
        <f>IF(G27-E27&gt;=0,"No","Yes")</f>
        <v>No</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C36">
      <selection activeCell="E37" sqref="E3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SALEM TOWNSHIP</v>
      </c>
      <c r="C1" s="124"/>
      <c r="D1" s="124"/>
      <c r="E1" s="191">
        <f>inputPrYr!D5</f>
        <v>2014</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120</v>
      </c>
      <c r="C6" s="284">
        <v>174</v>
      </c>
      <c r="D6" s="426">
        <f>C51</f>
        <v>104</v>
      </c>
      <c r="E6" s="263">
        <f>D51</f>
        <v>0</v>
      </c>
    </row>
    <row r="7" spans="2:5" ht="15.75">
      <c r="B7" s="137" t="s">
        <v>122</v>
      </c>
      <c r="C7" s="426"/>
      <c r="D7" s="426"/>
      <c r="E7" s="287"/>
    </row>
    <row r="8" spans="2:5" ht="15.75">
      <c r="B8" s="137" t="s">
        <v>16</v>
      </c>
      <c r="C8" s="284">
        <v>3705</v>
      </c>
      <c r="D8" s="426">
        <f>IF(inputPrYr!H15&gt;0,inputPrYr!G16,inputPrYr!E16)</f>
        <v>4104</v>
      </c>
      <c r="E8" s="287" t="s">
        <v>292</v>
      </c>
    </row>
    <row r="9" spans="2:5" ht="15.75">
      <c r="B9" s="137" t="s">
        <v>17</v>
      </c>
      <c r="C9" s="284"/>
      <c r="D9" s="284"/>
      <c r="E9" s="258"/>
    </row>
    <row r="10" spans="2:5" ht="15.75">
      <c r="B10" s="137" t="s">
        <v>18</v>
      </c>
      <c r="C10" s="284"/>
      <c r="D10" s="284">
        <v>225</v>
      </c>
      <c r="E10" s="263">
        <f>mvalloc!G11</f>
        <v>135</v>
      </c>
    </row>
    <row r="11" spans="2:5" ht="15.75">
      <c r="B11" s="137" t="s">
        <v>19</v>
      </c>
      <c r="C11" s="284"/>
      <c r="D11" s="284"/>
      <c r="E11" s="263">
        <f>mvalloc!I11</f>
        <v>4</v>
      </c>
    </row>
    <row r="12" spans="2:5" ht="15.75">
      <c r="B12" s="288" t="s">
        <v>70</v>
      </c>
      <c r="C12" s="284"/>
      <c r="D12" s="284"/>
      <c r="E12" s="263">
        <f>mvalloc!J11</f>
        <v>69</v>
      </c>
    </row>
    <row r="13" spans="2:5" ht="15.75">
      <c r="B13" s="288" t="s">
        <v>164</v>
      </c>
      <c r="C13" s="284"/>
      <c r="D13" s="284"/>
      <c r="E13" s="263">
        <f>inputOth!E37</f>
        <v>0</v>
      </c>
    </row>
    <row r="14" spans="2:5" ht="15.75">
      <c r="B14" s="137" t="s">
        <v>20</v>
      </c>
      <c r="C14" s="284"/>
      <c r="D14" s="284"/>
      <c r="E14" s="263">
        <f>inputOth!E12</f>
        <v>0</v>
      </c>
    </row>
    <row r="15" spans="2:5" ht="15.75">
      <c r="B15" s="290" t="s">
        <v>951</v>
      </c>
      <c r="C15" s="284"/>
      <c r="D15" s="284"/>
      <c r="E15" s="258">
        <v>1000</v>
      </c>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3705</v>
      </c>
      <c r="D26" s="427">
        <f>SUM(D8:D24)</f>
        <v>4329</v>
      </c>
      <c r="E26" s="295">
        <f>SUM(E8:E24)</f>
        <v>1208</v>
      </c>
    </row>
    <row r="27" spans="2:5" ht="15.75">
      <c r="B27" s="296" t="s">
        <v>24</v>
      </c>
      <c r="C27" s="427">
        <f>C26+C6</f>
        <v>3879</v>
      </c>
      <c r="D27" s="427">
        <f>D26+D6</f>
        <v>4433</v>
      </c>
      <c r="E27" s="295">
        <f>E26+E6</f>
        <v>1208</v>
      </c>
    </row>
    <row r="28" spans="2:5" ht="15.75">
      <c r="B28" s="137" t="s">
        <v>25</v>
      </c>
      <c r="C28" s="426"/>
      <c r="D28" s="426"/>
      <c r="E28" s="263"/>
    </row>
    <row r="29" spans="2:5" ht="15.75">
      <c r="B29" s="290"/>
      <c r="C29" s="284"/>
      <c r="D29" s="284"/>
      <c r="E29" s="258"/>
    </row>
    <row r="30" spans="2:5" ht="15.75">
      <c r="B30" s="291" t="s">
        <v>103</v>
      </c>
      <c r="C30" s="284">
        <v>600</v>
      </c>
      <c r="D30" s="284">
        <v>600</v>
      </c>
      <c r="E30" s="258">
        <v>600</v>
      </c>
    </row>
    <row r="31" spans="2:5" ht="15.75">
      <c r="B31" s="291" t="s">
        <v>128</v>
      </c>
      <c r="C31" s="284">
        <v>40</v>
      </c>
      <c r="D31" s="284"/>
      <c r="E31" s="258"/>
    </row>
    <row r="32" spans="2:5" ht="15.75">
      <c r="B32" s="291" t="s">
        <v>104</v>
      </c>
      <c r="C32" s="284">
        <v>364</v>
      </c>
      <c r="D32" s="284">
        <v>375</v>
      </c>
      <c r="E32" s="258">
        <v>400</v>
      </c>
    </row>
    <row r="33" spans="2:5" ht="15.75">
      <c r="B33" s="291" t="s">
        <v>36</v>
      </c>
      <c r="C33" s="284"/>
      <c r="D33" s="284">
        <v>558</v>
      </c>
      <c r="E33" s="258">
        <v>600</v>
      </c>
    </row>
    <row r="34" spans="2:5" ht="15.75">
      <c r="B34" s="290" t="s">
        <v>105</v>
      </c>
      <c r="C34" s="284"/>
      <c r="D34" s="284"/>
      <c r="E34" s="258"/>
    </row>
    <row r="35" spans="2:5" ht="15.75">
      <c r="B35" s="290" t="s">
        <v>129</v>
      </c>
      <c r="C35" s="284">
        <v>1</v>
      </c>
      <c r="D35" s="284"/>
      <c r="E35" s="258"/>
    </row>
    <row r="36" spans="2:5" ht="15.75">
      <c r="B36" s="291" t="s">
        <v>131</v>
      </c>
      <c r="C36" s="284">
        <v>2489</v>
      </c>
      <c r="D36" s="284">
        <v>2600</v>
      </c>
      <c r="E36" s="258">
        <v>2550</v>
      </c>
    </row>
    <row r="37" spans="2:5" ht="15.75">
      <c r="B37" s="291" t="s">
        <v>941</v>
      </c>
      <c r="C37" s="284">
        <v>131</v>
      </c>
      <c r="D37" s="284">
        <v>150</v>
      </c>
      <c r="E37" s="258">
        <v>150</v>
      </c>
    </row>
    <row r="38" spans="2:5" ht="15.75">
      <c r="B38" s="290" t="s">
        <v>942</v>
      </c>
      <c r="C38" s="284">
        <v>150</v>
      </c>
      <c r="D38" s="284">
        <v>150</v>
      </c>
      <c r="E38" s="258">
        <v>150</v>
      </c>
    </row>
    <row r="39" spans="2:5" ht="15.75">
      <c r="B39" s="291" t="s">
        <v>952</v>
      </c>
      <c r="C39" s="284"/>
      <c r="D39" s="284"/>
      <c r="E39" s="258">
        <v>1000</v>
      </c>
    </row>
    <row r="40" spans="2:5" ht="15.75">
      <c r="B40" s="291"/>
      <c r="C40" s="284"/>
      <c r="D40" s="284"/>
      <c r="E40" s="258"/>
    </row>
    <row r="41" spans="2:10" ht="15.75">
      <c r="B41" s="290"/>
      <c r="C41" s="284"/>
      <c r="D41" s="284"/>
      <c r="E41" s="258"/>
      <c r="G41" s="880" t="str">
        <f>CONCATENATE("Desired Carryover Into ",E1+1,"")</f>
        <v>Desired Carryover Into 2015</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2014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2015</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3775</v>
      </c>
      <c r="D50" s="432">
        <f>SUM(D29:D48)</f>
        <v>4433</v>
      </c>
      <c r="E50" s="300">
        <f>SUM(E29:E43,E45,E47:E48)</f>
        <v>5450</v>
      </c>
      <c r="G50" s="540">
        <f>D51</f>
        <v>0</v>
      </c>
      <c r="H50" s="541" t="str">
        <f>CONCATENATE("",E1-1," Ending Cash Balance (est.)")</f>
        <v>2013 Ending Cash Balance (est.)</v>
      </c>
      <c r="I50" s="542"/>
      <c r="J50" s="539"/>
    </row>
    <row r="51" spans="2:10" ht="15.75">
      <c r="B51" s="137" t="s">
        <v>121</v>
      </c>
      <c r="C51" s="433">
        <f>C27-C50</f>
        <v>104</v>
      </c>
      <c r="D51" s="433">
        <f>SUM(D27-D50)</f>
        <v>0</v>
      </c>
      <c r="E51" s="287" t="s">
        <v>292</v>
      </c>
      <c r="G51" s="540">
        <f>E26</f>
        <v>1208</v>
      </c>
      <c r="H51" s="543" t="str">
        <f>CONCATENATE("",E1," Non-AV Receipts (est.)")</f>
        <v>2014 Non-AV Receipts (est.)</v>
      </c>
      <c r="I51" s="542"/>
      <c r="J51" s="539"/>
    </row>
    <row r="52" spans="2:11" ht="15.75">
      <c r="B52" s="175" t="str">
        <f>CONCATENATE("",E1-2,"/",E1-1," Budget Authority Amount:")</f>
        <v>2012/2013 Budget Authority Amount:</v>
      </c>
      <c r="C52" s="521">
        <f>inputOth!B48</f>
        <v>5425</v>
      </c>
      <c r="D52" s="140">
        <f>inputPrYr!D16</f>
        <v>5425</v>
      </c>
      <c r="E52" s="287" t="s">
        <v>292</v>
      </c>
      <c r="F52" s="301"/>
      <c r="G52" s="544">
        <f>IF(D56&gt;0,E55,E57)</f>
        <v>4242</v>
      </c>
      <c r="H52" s="543" t="str">
        <f>CONCATENATE("",E1," Ad Valorem Tax (est.)")</f>
        <v>2014 Ad Valorem Tax (est.)</v>
      </c>
      <c r="I52" s="542"/>
      <c r="J52" s="539"/>
      <c r="K52" s="759">
        <f>IF(G52=E57,"","Note: Does not include Delinquent Taxes")</f>
      </c>
    </row>
    <row r="53" spans="2:10" ht="15.75">
      <c r="B53" s="175"/>
      <c r="C53" s="876" t="s">
        <v>712</v>
      </c>
      <c r="D53" s="877"/>
      <c r="E53" s="258"/>
      <c r="F53" s="301">
        <f>IF(E50/0.95-E50&lt;E53,"Exceeds 5%","")</f>
      </c>
      <c r="G53" s="540">
        <f>SUM(G50:G52)</f>
        <v>5450</v>
      </c>
      <c r="H53" s="543" t="str">
        <f>CONCATENATE("Total ",E1," Resources Available")</f>
        <v>Total 2014 Resources Available</v>
      </c>
      <c r="I53" s="542"/>
      <c r="J53" s="539"/>
    </row>
    <row r="54" spans="2:10" ht="15.75">
      <c r="B54" s="436" t="str">
        <f>CONCATENATE(C71,"     ",D71)</f>
        <v>     </v>
      </c>
      <c r="C54" s="878" t="s">
        <v>713</v>
      </c>
      <c r="D54" s="879"/>
      <c r="E54" s="263">
        <f>E50+E53</f>
        <v>5450</v>
      </c>
      <c r="G54" s="545"/>
      <c r="H54" s="543"/>
      <c r="I54" s="543"/>
      <c r="J54" s="539"/>
    </row>
    <row r="55" spans="2:10" ht="15.75">
      <c r="B55" s="436" t="str">
        <f>CONCATENATE(C72,"     ",D72)</f>
        <v>     </v>
      </c>
      <c r="C55" s="382"/>
      <c r="D55" s="192" t="s">
        <v>28</v>
      </c>
      <c r="E55" s="299">
        <f>IF(E54-E27&gt;0,E54-E27,0)</f>
        <v>4242</v>
      </c>
      <c r="G55" s="544">
        <f>ROUND(C50*0.05+C50,0)</f>
        <v>3964</v>
      </c>
      <c r="H55" s="543" t="str">
        <f>CONCATENATE("Less ",E1-2," Expenditures + 5%")</f>
        <v>Less 2012 Expenditures + 5%</v>
      </c>
      <c r="I55" s="542"/>
      <c r="J55" s="539"/>
    </row>
    <row r="56" spans="2:10" ht="15.75">
      <c r="B56" s="192"/>
      <c r="C56" s="525" t="s">
        <v>714</v>
      </c>
      <c r="D56" s="749">
        <f>inputOth!$E$42</f>
        <v>0</v>
      </c>
      <c r="E56" s="263">
        <f>ROUND(IF(D56&gt;0,(E55*D56),0),0)</f>
        <v>0</v>
      </c>
      <c r="G56" s="546">
        <f>G53-G55</f>
        <v>1486</v>
      </c>
      <c r="H56" s="547" t="str">
        <f>CONCATENATE("Projected ",E1+1," Carryover (est.)")</f>
        <v>Projected 2015 Carryover (est.)</v>
      </c>
      <c r="I56" s="548"/>
      <c r="J56" s="549"/>
    </row>
    <row r="57" spans="2:5" ht="15.75">
      <c r="B57" s="124"/>
      <c r="C57" s="874" t="str">
        <f>CONCATENATE("Amount of  ",$E$1-1," Ad Valorem Tax")</f>
        <v>Amount of  2013 Ad Valorem Tax</v>
      </c>
      <c r="D57" s="875"/>
      <c r="E57" s="299">
        <f>E55+E56</f>
        <v>4242</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2.298</v>
      </c>
      <c r="H60" s="541" t="str">
        <f>CONCATENATE("",E1," Fund Mill Rate")</f>
        <v>2014 Fund Mill Rate</v>
      </c>
      <c r="I60" s="752"/>
      <c r="J60" s="761"/>
      <c r="K60" s="220"/>
    </row>
    <row r="61" spans="2:10" ht="15.75">
      <c r="B61" s="192" t="s">
        <v>9</v>
      </c>
      <c r="C61" s="555"/>
      <c r="D61" s="124"/>
      <c r="E61" s="179"/>
      <c r="G61" s="763">
        <f>summ!F18</f>
        <v>2.372</v>
      </c>
      <c r="H61" s="541" t="str">
        <f>CONCATENATE("",E1-1," Fund Mill Rate")</f>
        <v>2013 Fund Mill Rate</v>
      </c>
      <c r="I61" s="752"/>
      <c r="J61" s="761"/>
    </row>
    <row r="62" spans="7:10" ht="15.75">
      <c r="G62" s="764">
        <f>summ!I36</f>
        <v>12.048</v>
      </c>
      <c r="H62" s="541" t="str">
        <f>CONCATENATE("Total ",E1," Mill Rate")</f>
        <v>Total 2014 Mill Rate</v>
      </c>
      <c r="I62" s="752"/>
      <c r="J62" s="761"/>
    </row>
    <row r="63" spans="2:10" ht="15.75">
      <c r="B63" s="166"/>
      <c r="G63" s="763">
        <f>summ!F36</f>
        <v>12.041</v>
      </c>
      <c r="H63" s="765" t="str">
        <f>CONCATENATE("Total ",E1-1," Mill Rate")</f>
        <v>Total 2013 Mill Rate</v>
      </c>
      <c r="I63" s="766"/>
      <c r="J63" s="767"/>
    </row>
    <row r="65" spans="7:9" ht="15.75">
      <c r="G65" s="783" t="s">
        <v>928</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SALEM TOWNSHIP</v>
      </c>
      <c r="C1" s="625"/>
      <c r="D1" s="626"/>
      <c r="E1" s="627">
        <f>inputPrYr!D5</f>
        <v>2014</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2015</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2015</v>
      </c>
      <c r="H31" s="886"/>
      <c r="I31" s="886"/>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2013 Ending Cash Balance (est.)</v>
      </c>
      <c r="I33" s="680"/>
      <c r="J33" s="675"/>
    </row>
    <row r="34" spans="2:10" ht="15.75">
      <c r="B34" s="641" t="s">
        <v>121</v>
      </c>
      <c r="C34" s="681">
        <f>C21-C33</f>
        <v>0</v>
      </c>
      <c r="D34" s="681">
        <f>D21-D33</f>
        <v>0</v>
      </c>
      <c r="E34" s="647" t="s">
        <v>292</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75">
      <c r="B39" s="629"/>
      <c r="C39" s="525" t="s">
        <v>714</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88" t="str">
        <f>CONCATENATE("Amount of  ",E1-1," Ad Valorem Tax")</f>
        <v>Amount of  2013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10</v>
      </c>
      <c r="C44" s="634" t="s">
        <v>818</v>
      </c>
      <c r="D44" s="635" t="s">
        <v>819</v>
      </c>
      <c r="E44" s="636" t="s">
        <v>820</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12.048</v>
      </c>
      <c r="H45" s="679" t="str">
        <f>CONCATENATE("Total ",E1," Mill Rate")</f>
        <v>Total 2014 Mill Rate</v>
      </c>
      <c r="I45" s="702"/>
      <c r="J45" s="703"/>
    </row>
    <row r="46" spans="2:10" ht="15.75">
      <c r="B46" s="641" t="s">
        <v>147</v>
      </c>
      <c r="C46" s="646">
        <v>0</v>
      </c>
      <c r="D46" s="643">
        <f>C74</f>
        <v>0</v>
      </c>
      <c r="E46" s="644">
        <f>D74</f>
        <v>0</v>
      </c>
      <c r="F46" s="682"/>
      <c r="G46" s="705">
        <f>summ!F36</f>
        <v>12.041</v>
      </c>
      <c r="H46" s="708" t="str">
        <f>CONCATENATE("Total ",E1-1," Mill Rate")</f>
        <v>Total 2013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Yes</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2015</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2015</v>
      </c>
      <c r="H71" s="893"/>
      <c r="I71" s="893"/>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121</v>
      </c>
      <c r="C74" s="681">
        <f>C61-C73</f>
        <v>0</v>
      </c>
      <c r="D74" s="681">
        <f>D61-D73</f>
        <v>0</v>
      </c>
      <c r="E74" s="647" t="s">
        <v>292</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75">
      <c r="B79" s="629"/>
      <c r="C79" s="525" t="s">
        <v>714</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88" t="str">
        <f>CONCATENATE("Amount of  ",E1-1," Ad Valorem Tax")</f>
        <v>Amount of  2013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12.048</v>
      </c>
      <c r="H85" s="679" t="str">
        <f>CONCATENATE("Total ",E1," Mill Rate")</f>
        <v>Total 2014 Mill Rate</v>
      </c>
      <c r="I85" s="702"/>
      <c r="J85" s="703"/>
    </row>
    <row r="86" spans="7:10" ht="15.75">
      <c r="G86" s="705">
        <f>summ!F36</f>
        <v>12.041</v>
      </c>
      <c r="H86" s="708" t="str">
        <f>CONCATENATE("Total ",E1-1," Mill Rate")</f>
        <v>Total 2013 Mill Rate</v>
      </c>
      <c r="I86" s="709"/>
      <c r="J86" s="710"/>
    </row>
    <row r="87" spans="7:10" ht="15.75">
      <c r="G87" s="724"/>
      <c r="H87" s="724"/>
      <c r="I87" s="724"/>
      <c r="J87" s="724"/>
    </row>
    <row r="88" spans="3:9" ht="15.75">
      <c r="C88" s="725" t="s">
        <v>824</v>
      </c>
      <c r="D88" s="725" t="s">
        <v>824</v>
      </c>
      <c r="G88" s="789" t="s">
        <v>928</v>
      </c>
      <c r="H88" s="788"/>
      <c r="I88" s="787" t="str">
        <f>cert!E41</f>
        <v>Yes</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2">
      <selection activeCell="E32" sqref="E32"/>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SALEM TOWNSHIP</v>
      </c>
      <c r="C1" s="124"/>
      <c r="D1" s="124"/>
      <c r="E1" s="191">
        <f>inputPrYr!D5</f>
        <v>2014</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2012</v>
      </c>
      <c r="D5" s="429" t="str">
        <f>gen!D5</f>
        <v>Estimate for 2013</v>
      </c>
      <c r="E5" s="136" t="str">
        <f>gen!E5</f>
        <v>Year for 2014</v>
      </c>
    </row>
    <row r="6" spans="2:5" ht="15.75">
      <c r="B6" s="137" t="s">
        <v>120</v>
      </c>
      <c r="C6" s="284">
        <v>827</v>
      </c>
      <c r="D6" s="426">
        <f>C44</f>
        <v>8929</v>
      </c>
      <c r="E6" s="263">
        <f>D44</f>
        <v>4154</v>
      </c>
    </row>
    <row r="7" spans="2:5" ht="15.75">
      <c r="B7" s="137" t="s">
        <v>122</v>
      </c>
      <c r="C7" s="426"/>
      <c r="D7" s="426"/>
      <c r="E7" s="287"/>
    </row>
    <row r="8" spans="2:5" ht="15.75">
      <c r="B8" s="137" t="s">
        <v>16</v>
      </c>
      <c r="C8" s="284">
        <v>16619</v>
      </c>
      <c r="D8" s="426">
        <f>IF(inputPrYr!H15&gt;0,inputPrYr!G19,inputPrYr!E19)</f>
        <v>16730</v>
      </c>
      <c r="E8" s="287" t="s">
        <v>292</v>
      </c>
    </row>
    <row r="9" spans="2:5" ht="15.75">
      <c r="B9" s="137" t="s">
        <v>17</v>
      </c>
      <c r="C9" s="284"/>
      <c r="D9" s="284"/>
      <c r="E9" s="258"/>
    </row>
    <row r="10" spans="2:5" ht="15.75">
      <c r="B10" s="137" t="s">
        <v>18</v>
      </c>
      <c r="C10" s="284"/>
      <c r="D10" s="284">
        <v>1145</v>
      </c>
      <c r="E10" s="263">
        <f>mvalloc!G14</f>
        <v>552</v>
      </c>
    </row>
    <row r="11" spans="2:5" ht="15.75">
      <c r="B11" s="137" t="s">
        <v>19</v>
      </c>
      <c r="C11" s="284"/>
      <c r="D11" s="284"/>
      <c r="E11" s="263">
        <f>mvalloc!I14</f>
        <v>15</v>
      </c>
    </row>
    <row r="12" spans="2:5" ht="15.75">
      <c r="B12" s="137" t="s">
        <v>101</v>
      </c>
      <c r="C12" s="284"/>
      <c r="D12" s="284"/>
      <c r="E12" s="263">
        <f>mvalloc!J14</f>
        <v>280</v>
      </c>
    </row>
    <row r="13" spans="2:5" ht="15.75">
      <c r="B13" s="137" t="s">
        <v>102</v>
      </c>
      <c r="C13" s="284"/>
      <c r="D13" s="284"/>
      <c r="E13" s="263">
        <f>inputOth!E38</f>
        <v>0</v>
      </c>
    </row>
    <row r="14" spans="2:5" ht="15.75">
      <c r="B14" s="291" t="s">
        <v>951</v>
      </c>
      <c r="C14" s="284"/>
      <c r="D14" s="284"/>
      <c r="E14" s="258">
        <v>10000</v>
      </c>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16619</v>
      </c>
      <c r="D23" s="427">
        <f>SUM(D8:D21)</f>
        <v>17875</v>
      </c>
      <c r="E23" s="295">
        <f>SUM(E8:E21)</f>
        <v>10847</v>
      </c>
    </row>
    <row r="24" spans="2:5" ht="15.75">
      <c r="B24" s="296" t="s">
        <v>24</v>
      </c>
      <c r="C24" s="427">
        <f>C23+C6</f>
        <v>17446</v>
      </c>
      <c r="D24" s="427">
        <f>D23+D6</f>
        <v>26804</v>
      </c>
      <c r="E24" s="295">
        <f>E23+E6</f>
        <v>15001</v>
      </c>
    </row>
    <row r="25" spans="2:5" ht="15.75">
      <c r="B25" s="137" t="s">
        <v>25</v>
      </c>
      <c r="C25" s="426"/>
      <c r="D25" s="426"/>
      <c r="E25" s="263"/>
    </row>
    <row r="26" spans="2:5" ht="15.75">
      <c r="B26" s="291"/>
      <c r="C26" s="284"/>
      <c r="D26" s="284"/>
      <c r="E26" s="258"/>
    </row>
    <row r="27" spans="2:5" ht="15.75">
      <c r="B27" s="291" t="s">
        <v>103</v>
      </c>
      <c r="C27" s="284">
        <v>1440</v>
      </c>
      <c r="D27" s="284">
        <v>1500</v>
      </c>
      <c r="E27" s="258">
        <v>1500</v>
      </c>
    </row>
    <row r="28" spans="2:5" ht="15.75">
      <c r="B28" s="291" t="s">
        <v>128</v>
      </c>
      <c r="C28" s="284"/>
      <c r="D28" s="284"/>
      <c r="E28" s="258"/>
    </row>
    <row r="29" spans="2:5" ht="15.75">
      <c r="B29" s="290" t="s">
        <v>104</v>
      </c>
      <c r="C29" s="284">
        <v>326</v>
      </c>
      <c r="D29" s="284">
        <v>350</v>
      </c>
      <c r="E29" s="258">
        <v>500</v>
      </c>
    </row>
    <row r="30" spans="2:5" ht="15.75">
      <c r="B30" s="291" t="s">
        <v>130</v>
      </c>
      <c r="C30" s="284"/>
      <c r="D30" s="284">
        <v>300</v>
      </c>
      <c r="E30" s="258">
        <v>8000</v>
      </c>
    </row>
    <row r="31" spans="2:5" ht="15.75">
      <c r="B31" s="291" t="s">
        <v>107</v>
      </c>
      <c r="C31" s="284">
        <v>900</v>
      </c>
      <c r="D31" s="284">
        <v>20000</v>
      </c>
      <c r="E31" s="258">
        <v>12500</v>
      </c>
    </row>
    <row r="32" spans="2:5" ht="15.75">
      <c r="B32" s="291" t="s">
        <v>105</v>
      </c>
      <c r="C32" s="284">
        <v>1051</v>
      </c>
      <c r="D32" s="284"/>
      <c r="E32" s="258"/>
    </row>
    <row r="33" spans="2:5" ht="15.75">
      <c r="B33" s="291" t="s">
        <v>943</v>
      </c>
      <c r="C33" s="284">
        <v>300</v>
      </c>
      <c r="D33" s="284">
        <v>500</v>
      </c>
      <c r="E33" s="258">
        <v>500</v>
      </c>
    </row>
    <row r="34" spans="2:10" ht="15.75">
      <c r="B34" s="290" t="s">
        <v>953</v>
      </c>
      <c r="C34" s="284"/>
      <c r="D34" s="284"/>
      <c r="E34" s="258">
        <v>10000</v>
      </c>
      <c r="G34" s="880" t="str">
        <f>CONCATENATE("Desired Carryover Into ",E1+1,"")</f>
        <v>Desired Carryover Into 2015</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v>4500</v>
      </c>
      <c r="D38" s="284"/>
      <c r="E38" s="258"/>
      <c r="G38" s="754" t="str">
        <f>CONCATENATE("",E1," Tot Exp/Non-Appr Must Be:")</f>
        <v>2014 Tot Exp/Non-Appr Must Be:</v>
      </c>
      <c r="H38" s="751"/>
      <c r="I38" s="750"/>
      <c r="J38" s="755">
        <f>IF(J36&gt;0,IF(E47&lt;E16,IF(J36=G49,E47,((J36-G49)*(1-D49))+E16),E47+(J36-G49)),0)</f>
        <v>0</v>
      </c>
    </row>
    <row r="39" spans="2:10" ht="15.75">
      <c r="B39" s="137" t="s">
        <v>711</v>
      </c>
      <c r="C39" s="434" t="str">
        <f>IF(C24*0.25&lt;C38,"Not Authorized","")</f>
        <v>Not Authorized</v>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2015</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8517</v>
      </c>
      <c r="D43" s="427">
        <f>SUM(D26:D38,D40:D41)</f>
        <v>22650</v>
      </c>
      <c r="E43" s="295">
        <f>SUM(E26:E38,E40:E41)</f>
        <v>33000</v>
      </c>
      <c r="G43" s="540">
        <f>D44</f>
        <v>4154</v>
      </c>
      <c r="H43" s="541" t="str">
        <f>CONCATENATE("",E1-1," Ending Cash Balance (est.)")</f>
        <v>2013 Ending Cash Balance (est.)</v>
      </c>
      <c r="I43" s="542"/>
      <c r="J43" s="539"/>
    </row>
    <row r="44" spans="2:10" ht="15.75">
      <c r="B44" s="137" t="s">
        <v>121</v>
      </c>
      <c r="C44" s="433">
        <f>C24-C43</f>
        <v>8929</v>
      </c>
      <c r="D44" s="433">
        <f>D24-D43</f>
        <v>4154</v>
      </c>
      <c r="E44" s="287" t="s">
        <v>292</v>
      </c>
      <c r="G44" s="540">
        <f>E23</f>
        <v>10847</v>
      </c>
      <c r="H44" s="543" t="str">
        <f>CONCATENATE("",E1," Non-AV Receipts (est.)")</f>
        <v>2014 Non-AV Receipts (est.)</v>
      </c>
      <c r="I44" s="542"/>
      <c r="J44" s="539"/>
    </row>
    <row r="45" spans="2:11" ht="15.75">
      <c r="B45" s="175" t="str">
        <f>CONCATENATE("",E1-2,"/",E1-1," Budget Authority Amount:")</f>
        <v>2012/2013 Budget Authority Amount:</v>
      </c>
      <c r="C45" s="521">
        <f>inputOth!B51</f>
        <v>22650</v>
      </c>
      <c r="D45" s="140">
        <f>inputPrYr!D19</f>
        <v>22650</v>
      </c>
      <c r="E45" s="287" t="s">
        <v>292</v>
      </c>
      <c r="F45" s="301"/>
      <c r="G45" s="544">
        <f>IF(D49&gt;0,E48,E50)</f>
        <v>17999</v>
      </c>
      <c r="H45" s="543" t="str">
        <f>CONCATENATE("",E1," Ad Valorem Tax (est.)")</f>
        <v>2014 Ad Valorem Tax (est.)</v>
      </c>
      <c r="I45" s="542"/>
      <c r="J45" s="539"/>
      <c r="K45" s="759">
        <f>IF(G45=E50,"","Note: Does not include Delinquent Taxes")</f>
      </c>
    </row>
    <row r="46" spans="2:10" ht="15.75">
      <c r="B46" s="175"/>
      <c r="C46" s="876" t="s">
        <v>712</v>
      </c>
      <c r="D46" s="877"/>
      <c r="E46" s="258"/>
      <c r="F46" s="301">
        <f>IF(E43/0.95-E43&lt;E46,"Exceeds 5%","")</f>
      </c>
      <c r="G46" s="540">
        <f>SUM(G43:G45)</f>
        <v>33000</v>
      </c>
      <c r="H46" s="543" t="str">
        <f>CONCATENATE("Total ",E1," Resources Available")</f>
        <v>Total 2014 Resources Available</v>
      </c>
      <c r="I46" s="542"/>
      <c r="J46" s="539"/>
    </row>
    <row r="47" spans="2:10" ht="15.75">
      <c r="B47" s="436" t="str">
        <f>CONCATENATE(C74,"     ",D74)</f>
        <v>     </v>
      </c>
      <c r="C47" s="878" t="s">
        <v>713</v>
      </c>
      <c r="D47" s="879"/>
      <c r="E47" s="263">
        <f>E43+E46</f>
        <v>33000</v>
      </c>
      <c r="G47" s="545"/>
      <c r="H47" s="543"/>
      <c r="I47" s="543"/>
      <c r="J47" s="539"/>
    </row>
    <row r="48" spans="2:10" ht="15.75">
      <c r="B48" s="436" t="str">
        <f>CONCATENATE(C75,"     ",D75)</f>
        <v>     </v>
      </c>
      <c r="C48" s="382"/>
      <c r="D48" s="192" t="s">
        <v>28</v>
      </c>
      <c r="E48" s="299">
        <f>IF(E47-E24&gt;0,E47-E24,0)</f>
        <v>17999</v>
      </c>
      <c r="G48" s="544">
        <f>ROUND(C43*0.05+C43,0)</f>
        <v>8943</v>
      </c>
      <c r="H48" s="543" t="str">
        <f>CONCATENATE("Less ",E1-2," Expenditures + 5%")</f>
        <v>Less 2012 Expenditures + 5%</v>
      </c>
      <c r="I48" s="542"/>
      <c r="J48" s="539"/>
    </row>
    <row r="49" spans="2:10" ht="15.75">
      <c r="B49" s="192"/>
      <c r="C49" s="525" t="s">
        <v>714</v>
      </c>
      <c r="D49" s="749">
        <f>inputOth!$E$42</f>
        <v>0</v>
      </c>
      <c r="E49" s="263">
        <f>ROUND(IF(D49&gt;0,(E48*D49),0),0)</f>
        <v>0</v>
      </c>
      <c r="G49" s="546">
        <f>G46-G48</f>
        <v>24057</v>
      </c>
      <c r="H49" s="547" t="str">
        <f>CONCATENATE("Projected ",E1+1," Carryover (est.)")</f>
        <v>Projected 2015 Carryover (est.)</v>
      </c>
      <c r="I49" s="548"/>
      <c r="J49" s="549"/>
    </row>
    <row r="50" spans="2:5" ht="15.75">
      <c r="B50" s="124"/>
      <c r="C50" s="874" t="str">
        <f>CONCATENATE("Amount of  ",$E$1-1," Ad Valorem Tax")</f>
        <v>Amount of  2013 Ad Valorem Tax</v>
      </c>
      <c r="D50" s="875"/>
      <c r="E50" s="299">
        <f>E48+E49</f>
        <v>17999</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2012</v>
      </c>
      <c r="D53" s="124"/>
      <c r="E53" s="124"/>
      <c r="G53" s="762">
        <f>summ!I21</f>
        <v>9.75</v>
      </c>
      <c r="H53" s="541" t="str">
        <f>CONCATENATE("",E1," Fund Mill Rate")</f>
        <v>2014 Fund Mill Rate</v>
      </c>
      <c r="I53" s="752"/>
      <c r="J53" s="761"/>
    </row>
    <row r="54" spans="2:10" ht="15.75">
      <c r="B54" s="134" t="s">
        <v>31</v>
      </c>
      <c r="C54" s="136" t="s">
        <v>32</v>
      </c>
      <c r="D54" s="124"/>
      <c r="E54" s="124"/>
      <c r="G54" s="763">
        <f>summ!F21</f>
        <v>9.669</v>
      </c>
      <c r="H54" s="541" t="str">
        <f>CONCATENATE("",E1-1," Fund Mill Rate")</f>
        <v>2013 Fund Mill Rate</v>
      </c>
      <c r="I54" s="752"/>
      <c r="J54" s="761"/>
    </row>
    <row r="55" spans="2:10" ht="15.75">
      <c r="B55" s="163" t="s">
        <v>14</v>
      </c>
      <c r="C55" s="258">
        <v>55212</v>
      </c>
      <c r="D55" s="124"/>
      <c r="E55" s="124"/>
      <c r="G55" s="764">
        <f>summ!I36</f>
        <v>12.048</v>
      </c>
      <c r="H55" s="541" t="str">
        <f>CONCATENATE("Total ",E1," Mill Rate")</f>
        <v>Total 2014 Mill Rate</v>
      </c>
      <c r="I55" s="752"/>
      <c r="J55" s="761"/>
    </row>
    <row r="56" spans="2:10" ht="15.75">
      <c r="B56" s="163" t="s">
        <v>33</v>
      </c>
      <c r="C56" s="232"/>
      <c r="D56" s="124"/>
      <c r="E56" s="124"/>
      <c r="G56" s="763">
        <f>summ!F36</f>
        <v>12.041</v>
      </c>
      <c r="H56" s="765" t="str">
        <f>CONCATENATE("Total ",E1-1," Mill Rate")</f>
        <v>Total 2013 Mill Rate</v>
      </c>
      <c r="I56" s="766"/>
      <c r="J56" s="767"/>
    </row>
    <row r="57" spans="2:5" ht="15.75">
      <c r="B57" s="163" t="s">
        <v>34</v>
      </c>
      <c r="C57" s="299">
        <f>IF(C38&gt;0,C38,0)</f>
        <v>4500</v>
      </c>
      <c r="D57" s="311" t="str">
        <f>IF(C38&gt;(C24*0.25),"Exceeds 25% of Resources Available","")</f>
        <v>Exceeds 25% of Resources Available</v>
      </c>
      <c r="E57" s="124"/>
    </row>
    <row r="58" spans="2:9" ht="15.75">
      <c r="B58" s="163" t="s">
        <v>249</v>
      </c>
      <c r="C58" s="299">
        <f>gen!C43</f>
        <v>0</v>
      </c>
      <c r="D58" s="894">
        <f>IF(AND(C58&gt;0,C59&gt;0),"Not Authtorize Two Transfers - Only One","")</f>
      </c>
      <c r="E58" s="124"/>
      <c r="G58" s="792" t="s">
        <v>928</v>
      </c>
      <c r="H58" s="791"/>
      <c r="I58" s="790" t="str">
        <f>cert!E41</f>
        <v>Yes</v>
      </c>
    </row>
    <row r="59" spans="2:5" ht="15.75">
      <c r="B59" s="312" t="s">
        <v>250</v>
      </c>
      <c r="C59" s="516">
        <f>gen!C45</f>
        <v>0</v>
      </c>
      <c r="D59" s="895"/>
      <c r="E59" s="124"/>
    </row>
    <row r="60" spans="2:5" ht="15.75">
      <c r="B60" s="313"/>
      <c r="C60" s="258"/>
      <c r="D60" s="124"/>
      <c r="E60" s="124"/>
    </row>
    <row r="61" spans="2:5" ht="15.75">
      <c r="B61" s="313" t="s">
        <v>22</v>
      </c>
      <c r="C61" s="258">
        <v>95.71</v>
      </c>
      <c r="D61" s="124"/>
      <c r="E61" s="124"/>
    </row>
    <row r="62" spans="2:5" ht="15.75">
      <c r="B62" s="313" t="s">
        <v>21</v>
      </c>
      <c r="C62" s="258"/>
      <c r="D62" s="124"/>
      <c r="E62" s="124"/>
    </row>
    <row r="63" spans="2:5" ht="15.75">
      <c r="B63" s="314" t="s">
        <v>24</v>
      </c>
      <c r="C63" s="516">
        <f>SUM(C55:C62)</f>
        <v>59807.71</v>
      </c>
      <c r="D63" s="124"/>
      <c r="E63" s="124"/>
    </row>
    <row r="64" spans="2:5" ht="15.75">
      <c r="B64" s="314" t="s">
        <v>26</v>
      </c>
      <c r="C64" s="258"/>
      <c r="D64" s="124"/>
      <c r="E64" s="124"/>
    </row>
    <row r="65" spans="2:5" ht="15.75">
      <c r="B65" s="314" t="s">
        <v>27</v>
      </c>
      <c r="C65" s="517">
        <f>C63-C64</f>
        <v>59807.71</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SALEM TOWNSHIP</v>
      </c>
      <c r="C1" s="130" t="s">
        <v>35</v>
      </c>
      <c r="D1" s="124"/>
      <c r="E1" s="191">
        <f>inputPrYr!D5</f>
        <v>2014</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f>inputPrYr!B20</f>
        <v>0</v>
      </c>
      <c r="C5" s="136" t="str">
        <f>gen!C5</f>
        <v>Actual for 2012</v>
      </c>
      <c r="D5" s="429" t="str">
        <f>gen!D5</f>
        <v>Estimate for 2013</v>
      </c>
      <c r="E5" s="136" t="str">
        <f>gen!E5</f>
        <v>Year for 2014</v>
      </c>
    </row>
    <row r="6" spans="2:5" ht="15.75">
      <c r="B6" s="163" t="s">
        <v>120</v>
      </c>
      <c r="C6" s="284"/>
      <c r="D6" s="426">
        <f>C34</f>
        <v>0</v>
      </c>
      <c r="E6" s="263">
        <f>D34</f>
        <v>0</v>
      </c>
    </row>
    <row r="7" spans="2:5" ht="15.75">
      <c r="B7" s="137" t="s">
        <v>122</v>
      </c>
      <c r="C7" s="426"/>
      <c r="D7" s="426"/>
      <c r="E7" s="287"/>
    </row>
    <row r="8" spans="2:5" ht="15.75">
      <c r="B8" s="137" t="s">
        <v>16</v>
      </c>
      <c r="C8" s="284"/>
      <c r="D8" s="426">
        <f>IF(inputPrYr!H15&gt;0,inputPrYr!G20,inputPrYr!E20)</f>
        <v>0</v>
      </c>
      <c r="E8" s="287" t="s">
        <v>292</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2014 Fund Mill Rate</v>
      </c>
      <c r="I43" s="702"/>
      <c r="J43" s="703"/>
      <c r="K43" s="628"/>
    </row>
    <row r="44" spans="2:11" ht="15.75">
      <c r="B44" s="124"/>
      <c r="C44" s="428" t="s">
        <v>11</v>
      </c>
      <c r="D44" s="430" t="s">
        <v>12</v>
      </c>
      <c r="E44" s="132" t="s">
        <v>13</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12.048</v>
      </c>
      <c r="H45" s="679" t="str">
        <f>CONCATENATE("Total ",E1," Mill Rate")</f>
        <v>Total 2014 Mill Rate</v>
      </c>
      <c r="I45" s="702"/>
      <c r="J45" s="703"/>
      <c r="K45" s="628"/>
    </row>
    <row r="46" spans="2:11" ht="15.75">
      <c r="B46" s="137" t="s">
        <v>120</v>
      </c>
      <c r="C46" s="284"/>
      <c r="D46" s="426">
        <f>C74</f>
        <v>0</v>
      </c>
      <c r="E46" s="263">
        <f>D74</f>
        <v>0</v>
      </c>
      <c r="G46" s="705">
        <f>summ!F36</f>
        <v>12.041</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12.048</v>
      </c>
      <c r="H85" s="679" t="str">
        <f>CONCATENATE("Total ",E1," Mill Rate")</f>
        <v>Total 2014 Mill Rate</v>
      </c>
      <c r="I85" s="702"/>
      <c r="J85" s="703"/>
      <c r="K85" s="628"/>
    </row>
    <row r="86" spans="7:11" ht="15.75">
      <c r="G86" s="705">
        <f>summ!F36</f>
        <v>12.041</v>
      </c>
      <c r="H86" s="708" t="str">
        <f>CONCATENATE("Total ",E1-1," Mill Rate")</f>
        <v>Total 2013 Mill Rate</v>
      </c>
      <c r="I86" s="709"/>
      <c r="J86" s="710"/>
      <c r="K86" s="628"/>
    </row>
    <row r="88" spans="7:9" ht="15.75">
      <c r="G88" s="798" t="s">
        <v>928</v>
      </c>
      <c r="H88" s="797"/>
      <c r="I88" s="796"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SALEM TOWNSHIP</v>
      </c>
      <c r="C1" s="124"/>
      <c r="D1" s="124"/>
      <c r="E1" s="191">
        <f>inputPrYr!D5</f>
        <v>2014</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2014 Fund Mill Rate</v>
      </c>
      <c r="I43" s="702"/>
      <c r="J43" s="703"/>
      <c r="K43" s="628"/>
    </row>
    <row r="44" spans="2:11" ht="15.75">
      <c r="B44" s="124"/>
      <c r="C44" s="428" t="s">
        <v>11</v>
      </c>
      <c r="D44" s="430" t="s">
        <v>12</v>
      </c>
      <c r="E44" s="132" t="s">
        <v>13</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12.048</v>
      </c>
      <c r="H45" s="679" t="str">
        <f>CONCATENATE("Total ",E1," Mill Rate")</f>
        <v>Total 2014 Mill Rate</v>
      </c>
      <c r="I45" s="702"/>
      <c r="J45" s="703"/>
      <c r="K45" s="628"/>
    </row>
    <row r="46" spans="2:11" ht="15.75">
      <c r="B46" s="137" t="s">
        <v>120</v>
      </c>
      <c r="C46" s="284"/>
      <c r="D46" s="426">
        <f>C74</f>
        <v>0</v>
      </c>
      <c r="E46" s="263">
        <f>D74</f>
        <v>0</v>
      </c>
      <c r="G46" s="705">
        <f>summ!F36</f>
        <v>12.041</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12.048</v>
      </c>
      <c r="H85" s="679" t="str">
        <f>CONCATENATE("Total ",E1," Mill Rate")</f>
        <v>Total 2014 Mill Rate</v>
      </c>
      <c r="I85" s="702"/>
      <c r="J85" s="703"/>
      <c r="K85" s="628"/>
    </row>
    <row r="86" spans="7:11" ht="15.75">
      <c r="G86" s="705">
        <f>summ!F36</f>
        <v>12.041</v>
      </c>
      <c r="H86" s="708" t="str">
        <f>CONCATENATE("Total ",E1-1," Mill Rate")</f>
        <v>Total 2013 Mill Rate</v>
      </c>
      <c r="I86" s="709"/>
      <c r="J86" s="710"/>
      <c r="K86" s="628"/>
    </row>
    <row r="88" spans="7:9" ht="15.75">
      <c r="G88" s="804" t="s">
        <v>928</v>
      </c>
      <c r="H88" s="803"/>
      <c r="I88" s="802"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SALEM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2014 Fund Mill Rate</v>
      </c>
      <c r="I43" s="702"/>
      <c r="J43" s="703"/>
      <c r="K43" s="628"/>
    </row>
    <row r="44" spans="2:11" ht="15.75">
      <c r="B44" s="124"/>
      <c r="C44" s="428" t="s">
        <v>11</v>
      </c>
      <c r="D44" s="430" t="s">
        <v>12</v>
      </c>
      <c r="E44" s="132" t="s">
        <v>13</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12.048</v>
      </c>
      <c r="H45" s="679" t="str">
        <f>CONCATENATE("Total ",E1," Mill Rate")</f>
        <v>Total 2014 Mill Rate</v>
      </c>
      <c r="I45" s="702"/>
      <c r="J45" s="703"/>
      <c r="K45" s="628"/>
    </row>
    <row r="46" spans="2:11" ht="15.75">
      <c r="B46" s="137" t="s">
        <v>120</v>
      </c>
      <c r="C46" s="284"/>
      <c r="D46" s="426">
        <f>C74</f>
        <v>0</v>
      </c>
      <c r="E46" s="263">
        <f>D74</f>
        <v>0</v>
      </c>
      <c r="G46" s="705">
        <f>summ!F36</f>
        <v>12.041</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12.048</v>
      </c>
      <c r="H85" s="679" t="str">
        <f>CONCATENATE("Total ",E1," Mill Rate")</f>
        <v>Total 2014 Mill Rate</v>
      </c>
      <c r="I85" s="702"/>
      <c r="J85" s="703"/>
      <c r="K85" s="628"/>
    </row>
    <row r="86" spans="7:11" ht="15.75">
      <c r="G86" s="705">
        <f>summ!F36</f>
        <v>12.041</v>
      </c>
      <c r="H86" s="708" t="str">
        <f>CONCATENATE("Total ",E1-1," Mill Rate")</f>
        <v>Total 2013 Mill Rate</v>
      </c>
      <c r="I86" s="709"/>
      <c r="J86" s="710"/>
      <c r="K86" s="628"/>
    </row>
    <row r="88" spans="7:9" ht="15.75">
      <c r="G88" s="810" t="s">
        <v>928</v>
      </c>
      <c r="H88" s="809"/>
      <c r="I88" s="808"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SALEM TOWNSHIP</v>
      </c>
      <c r="C1" s="124"/>
      <c r="D1" s="124"/>
      <c r="E1" s="191">
        <f>inputPrYr!D5</f>
        <v>2014</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2012</v>
      </c>
      <c r="D5" s="429" t="str">
        <f>gen!D5</f>
        <v>Estimate for 2013</v>
      </c>
      <c r="E5" s="136" t="str">
        <f>gen!E5</f>
        <v>Year for 2014</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2015</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2015</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121</v>
      </c>
      <c r="C34" s="433">
        <f>C21-C33</f>
        <v>0</v>
      </c>
      <c r="D34" s="433">
        <f>D21-D33</f>
        <v>0</v>
      </c>
      <c r="E34" s="287" t="s">
        <v>292</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74" t="str">
        <f>CONCATENATE("Amount of  ",$E$1-1," Ad Valorem Tax")</f>
        <v>Amount of  2013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2014 Fund Mill Rate</v>
      </c>
      <c r="I43" s="702"/>
      <c r="J43" s="703"/>
      <c r="K43" s="628"/>
    </row>
    <row r="44" spans="2:11" ht="15.75">
      <c r="B44" s="124"/>
      <c r="C44" s="428" t="s">
        <v>11</v>
      </c>
      <c r="D44" s="430" t="s">
        <v>12</v>
      </c>
      <c r="E44" s="132" t="s">
        <v>13</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12.048</v>
      </c>
      <c r="H45" s="679" t="str">
        <f>CONCATENATE("Total ",E1," Mill Rate")</f>
        <v>Total 2014 Mill Rate</v>
      </c>
      <c r="I45" s="702"/>
      <c r="J45" s="703"/>
      <c r="K45" s="628"/>
    </row>
    <row r="46" spans="2:11" ht="15.75">
      <c r="B46" s="137" t="s">
        <v>120</v>
      </c>
      <c r="C46" s="284"/>
      <c r="D46" s="426">
        <f>C74</f>
        <v>0</v>
      </c>
      <c r="E46" s="263">
        <f>D74</f>
        <v>0</v>
      </c>
      <c r="G46" s="705">
        <f>summ!F36</f>
        <v>12.041</v>
      </c>
      <c r="H46" s="708" t="str">
        <f>CONCATENATE("Total ",E1-1," Mill Rate")</f>
        <v>Total 2013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2015</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2015</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121</v>
      </c>
      <c r="C74" s="433">
        <f>C61-C73</f>
        <v>0</v>
      </c>
      <c r="D74" s="433">
        <f>D61-D73</f>
        <v>0</v>
      </c>
      <c r="E74" s="287" t="s">
        <v>292</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74" t="str">
        <f>CONCATENATE("Amount of  ",$E$1-1," Ad Valorem Tax")</f>
        <v>Amount of  2013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12.048</v>
      </c>
      <c r="H85" s="679" t="str">
        <f>CONCATENATE("Total ",E1," Mill Rate")</f>
        <v>Total 2014 Mill Rate</v>
      </c>
      <c r="I85" s="702"/>
      <c r="J85" s="703"/>
      <c r="K85" s="628"/>
    </row>
    <row r="86" spans="7:11" ht="15.75">
      <c r="G86" s="705">
        <f>summ!F36</f>
        <v>12.041</v>
      </c>
      <c r="H86" s="708" t="str">
        <f>CONCATENATE("Total ",E1-1," Mill Rate")</f>
        <v>Total 2013 Mill Rate</v>
      </c>
      <c r="I86" s="709"/>
      <c r="J86" s="710"/>
      <c r="K86" s="628"/>
    </row>
    <row r="88" spans="7:9" ht="15.75">
      <c r="G88" s="816" t="s">
        <v>928</v>
      </c>
      <c r="H88" s="815"/>
      <c r="I88" s="814"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SALEM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939</v>
      </c>
      <c r="E2" s="21"/>
    </row>
    <row r="3" spans="1:5" ht="15.75">
      <c r="A3" s="32" t="s">
        <v>228</v>
      </c>
      <c r="B3" s="15"/>
      <c r="C3" s="15"/>
      <c r="D3" s="46" t="s">
        <v>940</v>
      </c>
      <c r="E3" s="21"/>
    </row>
    <row r="4" spans="1:5" ht="15.75">
      <c r="A4" s="15"/>
      <c r="B4" s="15"/>
      <c r="C4" s="15"/>
      <c r="D4" s="15"/>
      <c r="E4" s="15"/>
    </row>
    <row r="5" spans="1:5" ht="15.75">
      <c r="A5" s="20" t="s">
        <v>149</v>
      </c>
      <c r="B5" s="15"/>
      <c r="C5" s="15"/>
      <c r="D5" s="91">
        <v>2014</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2013 Budget, Certificate Page:</v>
      </c>
      <c r="B13" s="62"/>
      <c r="C13" s="17"/>
      <c r="D13" s="15"/>
      <c r="E13" s="15"/>
      <c r="F13" s="124"/>
      <c r="G13" s="129"/>
      <c r="H13" s="599"/>
    </row>
    <row r="14" spans="1:8" ht="15.75">
      <c r="A14" s="61" t="s">
        <v>319</v>
      </c>
      <c r="B14" s="62"/>
      <c r="C14" s="17"/>
      <c r="D14" s="113">
        <f>$D$5-1</f>
        <v>2013</v>
      </c>
      <c r="E14" s="112">
        <f>$D$5-2</f>
        <v>2012</v>
      </c>
      <c r="F14" s="220"/>
      <c r="G14" s="198" t="s">
        <v>764</v>
      </c>
      <c r="H14" s="145" t="s">
        <v>29</v>
      </c>
    </row>
    <row r="15" spans="1:8" ht="15.75">
      <c r="A15" s="16" t="s">
        <v>274</v>
      </c>
      <c r="B15" s="15"/>
      <c r="C15" s="69" t="s">
        <v>273</v>
      </c>
      <c r="D15" s="114" t="s">
        <v>347</v>
      </c>
      <c r="E15" s="111" t="s">
        <v>16</v>
      </c>
      <c r="F15" s="220"/>
      <c r="G15" s="200" t="str">
        <f>CONCATENATE("",E14," Ad Valorem Tax")</f>
        <v>2012 Ad Valorem Tax</v>
      </c>
      <c r="H15" s="600">
        <v>0</v>
      </c>
    </row>
    <row r="16" spans="1:8" ht="15.75">
      <c r="A16" s="15"/>
      <c r="B16" s="29" t="s">
        <v>275</v>
      </c>
      <c r="C16" s="60" t="s">
        <v>276</v>
      </c>
      <c r="D16" s="7">
        <v>5425</v>
      </c>
      <c r="E16" s="7">
        <v>4104</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v>22650</v>
      </c>
      <c r="E19" s="7">
        <v>16730</v>
      </c>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20834</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28075</v>
      </c>
      <c r="E35" s="15"/>
    </row>
    <row r="36" spans="1:5" ht="15.75">
      <c r="A36" s="15"/>
      <c r="B36" s="15"/>
      <c r="C36" s="15"/>
      <c r="D36" s="15"/>
      <c r="E36" s="15"/>
    </row>
    <row r="37" spans="1:5" ht="15.75">
      <c r="A37" s="44" t="s">
        <v>342</v>
      </c>
      <c r="B37" s="21"/>
      <c r="C37" s="15"/>
      <c r="D37" s="15"/>
      <c r="E37" s="15"/>
    </row>
    <row r="38" spans="1:5" ht="15.75">
      <c r="A38" s="122">
        <v>1</v>
      </c>
      <c r="B38" s="83" t="s">
        <v>944</v>
      </c>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2011 Tax Rate                    (2012 Column)</v>
      </c>
      <c r="E44" s="15"/>
    </row>
    <row r="45" spans="1:5" ht="15.75">
      <c r="A45" s="61" t="str">
        <f>CONCATENATE("the ",D5-1," Budget, Budget Summary Page:")</f>
        <v>the 2013 Budget, Budget Summary Page:</v>
      </c>
      <c r="B45" s="75"/>
      <c r="C45" s="15"/>
      <c r="D45" s="820"/>
      <c r="E45" s="15"/>
    </row>
    <row r="46" spans="1:5" ht="15.75">
      <c r="A46" s="15"/>
      <c r="B46" s="14" t="str">
        <f>B16</f>
        <v>General</v>
      </c>
      <c r="C46" s="15"/>
      <c r="D46" s="72">
        <v>2.376</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v>9.664</v>
      </c>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12.04</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17760</v>
      </c>
    </row>
    <row r="61" spans="1:5" ht="15.75">
      <c r="A61" s="117" t="str">
        <f>CONCATENATE("Assessed Valuation (",D5-2," budget column)")</f>
        <v>Assessed Valuation (2012 budget column)</v>
      </c>
      <c r="B61" s="79"/>
      <c r="C61" s="43"/>
      <c r="D61" s="50"/>
      <c r="E61" s="7">
        <v>1475001</v>
      </c>
    </row>
    <row r="62" spans="1:5" ht="15.75">
      <c r="A62" s="44"/>
      <c r="B62" s="21"/>
      <c r="C62" s="21"/>
      <c r="D62" s="21"/>
      <c r="E62" s="74"/>
    </row>
    <row r="63" spans="1:5" ht="15.75">
      <c r="A63" s="15"/>
      <c r="B63" s="15"/>
      <c r="C63" s="15"/>
      <c r="D63" s="15"/>
      <c r="E63" s="19"/>
    </row>
    <row r="64" spans="1:5" ht="15.75">
      <c r="A64" s="47" t="s">
        <v>203</v>
      </c>
      <c r="B64" s="47"/>
      <c r="C64" s="48"/>
      <c r="D64" s="76">
        <f>D5-3</f>
        <v>2011</v>
      </c>
      <c r="E64" s="76">
        <f>D5-2</f>
        <v>2012</v>
      </c>
    </row>
    <row r="65" spans="1:5" ht="15.75">
      <c r="A65" s="77" t="s">
        <v>168</v>
      </c>
      <c r="B65" s="77"/>
      <c r="C65" s="78"/>
      <c r="D65" s="13">
        <v>0</v>
      </c>
      <c r="E65" s="13">
        <v>0</v>
      </c>
    </row>
    <row r="66" spans="1:5" ht="15.75">
      <c r="A66" s="79" t="s">
        <v>169</v>
      </c>
      <c r="B66" s="79"/>
      <c r="C66" s="80"/>
      <c r="D66" s="13">
        <v>0</v>
      </c>
      <c r="E66" s="13">
        <v>0</v>
      </c>
    </row>
    <row r="67" spans="1:5" ht="15.75">
      <c r="A67" s="79" t="s">
        <v>170</v>
      </c>
      <c r="B67" s="79"/>
      <c r="C67" s="80"/>
      <c r="D67" s="13">
        <v>0</v>
      </c>
      <c r="E67" s="13">
        <v>0</v>
      </c>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SALEM TOWNSHIP</v>
      </c>
      <c r="C1" s="124"/>
      <c r="D1" s="124"/>
      <c r="E1" s="191">
        <f>inputPrYr!D5</f>
        <v>2014</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2012</v>
      </c>
      <c r="D5" s="136" t="str">
        <f>gen!D5</f>
        <v>Estimate for 2013</v>
      </c>
      <c r="E5" s="136" t="str">
        <f>gen!E5</f>
        <v>Year for 2014</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2012</v>
      </c>
      <c r="D36" s="136" t="str">
        <f>D5</f>
        <v>Estimate for 2013</v>
      </c>
      <c r="E36" s="136" t="str">
        <f>E5</f>
        <v>Year for 2014</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SALEM TOWNSHIP</v>
      </c>
      <c r="B1" s="321"/>
      <c r="C1" s="170"/>
      <c r="D1" s="170"/>
      <c r="E1" s="170"/>
      <c r="F1" s="322" t="s">
        <v>330</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t="str">
        <f>inputPrYr!B38</f>
        <v>SpecialMachinery</v>
      </c>
      <c r="B5" s="897"/>
      <c r="C5" s="896">
        <f>inputPrYr!B39</f>
        <v>0</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E21" sqref="E2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SALEM TOWNSHIP</v>
      </c>
      <c r="C5" s="909"/>
      <c r="D5" s="909"/>
      <c r="E5" s="909"/>
      <c r="F5" s="909"/>
      <c r="G5" s="909"/>
      <c r="H5" s="909"/>
      <c r="I5" s="909"/>
    </row>
    <row r="6" spans="2:9" ht="15.75">
      <c r="B6" s="909" t="str">
        <f>inputPrYr!D3</f>
        <v>GREENWOOD COUNTY</v>
      </c>
      <c r="C6" s="909"/>
      <c r="D6" s="909"/>
      <c r="E6" s="909"/>
      <c r="F6" s="909"/>
      <c r="G6" s="909"/>
      <c r="H6" s="909"/>
      <c r="I6" s="909"/>
    </row>
    <row r="7" spans="2:9" ht="15.75">
      <c r="B7" s="908" t="str">
        <f>CONCATENATE("will meet on ",inputBudSum!B8," at ",inputBudSum!B10," at ",inputBudSum!B12," for the purpose of hearing and")</f>
        <v>will meet on AUGUST 5, 2013 at 7:00  PM at Residence Barney Nordmeyer for the purpose of hearing and</v>
      </c>
      <c r="C7" s="908"/>
      <c r="D7" s="908"/>
      <c r="E7" s="908"/>
      <c r="F7" s="908"/>
      <c r="G7" s="908"/>
      <c r="H7" s="908"/>
      <c r="I7" s="908"/>
    </row>
    <row r="8" spans="2:9" ht="15.75">
      <c r="B8" s="904" t="s">
        <v>383</v>
      </c>
      <c r="C8" s="916"/>
      <c r="D8" s="916"/>
      <c r="E8" s="916"/>
      <c r="F8" s="916"/>
      <c r="G8" s="916"/>
      <c r="H8" s="916"/>
      <c r="I8" s="916"/>
    </row>
    <row r="9" spans="2:9" ht="15.75">
      <c r="B9" s="908" t="str">
        <f>CONCATENATE("Detailed budget information is available at ",inputBudSum!B15," and will be available at this hearing.")</f>
        <v>Detailed budget information is available at Residence of Barney Nordmeyer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2014 Expenditures and Amount of 2013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2014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905" t="str">
        <f>CONCATENATE("Amount of ",I1-1," Ad Valorem Tax")</f>
        <v>Amount of 2013 Ad Valorem Tax</v>
      </c>
      <c r="I15" s="24" t="s">
        <v>40</v>
      </c>
      <c r="J15" s="10"/>
    </row>
    <row r="16" spans="2:10" ht="15.75">
      <c r="B16" s="769"/>
      <c r="C16" s="39"/>
      <c r="D16" s="39" t="s">
        <v>41</v>
      </c>
      <c r="E16" s="39"/>
      <c r="F16" s="39" t="s">
        <v>41</v>
      </c>
      <c r="G16" s="583" t="s">
        <v>210</v>
      </c>
      <c r="H16" s="906"/>
      <c r="I16" s="39" t="s">
        <v>41</v>
      </c>
      <c r="J16" s="10"/>
    </row>
    <row r="17" spans="2:10" ht="15.75">
      <c r="B17" s="25" t="s">
        <v>288</v>
      </c>
      <c r="C17" s="25" t="s">
        <v>42</v>
      </c>
      <c r="D17" s="25" t="s">
        <v>43</v>
      </c>
      <c r="E17" s="25" t="s">
        <v>42</v>
      </c>
      <c r="F17" s="25" t="s">
        <v>43</v>
      </c>
      <c r="G17" s="576" t="s">
        <v>721</v>
      </c>
      <c r="H17" s="907"/>
      <c r="I17" s="25" t="s">
        <v>43</v>
      </c>
      <c r="J17" s="10"/>
    </row>
    <row r="18" spans="2:10" ht="15.75">
      <c r="B18" s="14" t="str">
        <f>inputPrYr!B16</f>
        <v>General</v>
      </c>
      <c r="C18" s="528">
        <f>IF(gen!$C$50&lt;&gt;0,gen!$C$50,"  ")</f>
        <v>3775</v>
      </c>
      <c r="D18" s="533">
        <f>IF(inputPrYr!D46&gt;0,inputPrYr!D46,"  ")</f>
        <v>2.376</v>
      </c>
      <c r="E18" s="528">
        <f>IF(gen!$D$50&lt;&gt;0,gen!$D$50,"  ")</f>
        <v>4433</v>
      </c>
      <c r="F18" s="533">
        <f>IF(inputOth!D17&gt;0,inputOth!D17,"  ")</f>
        <v>2.372</v>
      </c>
      <c r="G18" s="528">
        <f>IF(gen!$E$50&lt;&gt;0,gen!$E$50,"  ")</f>
        <v>5450</v>
      </c>
      <c r="H18" s="528">
        <f>IF(gen!$E$57&lt;&gt;0,gen!$E$57," ")</f>
        <v>4242</v>
      </c>
      <c r="I18" s="536">
        <f>IF(gen!E57&gt;0,ROUND(H18/$G$41*1000,3)," ")</f>
        <v>2.298</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f>IF(road!$C$43&lt;&gt;0,road!$C$43,"  ")</f>
        <v>8517</v>
      </c>
      <c r="D21" s="533">
        <f>IF(inputPrYr!D49&gt;0,inputPrYr!D49,"  ")</f>
        <v>9.664</v>
      </c>
      <c r="E21" s="528">
        <f>IF(road!$D$43&lt;&gt;0,road!$D$43,"  ")</f>
        <v>22650</v>
      </c>
      <c r="F21" s="533">
        <f>IF(inputOth!D20&gt;0,inputOth!D20,"  ")</f>
        <v>9.669</v>
      </c>
      <c r="G21" s="528">
        <f>IF(road!$E$43&lt;&gt;0,road!$E$43,"  ")</f>
        <v>33000</v>
      </c>
      <c r="H21" s="528">
        <f>IF(road!$E$50&lt;&gt;0,road!$E$50,"  ")</f>
        <v>17999</v>
      </c>
      <c r="I21" s="536">
        <f>IF(road!E50&gt;0,ROUND(H21/$G$41*1000,3)," ")</f>
        <v>9.75</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2014</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1846</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2013?</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12.041</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Non-Budgeted Funds</v>
      </c>
      <c r="C34" s="354" t="str">
        <f>IF((nonbud!$K$28)&lt;&gt;0,(nonbud!$K$28),"  ")</f>
        <v>  </v>
      </c>
      <c r="D34" s="533"/>
      <c r="E34" s="528"/>
      <c r="F34" s="533"/>
      <c r="G34" s="528"/>
      <c r="H34" s="528"/>
      <c r="I34" s="533"/>
      <c r="K34" s="568" t="str">
        <f>IF($N$34&lt;0,"Reduced By:","")</f>
        <v>Reduced By:</v>
      </c>
      <c r="L34" s="554"/>
      <c r="M34" s="554"/>
      <c r="N34" s="569">
        <f>IF(N40&gt;0,N40*-1,0)</f>
        <v>-13</v>
      </c>
    </row>
    <row r="35" spans="2:14" ht="16.5" thickBot="1">
      <c r="B35" s="29" t="s">
        <v>290</v>
      </c>
      <c r="C35" s="529">
        <f>IF(road!C65&lt;&gt;0,road!C65,"  ")</f>
        <v>59807.71</v>
      </c>
      <c r="D35" s="534"/>
      <c r="E35" s="529"/>
      <c r="F35" s="534"/>
      <c r="G35" s="529"/>
      <c r="H35" s="529"/>
      <c r="I35" s="534"/>
      <c r="K35" s="570"/>
      <c r="L35" s="570"/>
      <c r="M35" s="570"/>
      <c r="N35" s="570"/>
    </row>
    <row r="36" spans="1:14" ht="15.75">
      <c r="A36" s="10"/>
      <c r="B36" s="29" t="s">
        <v>291</v>
      </c>
      <c r="C36" s="530">
        <f aca="true" t="shared" si="0" ref="C36:I36">SUM(C18:C35)</f>
        <v>72099.70999999999</v>
      </c>
      <c r="D36" s="535">
        <f t="shared" si="0"/>
        <v>12.04</v>
      </c>
      <c r="E36" s="530">
        <f t="shared" si="0"/>
        <v>27083</v>
      </c>
      <c r="F36" s="535">
        <f t="shared" si="0"/>
        <v>12.041</v>
      </c>
      <c r="G36" s="530">
        <f t="shared" si="0"/>
        <v>38450</v>
      </c>
      <c r="H36" s="530">
        <f t="shared" si="0"/>
        <v>22241</v>
      </c>
      <c r="I36" s="535">
        <f t="shared" si="0"/>
        <v>12.048</v>
      </c>
      <c r="K36" s="899" t="str">
        <f>CONCATENATE("Impact On Keeping The Same Mill Rate As For ",I1-1,"")</f>
        <v>Impact On Keeping The Same Mill Rate As For 2013</v>
      </c>
      <c r="L36" s="902"/>
      <c r="M36" s="902"/>
      <c r="N36" s="903"/>
    </row>
    <row r="37" spans="2:14" ht="15.75">
      <c r="B37" s="44" t="s">
        <v>44</v>
      </c>
      <c r="C37" s="528">
        <f>transfer!C29</f>
        <v>4500</v>
      </c>
      <c r="D37" s="15"/>
      <c r="E37" s="528">
        <f>transfer!D29</f>
        <v>0</v>
      </c>
      <c r="F37" s="26"/>
      <c r="G37" s="528">
        <f>transfer!E29</f>
        <v>0</v>
      </c>
      <c r="H37" s="15"/>
      <c r="I37" s="15"/>
      <c r="K37" s="562"/>
      <c r="L37" s="557"/>
      <c r="M37" s="557"/>
      <c r="N37" s="563"/>
    </row>
    <row r="38" spans="2:14" ht="16.5" thickBot="1">
      <c r="B38" s="44" t="s">
        <v>45</v>
      </c>
      <c r="C38" s="531">
        <f>C36-C37</f>
        <v>67599.70999999999</v>
      </c>
      <c r="D38" s="15"/>
      <c r="E38" s="531">
        <f>E36-E37</f>
        <v>27083</v>
      </c>
      <c r="F38" s="15"/>
      <c r="G38" s="531">
        <f>G36-G37</f>
        <v>38450</v>
      </c>
      <c r="H38" s="15"/>
      <c r="I38" s="15"/>
      <c r="K38" s="562" t="str">
        <f>CONCATENATE("",I1," Ad Valorem Tax Revenue:")</f>
        <v>2014 Ad Valorem Tax Revenue:</v>
      </c>
      <c r="L38" s="557"/>
      <c r="M38" s="557"/>
      <c r="N38" s="558">
        <f>H36</f>
        <v>22241</v>
      </c>
    </row>
    <row r="39" spans="2:14" ht="16.5" thickTop="1">
      <c r="B39" s="44" t="s">
        <v>46</v>
      </c>
      <c r="C39" s="532">
        <f>inputPrYr!E60</f>
        <v>17760</v>
      </c>
      <c r="D39" s="26"/>
      <c r="E39" s="532">
        <f>inputPrYr!E28</f>
        <v>20834</v>
      </c>
      <c r="F39" s="15"/>
      <c r="G39" s="522" t="s">
        <v>292</v>
      </c>
      <c r="H39" s="15"/>
      <c r="I39" s="15"/>
      <c r="K39" s="562" t="str">
        <f>CONCATENATE("",I1-1," Ad Valorem Tax Revenue:")</f>
        <v>2013 Ad Valorem Tax Revenue:</v>
      </c>
      <c r="L39" s="557"/>
      <c r="M39" s="557"/>
      <c r="N39" s="571">
        <f>ROUND(G41*N31/1000,0)</f>
        <v>22228</v>
      </c>
    </row>
    <row r="40" spans="2:14" ht="15.75">
      <c r="B40" s="44" t="s">
        <v>47</v>
      </c>
      <c r="C40" s="15"/>
      <c r="D40" s="26"/>
      <c r="E40" s="15"/>
      <c r="F40" s="26"/>
      <c r="G40" s="15"/>
      <c r="H40" s="15"/>
      <c r="I40" s="15"/>
      <c r="K40" s="572" t="s">
        <v>719</v>
      </c>
      <c r="L40" s="573"/>
      <c r="M40" s="573"/>
      <c r="N40" s="561">
        <f>N38-N39</f>
        <v>13</v>
      </c>
    </row>
    <row r="41" spans="2:14" ht="15.75">
      <c r="B41" s="44" t="s">
        <v>48</v>
      </c>
      <c r="C41" s="14">
        <f>inputPrYr!E61</f>
        <v>1475001</v>
      </c>
      <c r="D41" s="15"/>
      <c r="E41" s="14">
        <f>inputOth!E31</f>
        <v>1730242</v>
      </c>
      <c r="F41" s="15"/>
      <c r="G41" s="14">
        <f>inputOth!E7</f>
        <v>1846035</v>
      </c>
      <c r="H41" s="15"/>
      <c r="I41" s="15"/>
      <c r="K41" s="574"/>
      <c r="L41" s="574"/>
      <c r="M41" s="574"/>
      <c r="N41" s="570"/>
    </row>
    <row r="42" spans="2:14" ht="15.75">
      <c r="B42" s="16" t="s">
        <v>49</v>
      </c>
      <c r="C42" s="15"/>
      <c r="D42" s="15"/>
      <c r="E42" s="15"/>
      <c r="F42" s="15"/>
      <c r="G42" s="15"/>
      <c r="H42" s="15"/>
      <c r="I42" s="15"/>
      <c r="K42" s="899" t="s">
        <v>720</v>
      </c>
      <c r="L42" s="900"/>
      <c r="M42" s="900"/>
      <c r="N42" s="901"/>
    </row>
    <row r="43" spans="2:14" ht="15.75">
      <c r="B43" s="16" t="s">
        <v>50</v>
      </c>
      <c r="C43" s="40">
        <f>I1-3</f>
        <v>2011</v>
      </c>
      <c r="D43" s="15"/>
      <c r="E43" s="40">
        <f>I1-2</f>
        <v>2012</v>
      </c>
      <c r="F43" s="15"/>
      <c r="G43" s="40">
        <f>I1-1</f>
        <v>2013</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12.048</v>
      </c>
    </row>
    <row r="45" spans="2:14" ht="15.7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t="str">
        <f>inputBudSum!B4</f>
        <v>SALEM  TOWNSHIP</v>
      </c>
      <c r="C50" s="913"/>
      <c r="D50" s="15"/>
      <c r="E50" s="15"/>
      <c r="F50" s="15"/>
      <c r="G50" s="15"/>
      <c r="H50" s="15"/>
      <c r="I50" s="15"/>
    </row>
    <row r="51" spans="2:9" ht="15.75">
      <c r="B51" s="912" t="str">
        <f>inputBudSum!B6</f>
        <v>GREENWOOD  COUNTY</v>
      </c>
      <c r="C51" s="910"/>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SALEM TOWNSHIP</v>
      </c>
      <c r="B1" s="15"/>
      <c r="C1" s="15"/>
      <c r="D1" s="15"/>
      <c r="E1" s="15"/>
      <c r="F1" s="15">
        <f>inputPrYr!D5</f>
        <v>2014</v>
      </c>
    </row>
    <row r="2" spans="1:6" ht="15.75">
      <c r="A2" s="15"/>
      <c r="B2" s="15"/>
      <c r="C2" s="15"/>
      <c r="D2" s="15"/>
      <c r="E2" s="15"/>
      <c r="F2" s="15"/>
    </row>
    <row r="3" spans="1:6" ht="15.75">
      <c r="A3" s="15"/>
      <c r="B3" s="919" t="str">
        <f>CONCATENATE("",F1," Neighborhood Revitalization Rebate")</f>
        <v>2014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2013 July 1 Valuation:</v>
      </c>
      <c r="B21" s="918"/>
      <c r="C21" s="921"/>
      <c r="D21" s="101">
        <f>inputOth!E7</f>
        <v>1846035</v>
      </c>
      <c r="E21" s="15"/>
      <c r="F21" s="48"/>
    </row>
    <row r="22" spans="1:6" ht="15.75">
      <c r="A22" s="15"/>
      <c r="B22" s="15"/>
      <c r="C22" s="15"/>
      <c r="D22" s="15"/>
      <c r="E22" s="15"/>
      <c r="F22" s="48"/>
    </row>
    <row r="23" spans="1:6" ht="15.75">
      <c r="A23" s="15"/>
      <c r="B23" s="921" t="s">
        <v>369</v>
      </c>
      <c r="C23" s="921"/>
      <c r="D23" s="102">
        <f>IF(D21&gt;0,(D21*0.001),"")</f>
        <v>1846.035</v>
      </c>
      <c r="E23" s="15"/>
      <c r="F23" s="48"/>
    </row>
    <row r="24" spans="1:6" ht="15.75">
      <c r="A24" s="15"/>
      <c r="B24" s="65"/>
      <c r="C24" s="65"/>
      <c r="D24" s="103"/>
      <c r="E24" s="15"/>
      <c r="F24" s="48"/>
    </row>
    <row r="25" spans="1:6" ht="15.75">
      <c r="A25" s="917" t="s">
        <v>370</v>
      </c>
      <c r="B25" s="915"/>
      <c r="C25" s="915"/>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33" sqref="D33:G33"/>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SALEM TOWNSHIP </v>
      </c>
      <c r="I6">
        <f>CONCATENATE(I7)</f>
      </c>
    </row>
    <row r="7" spans="1:7" ht="15.75">
      <c r="A7" s="930" t="str">
        <f>CONCATENATE("   with respect to financing the ",inputPrYr!D5," annual budget for ",(inputPrYr!D2)," , ",(inputPrYr!D3)," , Kansas.")</f>
        <v>   with respect to financing the 2014 annual budget for SALEM TOWNSHIP , GREENWOOD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2014 SALEM TOWNSHIP budget exceed the amount levied to finance the 2013</v>
      </c>
    </row>
    <row r="12" spans="1:7" ht="15.75">
      <c r="A12" s="927" t="str">
        <f>CONCATENATE((inputPrYr!D2)," Township budget, except with regard to revenue produced and attributable to the taxation of 1) new improvements to real property; 2) increased personal property valuation, other than increased")</f>
        <v>SALEM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SALEM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SALEM TOWNSHIP of GREENWOOD COUNTY, Kansas that is our desire to notify the public of increased property taxes to finance the 2014 SALEM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2013 by the SALEM TOWNSHIP Board, GREENWOOD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SALEM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2012 'total expenditures' exceed your 2012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2014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2012 budget was amended, did you</v>
      </c>
    </row>
    <row r="26" ht="15.75">
      <c r="A26" s="408" t="s">
        <v>402</v>
      </c>
    </row>
    <row r="27" ht="15.75">
      <c r="A27" s="408"/>
    </row>
    <row r="28" ht="15.75">
      <c r="A28" s="408" t="str">
        <f>CONCATENATE("Next, look to see if any of your ",inputPrYr!D5-2," expenditures can be")</f>
        <v>Next, look to see if any of your 2012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2012 financial records have been closed?</v>
      </c>
    </row>
    <row r="76" ht="15.75">
      <c r="A76" s="408" t="s">
        <v>439</v>
      </c>
    </row>
    <row r="77" ht="15.75">
      <c r="A77" s="408" t="str">
        <f>CONCATENATE("(i.e. an audit for ",inputPrYr!D5-2," has been completed, or the ",inputPrYr!D5)</f>
        <v>(i.e. an audit for 2012 has been completed, or the 2014</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2014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SALEM TOWNSHIP</v>
      </c>
      <c r="B1" s="170"/>
      <c r="C1" s="170"/>
      <c r="D1" s="170"/>
      <c r="E1" s="170">
        <f>inputPrYr!D5</f>
        <v>2014</v>
      </c>
    </row>
    <row r="2" spans="1:5" ht="15.75">
      <c r="A2" s="221" t="str">
        <f>inputPrYr!D3</f>
        <v>GREENWOOD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1846035</v>
      </c>
    </row>
    <row r="8" spans="1:5" ht="15.75">
      <c r="A8" s="130" t="str">
        <f>CONCATENATE("New Improvements for ",E1-1,"")</f>
        <v>New Improvements for 2013</v>
      </c>
      <c r="B8" s="129"/>
      <c r="C8" s="129"/>
      <c r="D8" s="129"/>
      <c r="E8" s="358">
        <v>1726</v>
      </c>
    </row>
    <row r="9" spans="1:5" ht="15.75">
      <c r="A9" s="130" t="str">
        <f>CONCATENATE("Personal Property excluding oil, gas, and mobile homes - ",E1-1,"")</f>
        <v>Personal Property excluding oil, gas, and mobile homes - 2013</v>
      </c>
      <c r="B9" s="129"/>
      <c r="C9" s="129"/>
      <c r="D9" s="129"/>
      <c r="E9" s="358">
        <v>8545</v>
      </c>
    </row>
    <row r="10" spans="1:5" ht="15.75">
      <c r="A10" s="130" t="str">
        <f>CONCATENATE("Property that has changed in use for ",E1-1,"")</f>
        <v>Property that has changed in use for 2013</v>
      </c>
      <c r="B10" s="129"/>
      <c r="C10" s="129"/>
      <c r="D10" s="129"/>
      <c r="E10" s="358">
        <v>1929</v>
      </c>
    </row>
    <row r="11" spans="1:5" ht="15.75">
      <c r="A11" s="130" t="str">
        <f>CONCATENATE("Personal Property excluding oil, gas, and mobile homes- ",E1-2,"")</f>
        <v>Personal Property excluding oil, gas, and mobile homes- 2012</v>
      </c>
      <c r="B11" s="129"/>
      <c r="C11" s="129"/>
      <c r="D11" s="129"/>
      <c r="E11" s="358">
        <v>20222</v>
      </c>
    </row>
    <row r="12" spans="1:5" ht="15.75">
      <c r="A12" s="130" t="str">
        <f>CONCATENATE("Gross earnings (intangible) tax estimate for ",E1,"")</f>
        <v>Gross earnings (intangible) tax estimate for 2014</v>
      </c>
      <c r="B12" s="129"/>
      <c r="C12" s="129"/>
      <c r="D12" s="129"/>
      <c r="E12" s="358">
        <v>0</v>
      </c>
    </row>
    <row r="13" spans="1:5" ht="15.75">
      <c r="A13" s="130" t="str">
        <f>CONCATENATE("Neighborhood Revitalization - ",E1,"")</f>
        <v>Neighborhood Revitalization - 2014</v>
      </c>
      <c r="B13" s="129"/>
      <c r="C13" s="129"/>
      <c r="D13" s="129"/>
      <c r="E13" s="358">
        <v>0</v>
      </c>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28" t="s">
        <v>288</v>
      </c>
      <c r="B16" s="829"/>
      <c r="C16" s="170"/>
      <c r="D16" s="362" t="s">
        <v>3</v>
      </c>
      <c r="E16" s="361"/>
    </row>
    <row r="17" spans="1:5" ht="15.75">
      <c r="A17" s="134" t="str">
        <f>inputPrYr!B16</f>
        <v>General</v>
      </c>
      <c r="B17" s="135"/>
      <c r="C17" s="129"/>
      <c r="D17" s="363">
        <v>2.372</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v>9.669</v>
      </c>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12.041</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1730242</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162</v>
      </c>
      <c r="B34" s="135"/>
      <c r="C34" s="135"/>
      <c r="D34" s="370"/>
      <c r="E34" s="258">
        <v>687</v>
      </c>
    </row>
    <row r="35" spans="1:5" ht="15.75">
      <c r="A35" s="371" t="s">
        <v>279</v>
      </c>
      <c r="B35" s="156"/>
      <c r="C35" s="156"/>
      <c r="D35" s="286"/>
      <c r="E35" s="258">
        <v>19</v>
      </c>
    </row>
    <row r="36" spans="1:5" ht="15.75">
      <c r="A36" s="371" t="s">
        <v>163</v>
      </c>
      <c r="B36" s="156"/>
      <c r="C36" s="156"/>
      <c r="D36" s="286"/>
      <c r="E36" s="258">
        <v>349</v>
      </c>
    </row>
    <row r="37" spans="1:5" ht="15.75">
      <c r="A37" s="371" t="s">
        <v>164</v>
      </c>
      <c r="B37" s="156"/>
      <c r="C37" s="156"/>
      <c r="D37" s="286"/>
      <c r="E37" s="258"/>
    </row>
    <row r="38" spans="1:5" ht="15.75">
      <c r="A38" s="371" t="s">
        <v>102</v>
      </c>
      <c r="B38" s="135"/>
      <c r="C38" s="135"/>
      <c r="D38" s="370"/>
      <c r="E38" s="258"/>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0.00651629</v>
      </c>
    </row>
    <row r="42" spans="1:5" ht="15.75">
      <c r="A42" s="134" t="s">
        <v>849</v>
      </c>
      <c r="B42" s="165"/>
      <c r="C42" s="129"/>
      <c r="D42" s="129"/>
      <c r="E42" s="600">
        <v>0</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75">
      <c r="A46" s="375"/>
      <c r="B46" s="375" t="str">
        <f>CONCATENATE("",E1-2," Expenditure Amounts")</f>
        <v>2012 Expenditure Amounts</v>
      </c>
      <c r="C46" s="832" t="str">
        <f>CONCATENATE("Note: If the ",E1-2," budget was amended, then the")</f>
        <v>Note: If the 2012 budget was amended, then the</v>
      </c>
      <c r="D46" s="833"/>
      <c r="E46" s="833"/>
    </row>
    <row r="47" spans="1:5" ht="15.75">
      <c r="A47" s="376" t="s">
        <v>209</v>
      </c>
      <c r="B47" s="376" t="s">
        <v>210</v>
      </c>
      <c r="C47" s="377" t="s">
        <v>211</v>
      </c>
      <c r="D47" s="378"/>
      <c r="E47" s="378"/>
    </row>
    <row r="48" spans="1:5" ht="15.75">
      <c r="A48" s="379" t="str">
        <f>inputPrYr!B16</f>
        <v>General</v>
      </c>
      <c r="B48" s="289">
        <v>5425</v>
      </c>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v>22650</v>
      </c>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2014 'total expenditures' exceed your 2014</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4.25">
      <c r="A8" s="511"/>
      <c r="B8" s="935" t="s">
        <v>645</v>
      </c>
      <c r="C8" s="935"/>
      <c r="D8" s="935"/>
      <c r="E8" s="935"/>
      <c r="F8" s="935"/>
      <c r="G8" s="935"/>
      <c r="H8" s="935"/>
      <c r="I8" s="935"/>
      <c r="J8" s="935"/>
      <c r="K8" s="935"/>
      <c r="L8" s="511"/>
    </row>
    <row r="9" spans="1:12" ht="14.25">
      <c r="A9" s="511"/>
      <c r="L9" s="511"/>
    </row>
    <row r="10" spans="1:12" ht="14.25">
      <c r="A10" s="511"/>
      <c r="B10" s="935" t="s">
        <v>646</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37">
        <v>312000000</v>
      </c>
      <c r="G23" s="937"/>
      <c r="L23" s="511"/>
    </row>
    <row r="24" spans="1:12" ht="14.25">
      <c r="A24" s="511"/>
      <c r="L24" s="511"/>
    </row>
    <row r="25" spans="1:12" ht="14.25">
      <c r="A25" s="511"/>
      <c r="C25" s="938">
        <f>F23</f>
        <v>312000000</v>
      </c>
      <c r="D25" s="93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4.25">
      <c r="A31" s="511"/>
      <c r="B31" s="935" t="s">
        <v>656</v>
      </c>
      <c r="C31" s="935"/>
      <c r="D31" s="935"/>
      <c r="E31" s="935"/>
      <c r="F31" s="935"/>
      <c r="G31" s="935"/>
      <c r="H31" s="935"/>
      <c r="I31" s="935"/>
      <c r="J31" s="935"/>
      <c r="K31" s="935"/>
      <c r="L31" s="511"/>
    </row>
    <row r="32" spans="1:12" ht="14.25">
      <c r="A32" s="511"/>
      <c r="L32" s="511"/>
    </row>
    <row r="33" spans="1:12" ht="14.25">
      <c r="A33" s="511"/>
      <c r="B33" s="935" t="s">
        <v>657</v>
      </c>
      <c r="C33" s="935"/>
      <c r="D33" s="935"/>
      <c r="E33" s="935"/>
      <c r="F33" s="935"/>
      <c r="G33" s="935"/>
      <c r="H33" s="935"/>
      <c r="I33" s="935"/>
      <c r="J33" s="935"/>
      <c r="K33" s="935"/>
      <c r="L33" s="511"/>
    </row>
    <row r="34" spans="1:12" ht="14.25">
      <c r="A34" s="511"/>
      <c r="L34" s="511"/>
    </row>
    <row r="35" spans="1:12" ht="89.25" customHeight="1">
      <c r="A35" s="511"/>
      <c r="B35" s="936" t="s">
        <v>658</v>
      </c>
      <c r="C35" s="940"/>
      <c r="D35" s="940"/>
      <c r="E35" s="940"/>
      <c r="F35" s="940"/>
      <c r="G35" s="940"/>
      <c r="H35" s="940"/>
      <c r="I35" s="940"/>
      <c r="J35" s="940"/>
      <c r="K35" s="94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41">
        <v>312000000</v>
      </c>
      <c r="D41" s="941"/>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42">
        <v>312000000</v>
      </c>
      <c r="C48" s="937"/>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43" t="s">
        <v>666</v>
      </c>
      <c r="H50" s="944"/>
      <c r="I50" s="594" t="s">
        <v>652</v>
      </c>
      <c r="J50" s="491">
        <f>B50/F50</f>
        <v>0.16025641025641027</v>
      </c>
      <c r="K50" s="499"/>
      <c r="L50" s="511"/>
    </row>
    <row r="51" spans="1:15" ht="1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4.25">
      <c r="A53" s="511"/>
      <c r="B53" s="935" t="s">
        <v>668</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37">
        <v>312000000</v>
      </c>
      <c r="D74" s="937"/>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37">
        <v>50000</v>
      </c>
      <c r="D77" s="937"/>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37">
        <v>100000</v>
      </c>
      <c r="D80" s="937"/>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4.25">
      <c r="A86" s="511"/>
      <c r="B86" s="931" t="s">
        <v>686</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687</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37">
        <v>312000000</v>
      </c>
      <c r="D114" s="937"/>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37">
        <v>2500000</v>
      </c>
      <c r="D120" s="937"/>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4.25">
      <c r="A126" s="511"/>
      <c r="B126" s="931" t="s">
        <v>693</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694</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52" t="s">
        <v>696</v>
      </c>
      <c r="D133" s="952"/>
      <c r="E133" s="501"/>
      <c r="F133" s="594" t="s">
        <v>697</v>
      </c>
      <c r="G133" s="501"/>
      <c r="H133" s="952" t="s">
        <v>682</v>
      </c>
      <c r="I133" s="952"/>
      <c r="J133" s="501"/>
      <c r="K133" s="499"/>
      <c r="L133" s="511"/>
    </row>
    <row r="134" spans="1:12" ht="14.25">
      <c r="A134" s="511"/>
      <c r="B134" s="493" t="s">
        <v>675</v>
      </c>
      <c r="C134" s="937">
        <v>100000</v>
      </c>
      <c r="D134" s="937"/>
      <c r="E134" s="594" t="s">
        <v>292</v>
      </c>
      <c r="F134" s="594">
        <v>0.115</v>
      </c>
      <c r="G134" s="594" t="s">
        <v>652</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682</v>
      </c>
      <c r="D136" s="954"/>
      <c r="E136" s="483"/>
      <c r="F136" s="596" t="s">
        <v>698</v>
      </c>
      <c r="G136" s="596"/>
      <c r="H136" s="483"/>
      <c r="I136" s="483"/>
      <c r="J136" s="483" t="s">
        <v>699</v>
      </c>
      <c r="K136" s="482"/>
      <c r="L136" s="511"/>
    </row>
    <row r="137" spans="1:12" ht="14.2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53" t="s">
        <v>703</v>
      </c>
      <c r="D147" s="953"/>
      <c r="E147" s="594"/>
      <c r="F147" s="447" t="s">
        <v>704</v>
      </c>
      <c r="G147" s="594"/>
      <c r="H147" s="594"/>
      <c r="I147" s="594"/>
      <c r="J147" s="958" t="s">
        <v>705</v>
      </c>
      <c r="K147" s="959"/>
      <c r="L147" s="511"/>
    </row>
    <row r="148" spans="1:12" ht="14.25">
      <c r="A148" s="511"/>
      <c r="B148" s="493"/>
      <c r="C148" s="960">
        <v>52.869</v>
      </c>
      <c r="D148" s="960"/>
      <c r="E148" s="594" t="s">
        <v>292</v>
      </c>
      <c r="F148" s="590">
        <v>312000000</v>
      </c>
      <c r="G148" s="442" t="s">
        <v>653</v>
      </c>
      <c r="H148" s="594">
        <v>1000</v>
      </c>
      <c r="I148" s="594" t="s">
        <v>652</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B15" sqref="B15"/>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945</v>
      </c>
      <c r="J4" s="742" t="s">
        <v>840</v>
      </c>
    </row>
    <row r="5" spans="1:10" ht="15.75">
      <c r="A5" s="1"/>
      <c r="B5" s="741"/>
      <c r="J5" s="742" t="s">
        <v>841</v>
      </c>
    </row>
    <row r="6" spans="1:10" ht="15.75">
      <c r="A6" s="1" t="s">
        <v>836</v>
      </c>
      <c r="B6" s="395" t="s">
        <v>946</v>
      </c>
      <c r="J6" s="742" t="s">
        <v>842</v>
      </c>
    </row>
    <row r="7" spans="1:10" ht="15.75">
      <c r="A7" s="392"/>
      <c r="B7" s="392"/>
      <c r="C7" s="392"/>
      <c r="D7" s="393"/>
      <c r="E7" s="392"/>
      <c r="F7" s="392"/>
      <c r="J7" s="742" t="s">
        <v>843</v>
      </c>
    </row>
    <row r="8" spans="1:10" ht="15.75">
      <c r="A8" s="394" t="s">
        <v>374</v>
      </c>
      <c r="B8" s="395" t="s">
        <v>947</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July 26, 2013</v>
      </c>
      <c r="E9" s="392"/>
      <c r="F9" s="392"/>
      <c r="J9" s="742" t="s">
        <v>845</v>
      </c>
    </row>
    <row r="10" spans="1:10" ht="15.75">
      <c r="A10" s="394" t="s">
        <v>375</v>
      </c>
      <c r="B10" s="395" t="s">
        <v>948</v>
      </c>
      <c r="C10" s="399"/>
      <c r="D10" s="394"/>
      <c r="E10" s="392"/>
      <c r="F10" s="392"/>
      <c r="J10" s="742" t="s">
        <v>846</v>
      </c>
    </row>
    <row r="11" spans="1:10" ht="15.75">
      <c r="A11" s="394"/>
      <c r="B11" s="394"/>
      <c r="C11" s="394"/>
      <c r="D11" s="394"/>
      <c r="E11" s="392"/>
      <c r="F11" s="392"/>
      <c r="J11" s="742" t="s">
        <v>847</v>
      </c>
    </row>
    <row r="12" spans="1:10" ht="15.75">
      <c r="A12" s="394" t="s">
        <v>376</v>
      </c>
      <c r="B12" s="400" t="s">
        <v>949</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950</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July</v>
      </c>
    </row>
    <row r="20" spans="1:7" ht="15.75">
      <c r="A20" s="394" t="s">
        <v>374</v>
      </c>
      <c r="B20" s="397" t="s">
        <v>379</v>
      </c>
      <c r="C20" s="394"/>
      <c r="D20" s="394"/>
      <c r="E20" s="394"/>
      <c r="G20" s="743" t="str">
        <f>IF(B8="","",CONCATENATE("J",G22))</f>
        <v>J7</v>
      </c>
    </row>
    <row r="21" spans="1:7" ht="15.75">
      <c r="A21" s="394"/>
      <c r="B21" s="394"/>
      <c r="C21" s="394"/>
      <c r="D21" s="394"/>
      <c r="E21" s="394"/>
      <c r="G21" s="744">
        <f>B8-10</f>
        <v>41481</v>
      </c>
    </row>
    <row r="22" spans="1:7" ht="15.75">
      <c r="A22" s="394" t="s">
        <v>375</v>
      </c>
      <c r="B22" s="394" t="s">
        <v>380</v>
      </c>
      <c r="C22" s="394"/>
      <c r="D22" s="394"/>
      <c r="E22" s="394"/>
      <c r="G22" s="745">
        <f>IF(B8="","",MONTH(G21))</f>
        <v>7</v>
      </c>
    </row>
    <row r="23" spans="1:7" ht="15.75">
      <c r="A23" s="394"/>
      <c r="B23" s="394"/>
      <c r="C23" s="394"/>
      <c r="D23" s="394"/>
      <c r="E23" s="394"/>
      <c r="G23" s="746">
        <f>IF(B8="","",DAY(G21))</f>
        <v>26</v>
      </c>
    </row>
    <row r="24" spans="1:7" ht="15.75">
      <c r="A24" s="394" t="s">
        <v>376</v>
      </c>
      <c r="B24" s="394" t="s">
        <v>381</v>
      </c>
      <c r="C24" s="394"/>
      <c r="D24" s="394"/>
      <c r="E24" s="394"/>
      <c r="G24" s="747">
        <f>IF(B8="","",YEAR(G21))</f>
        <v>2013</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28">
      <selection activeCell="D46" sqref="D46"/>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2014</v>
      </c>
    </row>
    <row r="2" spans="2:6" s="124" customFormat="1" ht="15.75">
      <c r="B2" s="125"/>
      <c r="C2" s="125"/>
      <c r="D2" s="125"/>
      <c r="E2" s="125"/>
      <c r="F2" s="126"/>
    </row>
    <row r="3" spans="1:7" s="124" customFormat="1" ht="15.75">
      <c r="A3" s="845" t="str">
        <f>CONCATENATE("To the Clerk of ",inputPrYr!D3,", State of Kansas")</f>
        <v>To the Clerk of GREENWOOD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SALEM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6.5">
      <c r="C11" s="129"/>
      <c r="D11" s="852" t="str">
        <f>CONCATENATE("",G1," Adopted Budget")</f>
        <v>2014 Adopted Budget</v>
      </c>
      <c r="E11" s="853"/>
      <c r="F11" s="854"/>
    </row>
    <row r="12" spans="1:6" s="124" customFormat="1" ht="15.75">
      <c r="A12" s="130"/>
      <c r="C12" s="128"/>
      <c r="D12" s="131" t="s">
        <v>280</v>
      </c>
      <c r="E12" s="849" t="str">
        <f>CONCATENATE("Amount of ",G1-1," Ad Valorem Tax")</f>
        <v>Amount of 2013 Ad Valorem Tax</v>
      </c>
      <c r="F12" s="132" t="s">
        <v>281</v>
      </c>
    </row>
    <row r="13" spans="3:6" s="124" customFormat="1" ht="15.75">
      <c r="C13" s="132" t="s">
        <v>282</v>
      </c>
      <c r="D13" s="577" t="s">
        <v>210</v>
      </c>
      <c r="E13" s="850"/>
      <c r="F13" s="133" t="s">
        <v>283</v>
      </c>
    </row>
    <row r="14" spans="1:6" s="124" customFormat="1" ht="15.75">
      <c r="A14" s="740" t="s">
        <v>284</v>
      </c>
      <c r="B14" s="135"/>
      <c r="C14" s="136" t="s">
        <v>285</v>
      </c>
      <c r="D14" s="578" t="s">
        <v>721</v>
      </c>
      <c r="E14" s="851"/>
      <c r="F14" s="136" t="s">
        <v>287</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t="str">
        <f>IF(gen!C61&gt;0,gen!C61,"  ")</f>
        <v>  </v>
      </c>
      <c r="D21" s="736">
        <f>IF(gen!$E$50&lt;&gt;0,gen!$E$50,"  ")</f>
        <v>5450</v>
      </c>
      <c r="E21" s="736">
        <f>IF(gen!$E$57&lt;&gt;0,gen!$E$57,0)</f>
        <v>4242</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f>IF(road!$E$43&lt;&gt;0,road!$E$43,"  ")</f>
        <v>33000</v>
      </c>
      <c r="E24" s="736">
        <f>IF(road!$E$50&lt;&gt;0,road!$E$50,"  ")</f>
        <v>17999</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Non-Budgeted Funds</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38450</v>
      </c>
      <c r="E39" s="738">
        <f>SUM(E21:E32)</f>
        <v>22241</v>
      </c>
      <c r="F39" s="739">
        <f>IF(SUM(F21:F32)&gt;0,SUM(F21:F32),"")</f>
      </c>
    </row>
    <row r="40" spans="1:3" s="124" customFormat="1" ht="16.5" thickTop="1">
      <c r="A40" s="137" t="s">
        <v>171</v>
      </c>
      <c r="B40" s="146"/>
      <c r="C40" s="152">
        <f>summ!D53</f>
        <v>0</v>
      </c>
    </row>
    <row r="41" spans="1:5" s="124" customFormat="1" ht="15.75">
      <c r="A41" s="137" t="s">
        <v>217</v>
      </c>
      <c r="B41" s="138"/>
      <c r="C41" s="152">
        <f>IF(nhood!C41&gt;0,nhood!C41,"")</f>
      </c>
      <c r="D41" s="158" t="s">
        <v>160</v>
      </c>
      <c r="E41" s="159" t="str">
        <f>IF(E39&gt;computation!J34,"Yes","No")</f>
        <v>Yes</v>
      </c>
    </row>
    <row r="42" spans="1:5" s="124" customFormat="1" ht="15.7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75">
      <c r="A46" s="165" t="s">
        <v>294</v>
      </c>
      <c r="D46" s="129"/>
      <c r="F46" s="130"/>
    </row>
    <row r="47" spans="1:6" s="124" customFormat="1" ht="15.75">
      <c r="A47" s="168" t="s">
        <v>954</v>
      </c>
      <c r="D47" s="162"/>
      <c r="E47" s="129"/>
      <c r="F47" s="129"/>
    </row>
    <row r="48" spans="1:2" s="124" customFormat="1" ht="15.75">
      <c r="A48" s="169" t="s">
        <v>955</v>
      </c>
      <c r="B48" s="128"/>
    </row>
    <row r="49" spans="1:6" s="124" customFormat="1" ht="15.75">
      <c r="A49" s="165" t="s">
        <v>148</v>
      </c>
      <c r="C49" s="129" t="s">
        <v>833</v>
      </c>
      <c r="D49" s="129"/>
      <c r="E49" s="129"/>
      <c r="F49" s="129"/>
    </row>
    <row r="50" spans="1:3" s="124" customFormat="1" ht="15.75">
      <c r="A50" s="168" t="s">
        <v>956</v>
      </c>
      <c r="C50" s="130"/>
    </row>
    <row r="51" spans="1:6" s="124" customFormat="1" ht="15.75">
      <c r="A51" s="169" t="s">
        <v>957</v>
      </c>
      <c r="B51" s="130"/>
      <c r="C51" s="129" t="s">
        <v>833</v>
      </c>
      <c r="D51" s="129"/>
      <c r="E51" s="128"/>
      <c r="F51" s="128"/>
    </row>
    <row r="52" spans="1:7" ht="15.75">
      <c r="A52" s="165" t="s">
        <v>832</v>
      </c>
      <c r="B52" s="128"/>
      <c r="C52" s="124"/>
      <c r="D52" s="124"/>
      <c r="E52" s="124"/>
      <c r="F52" s="124"/>
      <c r="G52" s="170"/>
    </row>
    <row r="53" spans="1:7" ht="15.75">
      <c r="A53" s="169" t="s">
        <v>958</v>
      </c>
      <c r="B53" s="128"/>
      <c r="C53" s="129" t="s">
        <v>833</v>
      </c>
      <c r="D53" s="129"/>
      <c r="E53" s="128"/>
      <c r="F53" s="128"/>
      <c r="G53" s="170"/>
    </row>
    <row r="54" spans="1:7" ht="15.75">
      <c r="A54" s="128"/>
      <c r="B54" s="124"/>
      <c r="C54" s="124"/>
      <c r="D54" s="124"/>
      <c r="E54" s="124"/>
      <c r="F54" s="124"/>
      <c r="G54" s="170"/>
    </row>
    <row r="55" spans="1:7" ht="15.75">
      <c r="A55" s="130" t="s">
        <v>152</v>
      </c>
      <c r="B55" s="174">
        <f>G1-1</f>
        <v>2013</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43" t="s">
        <v>295</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SALEM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59" t="str">
        <f>CONCATENATE("Computation to Determine Limit for ",J1,"")</f>
        <v>Computation to Determine Limit for 2014</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2013</v>
      </c>
      <c r="C5" s="124"/>
      <c r="D5" s="124"/>
      <c r="E5" s="179"/>
      <c r="F5" s="179"/>
      <c r="G5" s="179"/>
      <c r="H5" s="180" t="s">
        <v>15</v>
      </c>
      <c r="I5" s="179" t="s">
        <v>2</v>
      </c>
      <c r="J5" s="181">
        <f>inputPrYr!E28</f>
        <v>20834</v>
      </c>
    </row>
    <row r="6" spans="1:10" ht="15.75">
      <c r="A6" s="178" t="s">
        <v>83</v>
      </c>
      <c r="B6" s="124" t="str">
        <f>CONCATENATE("Debt Service Levy in ",J1-1,"")</f>
        <v>Debt Service Levy in 2013</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20834</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2013:</v>
      </c>
      <c r="C11" s="124"/>
      <c r="D11" s="124"/>
      <c r="E11" s="180"/>
      <c r="F11" s="180" t="s">
        <v>15</v>
      </c>
      <c r="G11" s="181">
        <f>inputOth!E8</f>
        <v>1726</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2013:</v>
      </c>
      <c r="C13" s="124"/>
      <c r="D13" s="124"/>
      <c r="E13" s="180"/>
      <c r="F13" s="180"/>
      <c r="G13" s="185"/>
      <c r="H13" s="185"/>
      <c r="I13" s="179"/>
      <c r="J13" s="179"/>
    </row>
    <row r="14" spans="1:10" ht="15.75">
      <c r="A14" s="124"/>
      <c r="B14" s="124" t="s">
        <v>88</v>
      </c>
      <c r="C14" s="124" t="str">
        <f>CONCATENATE("Personal Property ",J1-1,"")</f>
        <v>Personal Property 2013</v>
      </c>
      <c r="D14" s="178" t="s">
        <v>15</v>
      </c>
      <c r="E14" s="181">
        <f>inputOth!E9</f>
        <v>8545</v>
      </c>
      <c r="F14" s="180"/>
      <c r="G14" s="179"/>
      <c r="H14" s="179"/>
      <c r="I14" s="185"/>
      <c r="J14" s="179"/>
    </row>
    <row r="15" spans="1:10" ht="15.75">
      <c r="A15" s="178"/>
      <c r="B15" s="124" t="s">
        <v>89</v>
      </c>
      <c r="C15" s="124" t="str">
        <f>CONCATENATE("Personal Property ",J1-2,"")</f>
        <v>Personal Property 2012</v>
      </c>
      <c r="D15" s="178" t="s">
        <v>84</v>
      </c>
      <c r="E15" s="184">
        <f>inputOth!E11</f>
        <v>20222</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2013:</v>
      </c>
      <c r="C18" s="124"/>
      <c r="D18" s="124"/>
      <c r="E18" s="179"/>
      <c r="F18" s="180" t="s">
        <v>15</v>
      </c>
      <c r="G18" s="181">
        <f>inputOth!E10</f>
        <v>1929</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3655</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1,2013</v>
      </c>
      <c r="C22" s="124"/>
      <c r="D22" s="124"/>
      <c r="E22" s="181">
        <f>inputOth!E7</f>
        <v>1846035</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1842380</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0.0019838469805360456</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41</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20875</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20875</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2014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SALEM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2013</v>
      </c>
      <c r="F9" s="199"/>
      <c r="G9" s="852" t="str">
        <f>CONCATENATE("Allocation for Year ",J1,"")</f>
        <v>Allocation for Year 2014</v>
      </c>
      <c r="H9" s="862"/>
      <c r="I9" s="862"/>
      <c r="J9" s="863"/>
      <c r="K9" s="192"/>
      <c r="L9" s="192"/>
    </row>
    <row r="10" spans="2:12" ht="15.75">
      <c r="B10" s="729" t="str">
        <f>CONCATENATE("for ",J1-1,"")</f>
        <v>for 2013</v>
      </c>
      <c r="C10" s="200"/>
      <c r="D10" s="322" t="str">
        <f>CONCATENATE("Amount for ",J1,"")</f>
        <v>Amount for 2014</v>
      </c>
      <c r="E10" s="861"/>
      <c r="F10" s="154"/>
      <c r="G10" s="136" t="s">
        <v>79</v>
      </c>
      <c r="H10" s="136"/>
      <c r="I10" s="136" t="s">
        <v>80</v>
      </c>
      <c r="J10" s="140" t="s">
        <v>123</v>
      </c>
      <c r="K10" s="192"/>
      <c r="L10" s="192"/>
    </row>
    <row r="11" spans="2:12" ht="15.75">
      <c r="B11" s="147" t="str">
        <f>inputPrYr!B16</f>
        <v>General</v>
      </c>
      <c r="C11" s="202"/>
      <c r="D11" s="147">
        <f>IF(inputPrYr!E16&gt;0,inputPrYr!E16,"  ")</f>
        <v>4104</v>
      </c>
      <c r="E11" s="203">
        <f>IF(inputOth!D17&gt;0,inputOth!D17,"  ")</f>
        <v>2.372</v>
      </c>
      <c r="F11" s="204"/>
      <c r="G11" s="147">
        <f>IF(inputPrYr!E16=0,0,G25-SUM(G12:G22))</f>
        <v>135</v>
      </c>
      <c r="H11" s="205"/>
      <c r="I11" s="147">
        <f>IF(inputPrYr!E16=0,0,I27-SUM(I12:I22))</f>
        <v>4</v>
      </c>
      <c r="J11" s="147">
        <f>IF(inputPrYr!E16=0,0,J29-SUM(J12:J22))</f>
        <v>69</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16730</v>
      </c>
      <c r="E14" s="203">
        <f>IF(inputOth!D20&gt;0,inputOth!D20,"  ")</f>
        <v>9.669</v>
      </c>
      <c r="F14" s="204"/>
      <c r="G14" s="147">
        <f>IF(inputPrYr!E19=0,0,ROUND(D14*$G$31,0))</f>
        <v>552</v>
      </c>
      <c r="H14" s="205"/>
      <c r="I14" s="147">
        <f>IF(inputPrYr!$E$19=0,0,ROUND($D$14*$I$33,0))</f>
        <v>15</v>
      </c>
      <c r="J14" s="147">
        <f>IF(inputPrYr!E19=0,0,ROUND($D14*$J$35,0))</f>
        <v>280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20834</v>
      </c>
      <c r="E23" s="209">
        <f>SUM(E11:E22)</f>
        <v>12.041</v>
      </c>
      <c r="F23" s="210"/>
      <c r="G23" s="208">
        <f t="shared" si="0"/>
        <v>687</v>
      </c>
      <c r="H23" s="208"/>
      <c r="I23" s="208">
        <f t="shared" si="0"/>
        <v>19</v>
      </c>
      <c r="J23" s="208">
        <f t="shared" si="0"/>
        <v>349</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687</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19</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349</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0.03297494480176635</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0.0009119708169338581</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0.016751463953153498</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SALEM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4500</v>
      </c>
      <c r="D13" s="233">
        <f>road!$D$38</f>
        <v>0</v>
      </c>
      <c r="E13" s="233">
        <f>road!$E$38</f>
        <v>0</v>
      </c>
      <c r="F13" s="232" t="str">
        <f>IF(C13+D13+E13&gt;0,"68-141g","")</f>
        <v>68-141g</v>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4500</v>
      </c>
      <c r="D27" s="239">
        <f>SUM(D10:D26)</f>
        <v>0</v>
      </c>
      <c r="E27" s="239">
        <f>SUM(E10:E26)</f>
        <v>0</v>
      </c>
      <c r="F27" s="237"/>
    </row>
    <row r="28" spans="1:6" ht="15.75">
      <c r="A28" s="237"/>
      <c r="B28" s="238" t="s">
        <v>610</v>
      </c>
      <c r="C28" s="237"/>
      <c r="D28" s="234"/>
      <c r="E28" s="234"/>
      <c r="F28" s="237"/>
    </row>
    <row r="29" spans="1:6" ht="15.75">
      <c r="A29" s="237"/>
      <c r="B29" s="145" t="s">
        <v>180</v>
      </c>
      <c r="C29" s="240">
        <f>C27</f>
        <v>4500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2013-07-11T15:57:34Z</cp:lastPrinted>
  <dcterms:created xsi:type="dcterms:W3CDTF">1998-08-26T16:30:41Z</dcterms:created>
  <dcterms:modified xsi:type="dcterms:W3CDTF">2013-07-11T16:04:46Z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